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reamUs\Desktop\Backup\0. D드라이브\12. 재무회계\1. 결산\Y2022\Y2022.10\2. 연결\1. 정산표\1. 취합\"/>
    </mc:Choice>
  </mc:AlternateContent>
  <bookViews>
    <workbookView xWindow="0" yWindow="0" windowWidth="19200" windowHeight="15600" tabRatio="908" firstSheet="3" activeTab="21"/>
  </bookViews>
  <sheets>
    <sheet name="INDEX" sheetId="20" state="hidden" r:id="rId1"/>
    <sheet name="SCOPE" sheetId="2" state="hidden" r:id="rId2"/>
    <sheet name="CF.1_2개월(단순차감)" sheetId="48" state="hidden" r:id="rId3"/>
    <sheet name="자본변동" sheetId="17" r:id="rId4"/>
    <sheet name="재무상태요약" sheetId="46" r:id="rId5"/>
    <sheet name="T_BS" sheetId="1" r:id="rId6"/>
    <sheet name="T_IS _10월" sheetId="50" state="hidden" r:id="rId7"/>
    <sheet name="T_IS" sheetId="3" r:id="rId8"/>
    <sheet name="T_CE" sheetId="38" r:id="rId9"/>
    <sheet name="CF.1" sheetId="23" r:id="rId10"/>
    <sheet name="CF.2" sheetId="24" r:id="rId11"/>
    <sheet name="BS(공)" sheetId="26" r:id="rId12"/>
    <sheet name="IS(공)" sheetId="33" r:id="rId13"/>
    <sheet name="CE(공)" sheetId="39" r:id="rId14"/>
    <sheet name="CF(공)_1.0" sheetId="25" r:id="rId15"/>
    <sheet name="CF(공)_2.0" sheetId="30" state="hidden" r:id="rId16"/>
    <sheet name="TB" sheetId="45" state="hidden" r:id="rId17"/>
    <sheet name="연결조정 분개" sheetId="44" state="hidden" r:id="rId18"/>
    <sheet name="CFS(2개월)" sheetId="55" state="hidden" r:id="rId19"/>
    <sheet name="스튜디오돌핀(취득일BS)" sheetId="47" state="hidden" r:id="rId20"/>
    <sheet name="CFS(연간)" sheetId="31" r:id="rId21"/>
    <sheet name="T198_TB" sheetId="22" r:id="rId22"/>
    <sheet name="1.0" sheetId="4" r:id="rId23"/>
    <sheet name="2.1" sheetId="42" state="hidden" r:id="rId24"/>
    <sheet name="2.0" sheetId="5" r:id="rId25"/>
    <sheet name="3.1" sheetId="7" state="hidden" r:id="rId26"/>
    <sheet name="3.0" sheetId="6" r:id="rId27"/>
    <sheet name="4.0" sheetId="8" r:id="rId28"/>
    <sheet name="5.0" sheetId="9" r:id="rId29"/>
    <sheet name="5.1_V2" sheetId="34" state="hidden" r:id="rId30"/>
    <sheet name="5.1" sheetId="10" r:id="rId31"/>
    <sheet name="5.2" sheetId="11" r:id="rId32"/>
    <sheet name="5.2_V2" sheetId="35" state="hidden" r:id="rId33"/>
    <sheet name="5.3" sheetId="43" state="hidden" r:id="rId34"/>
    <sheet name="7.1" sheetId="18" state="hidden" r:id="rId35"/>
    <sheet name="6.0" sheetId="12" r:id="rId36"/>
    <sheet name="7.0" sheetId="13" r:id="rId37"/>
    <sheet name="8.0" sheetId="14" r:id="rId38"/>
    <sheet name="8.1" sheetId="21" r:id="rId39"/>
    <sheet name="OCI" sheetId="16" r:id="rId40"/>
    <sheet name="NCE" sheetId="15" state="hidden" r:id="rId41"/>
    <sheet name="NCI" sheetId="19" r:id="rId42"/>
    <sheet name="Tickmarks2022-07-13 오후 4.28.39" sheetId="56" state="hidden" r:id="rId43"/>
    <sheet name="RNotes2022-07-13 오후 4.28.39" sheetId="57" state="hidden" r:id="rId44"/>
    <sheet name="TextXRef2022-07-13 오후 4.28.39" sheetId="58" state="hidden" r:id="rId45"/>
    <sheet name="NumXRef2022-07-13 오후 4.28.39" sheetId="59" state="hidden" r:id="rId46"/>
    <sheet name="Tickmarks2022-10-13 오후 3.20.15" sheetId="60" r:id="rId47"/>
    <sheet name="RNotes2022-10-13 오후 3.20.15" sheetId="61" r:id="rId48"/>
    <sheet name="TextXRef2022-10-13 오후 3.20.15" sheetId="62" r:id="rId49"/>
    <sheet name="NumXRef2022-10-13 오후 3.20.15" sheetId="63" r:id="rId50"/>
    <sheet name="Tickmarks2022-10-13 오후 6.54.54" sheetId="64" r:id="rId51"/>
    <sheet name="RNotes2022-10-13 오후 6.54.54" sheetId="65" r:id="rId52"/>
    <sheet name="TextXRef2022-10-13 오후 6.54.54" sheetId="66" r:id="rId53"/>
    <sheet name="NumXRef2022-10-13 오후 6.54.54" sheetId="67" r:id="rId54"/>
  </sheets>
  <externalReferences>
    <externalReference r:id="rId55"/>
    <externalReference r:id="rId56"/>
  </externalReferences>
  <definedNames>
    <definedName name="_xlnm._FilterDatabase" localSheetId="22" hidden="1">'1.0'!$D$5:$V$5</definedName>
    <definedName name="_xlnm._FilterDatabase" localSheetId="24" hidden="1">'2.0'!$D$5:$V$5</definedName>
    <definedName name="_xlnm._FilterDatabase" localSheetId="26" hidden="1">'3.0'!$D$5:$W$210</definedName>
    <definedName name="_xlnm._FilterDatabase" localSheetId="28" hidden="1">'5.0'!$D$5:$N$16</definedName>
    <definedName name="_xlnm._FilterDatabase" localSheetId="14" hidden="1">'CF(공)_1.0'!$D$4:$L$107</definedName>
    <definedName name="_xlnm._FilterDatabase" localSheetId="9" hidden="1">CF.1!$D$6:$W$358</definedName>
    <definedName name="_xlnm._FilterDatabase" localSheetId="2" hidden="1">'CF.1_2개월(단순차감)'!$D$6:$U$358</definedName>
    <definedName name="_xlnm._FilterDatabase" localSheetId="18" hidden="1">'CFS(2개월)'!$D$4:$M$317</definedName>
    <definedName name="_xlnm._FilterDatabase" localSheetId="20" hidden="1">'CFS(연간)'!$D$4:$M$315</definedName>
    <definedName name="_xlnm._FilterDatabase" localSheetId="5" hidden="1">T_BS!$D$5:$AL$253</definedName>
    <definedName name="_xlnm._FilterDatabase" localSheetId="7" hidden="1">T_IS!$D$5:$L$130</definedName>
    <definedName name="_xlnm._FilterDatabase" localSheetId="6" hidden="1">'T_IS _10월'!$D$5:$L$127</definedName>
    <definedName name="_xlnm._FilterDatabase" localSheetId="21" hidden="1">T198_TB!$D$4:$M$173</definedName>
    <definedName name="_xlnm._FilterDatabase" localSheetId="16" hidden="1">TB!$A$1:$N$1</definedName>
    <definedName name="_xlnm._FilterDatabase" localSheetId="19" hidden="1">'스튜디오돌핀(취득일BS)'!$D$2:$I$214</definedName>
    <definedName name="_xlnm._FilterDatabase" localSheetId="17" hidden="1">'연결조정 분개'!$C$5:$AA$173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4" l="1"/>
  <c r="H23" i="14"/>
  <c r="H22" i="14"/>
  <c r="H21" i="14"/>
  <c r="H20" i="14"/>
  <c r="H18" i="14"/>
  <c r="H17" i="14"/>
  <c r="H16" i="14"/>
  <c r="H11" i="14"/>
  <c r="H7" i="14"/>
  <c r="H6" i="14"/>
  <c r="H5" i="14"/>
  <c r="U4" i="9" l="1"/>
  <c r="T4" i="9"/>
  <c r="S4" i="9"/>
  <c r="M48" i="6" l="1"/>
  <c r="L44" i="6"/>
  <c r="R29" i="6"/>
  <c r="R28" i="6"/>
  <c r="R27" i="6"/>
  <c r="R26" i="6"/>
  <c r="R25" i="6"/>
  <c r="R24" i="6"/>
  <c r="R23" i="6"/>
  <c r="R22" i="6"/>
  <c r="R21" i="6"/>
  <c r="W4" i="38" l="1"/>
  <c r="U4" i="13"/>
  <c r="U4" i="12" l="1"/>
  <c r="U4" i="5"/>
  <c r="U4" i="4"/>
  <c r="U24" i="4"/>
  <c r="U17" i="4"/>
  <c r="U14" i="4"/>
  <c r="U9" i="4"/>
  <c r="I37" i="33" l="1"/>
  <c r="I36" i="33"/>
  <c r="I35" i="33"/>
  <c r="I34" i="33"/>
  <c r="W37" i="38"/>
  <c r="W36" i="38"/>
  <c r="W35" i="38"/>
  <c r="W34" i="38"/>
  <c r="W33" i="38"/>
  <c r="W32" i="38"/>
  <c r="W31" i="38"/>
  <c r="AB4" i="1"/>
  <c r="AA128" i="3"/>
  <c r="AA126" i="3"/>
  <c r="AA123" i="3"/>
  <c r="AA122" i="3"/>
  <c r="AA120" i="3"/>
  <c r="AA119" i="3"/>
  <c r="AA118" i="3"/>
  <c r="AA116" i="3"/>
  <c r="AA115" i="3"/>
  <c r="AA114" i="3"/>
  <c r="AA113" i="3"/>
  <c r="AA112" i="3"/>
  <c r="AA111" i="3"/>
  <c r="AA110" i="3"/>
  <c r="AA109" i="3"/>
  <c r="AA108" i="3"/>
  <c r="AA106" i="3"/>
  <c r="AA105" i="3"/>
  <c r="AA104" i="3"/>
  <c r="AA103" i="3"/>
  <c r="AA102" i="3"/>
  <c r="AA101" i="3"/>
  <c r="AA99" i="3"/>
  <c r="AA98" i="3"/>
  <c r="AA97" i="3"/>
  <c r="AA96" i="3"/>
  <c r="AA95" i="3"/>
  <c r="AA94" i="3"/>
  <c r="AA93" i="3"/>
  <c r="AA92" i="3"/>
  <c r="AA91" i="3"/>
  <c r="AA90" i="3"/>
  <c r="AA89" i="3"/>
  <c r="AA88" i="3"/>
  <c r="AA86" i="3"/>
  <c r="AA85" i="3"/>
  <c r="AA84" i="3"/>
  <c r="AA83" i="3"/>
  <c r="AA82" i="3"/>
  <c r="AA81" i="3"/>
  <c r="AA80" i="3"/>
  <c r="AA79" i="3"/>
  <c r="AA78" i="3"/>
  <c r="AA77" i="3"/>
  <c r="AA74" i="3"/>
  <c r="AA73" i="3"/>
  <c r="AA72" i="3"/>
  <c r="AA71" i="3"/>
  <c r="AA70" i="3"/>
  <c r="AA69" i="3"/>
  <c r="AA68" i="3"/>
  <c r="AA67" i="3"/>
  <c r="AA66" i="3"/>
  <c r="AA65" i="3"/>
  <c r="AA64" i="3"/>
  <c r="AA63" i="3"/>
  <c r="AA62" i="3"/>
  <c r="AA61" i="3"/>
  <c r="AA60" i="3"/>
  <c r="AA59" i="3"/>
  <c r="AA58" i="3"/>
  <c r="AA57" i="3"/>
  <c r="AA56" i="3"/>
  <c r="AA55" i="3"/>
  <c r="AA54" i="3"/>
  <c r="AA53" i="3"/>
  <c r="AA52" i="3"/>
  <c r="AA51" i="3"/>
  <c r="AA50" i="3"/>
  <c r="AA49" i="3"/>
  <c r="AA48" i="3"/>
  <c r="AA47" i="3"/>
  <c r="AA46" i="3"/>
  <c r="AA45" i="3"/>
  <c r="AA44" i="3"/>
  <c r="AA43" i="3"/>
  <c r="AA42" i="3"/>
  <c r="AA41" i="3"/>
  <c r="AA40" i="3"/>
  <c r="AA39" i="3"/>
  <c r="AA38" i="3"/>
  <c r="AA35" i="3"/>
  <c r="AA34" i="3"/>
  <c r="AA33" i="3"/>
  <c r="AA32" i="3"/>
  <c r="AA31" i="3"/>
  <c r="AA30" i="3"/>
  <c r="AA29" i="3"/>
  <c r="AA28" i="3"/>
  <c r="AA27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L92" i="25" l="1"/>
  <c r="K92" i="25"/>
  <c r="J92" i="25"/>
  <c r="I92" i="25"/>
  <c r="H92" i="25"/>
  <c r="G92" i="25"/>
  <c r="J22" i="39" l="1"/>
  <c r="E132" i="24"/>
  <c r="G132" i="24" s="1"/>
  <c r="J132" i="24" s="1"/>
  <c r="M132" i="24" s="1"/>
  <c r="X278" i="23" l="1"/>
  <c r="X272" i="23"/>
  <c r="H344" i="23" l="1"/>
  <c r="H343" i="23" s="1"/>
  <c r="H323" i="23"/>
  <c r="H301" i="23"/>
  <c r="H242" i="23"/>
  <c r="H184" i="23"/>
  <c r="H177" i="23"/>
  <c r="H127" i="23"/>
  <c r="H8" i="23"/>
  <c r="H10" i="23"/>
  <c r="H75" i="23"/>
  <c r="H300" i="23" l="1"/>
  <c r="H183" i="23"/>
  <c r="H7" i="23"/>
  <c r="H349" i="23" l="1"/>
  <c r="J343" i="23"/>
  <c r="J323" i="23"/>
  <c r="J301" i="23"/>
  <c r="J242" i="23"/>
  <c r="J184" i="23"/>
  <c r="J177" i="23"/>
  <c r="J127" i="23"/>
  <c r="J75" i="23"/>
  <c r="J10" i="23"/>
  <c r="J8" i="23"/>
  <c r="K127" i="23"/>
  <c r="H358" i="23" l="1"/>
  <c r="J300" i="23"/>
  <c r="J7" i="23"/>
  <c r="J183" i="23"/>
  <c r="J349" i="23" l="1"/>
  <c r="J358" i="23" s="1"/>
  <c r="K344" i="23" l="1"/>
  <c r="K343" i="23" s="1"/>
  <c r="K323" i="23"/>
  <c r="K301" i="23"/>
  <c r="K242" i="23"/>
  <c r="K184" i="23"/>
  <c r="K177" i="23"/>
  <c r="K75" i="23"/>
  <c r="K10" i="23"/>
  <c r="K8" i="23"/>
  <c r="K300" i="23" l="1"/>
  <c r="K183" i="23"/>
  <c r="K7" i="23"/>
  <c r="K349" i="23" l="1"/>
  <c r="K358" i="23" s="1"/>
  <c r="I344" i="23"/>
  <c r="I343" i="23" s="1"/>
  <c r="T4" i="13" l="1"/>
  <c r="V34" i="8" l="1"/>
  <c r="L47" i="6" l="1"/>
  <c r="M45" i="6" l="1"/>
  <c r="G10" i="39"/>
  <c r="H8" i="39"/>
  <c r="L8" i="39" s="1"/>
  <c r="J37" i="33"/>
  <c r="J36" i="33"/>
  <c r="J35" i="33"/>
  <c r="J34" i="33"/>
  <c r="AA25" i="33" l="1"/>
  <c r="Z25" i="33"/>
  <c r="AA23" i="33"/>
  <c r="Z23" i="33"/>
  <c r="AA20" i="33"/>
  <c r="Z20" i="33"/>
  <c r="AA19" i="33"/>
  <c r="Z19" i="33"/>
  <c r="AA17" i="33"/>
  <c r="Z17" i="33"/>
  <c r="AA15" i="33"/>
  <c r="Z15" i="33"/>
  <c r="AA14" i="33"/>
  <c r="Z14" i="33"/>
  <c r="AA13" i="33"/>
  <c r="Z13" i="33"/>
  <c r="AA12" i="33"/>
  <c r="Z12" i="33"/>
  <c r="AA11" i="33"/>
  <c r="Z11" i="33"/>
  <c r="AA9" i="33"/>
  <c r="Z9" i="33"/>
  <c r="AA7" i="33"/>
  <c r="Z7" i="33"/>
  <c r="Z6" i="33"/>
  <c r="AA6" i="33"/>
  <c r="AC4" i="1" l="1"/>
  <c r="AD4" i="1"/>
  <c r="AE4" i="1"/>
  <c r="AE253" i="1"/>
  <c r="AA125" i="3"/>
  <c r="AA117" i="3"/>
  <c r="AA107" i="3" l="1"/>
  <c r="AA87" i="3"/>
  <c r="AA6" i="3"/>
  <c r="AA76" i="3"/>
  <c r="AA121" i="3"/>
  <c r="AA37" i="3"/>
  <c r="AA100" i="3"/>
  <c r="AA26" i="3"/>
  <c r="AA36" i="3" l="1"/>
  <c r="AA75" i="3" s="1"/>
  <c r="AA124" i="3" s="1"/>
  <c r="AA127" i="3" s="1"/>
  <c r="K119" i="1"/>
  <c r="J119" i="1"/>
  <c r="I119" i="1"/>
  <c r="H119" i="1"/>
  <c r="R17" i="6" l="1"/>
  <c r="T4" i="5" l="1"/>
  <c r="T24" i="4"/>
  <c r="T17" i="4"/>
  <c r="T14" i="4"/>
  <c r="T9" i="4"/>
  <c r="T4" i="4" s="1"/>
  <c r="G5" i="14"/>
  <c r="G6" i="14"/>
  <c r="G18" i="14"/>
  <c r="G22" i="14"/>
  <c r="G24" i="14"/>
  <c r="J8" i="14"/>
  <c r="G8" i="14" s="1"/>
  <c r="H8" i="14" s="1"/>
  <c r="J9" i="14"/>
  <c r="G9" i="14" s="1"/>
  <c r="H9" i="14" s="1"/>
  <c r="J10" i="14"/>
  <c r="G10" i="14" s="1"/>
  <c r="H10" i="14" s="1"/>
  <c r="J12" i="14"/>
  <c r="G12" i="14" s="1"/>
  <c r="H12" i="14" s="1"/>
  <c r="J13" i="14"/>
  <c r="G13" i="14" s="1"/>
  <c r="H13" i="14" s="1"/>
  <c r="J14" i="14"/>
  <c r="G14" i="14" s="1"/>
  <c r="H14" i="14" s="1"/>
  <c r="J15" i="14"/>
  <c r="G15" i="14" s="1"/>
  <c r="H15" i="14" s="1"/>
  <c r="AB5" i="16"/>
  <c r="AB12" i="16" s="1"/>
  <c r="F116" i="17"/>
  <c r="L25" i="6" l="1"/>
  <c r="R16" i="6"/>
  <c r="R15" i="6"/>
  <c r="L35" i="6" l="1"/>
  <c r="M36" i="6" s="1"/>
  <c r="M39" i="6"/>
  <c r="T4" i="12"/>
  <c r="S4" i="12"/>
  <c r="V15" i="8" l="1"/>
  <c r="V14" i="8"/>
  <c r="V12" i="8"/>
  <c r="V11" i="8"/>
  <c r="AJ8" i="8"/>
  <c r="AI8" i="8"/>
  <c r="AH25" i="8"/>
  <c r="AH24" i="8"/>
  <c r="AH23" i="8"/>
  <c r="AH22" i="8"/>
  <c r="AH21" i="8"/>
  <c r="AH20" i="8"/>
  <c r="AH19" i="8"/>
  <c r="AH18" i="8"/>
  <c r="AH17" i="8"/>
  <c r="AH16" i="8"/>
  <c r="AH15" i="8"/>
  <c r="AH14" i="8"/>
  <c r="AH13" i="8"/>
  <c r="AH12" i="8"/>
  <c r="AH11" i="8"/>
  <c r="AD8" i="8"/>
  <c r="AC8" i="8"/>
  <c r="U37" i="38" l="1"/>
  <c r="U36" i="38"/>
  <c r="U35" i="38"/>
  <c r="U34" i="38"/>
  <c r="U33" i="38"/>
  <c r="U32" i="38"/>
  <c r="U31" i="38"/>
  <c r="U4" i="38"/>
  <c r="J102" i="24" l="1"/>
  <c r="M102" i="24" s="1"/>
  <c r="AA26" i="33" l="1"/>
  <c r="Z26" i="33"/>
  <c r="T29" i="33"/>
  <c r="T10" i="33"/>
  <c r="T8" i="33"/>
  <c r="AF27" i="38" l="1"/>
  <c r="AB26" i="38" s="1"/>
  <c r="Q21" i="33"/>
  <c r="O21" i="33"/>
  <c r="N21" i="33"/>
  <c r="M21" i="33"/>
  <c r="T27" i="33" l="1"/>
  <c r="T21" i="33"/>
  <c r="F17" i="39"/>
  <c r="E17" i="39"/>
  <c r="L8" i="25" l="1"/>
  <c r="K8" i="25"/>
  <c r="J8" i="25"/>
  <c r="I8" i="25"/>
  <c r="H8" i="25"/>
  <c r="G8" i="25"/>
  <c r="F103" i="25"/>
  <c r="H50" i="25"/>
  <c r="H3" i="25"/>
  <c r="H97" i="25"/>
  <c r="H76" i="25"/>
  <c r="H67" i="25"/>
  <c r="I3" i="25"/>
  <c r="I97" i="25"/>
  <c r="I76" i="25"/>
  <c r="I67" i="25"/>
  <c r="F65" i="25"/>
  <c r="I50" i="25"/>
  <c r="H91" i="25" l="1"/>
  <c r="H6" i="25"/>
  <c r="H5" i="25" s="1"/>
  <c r="H66" i="25"/>
  <c r="I91" i="25"/>
  <c r="I66" i="25"/>
  <c r="I6" i="25"/>
  <c r="I5" i="25" s="1"/>
  <c r="H102" i="25" l="1"/>
  <c r="H105" i="25" s="1"/>
  <c r="H107" i="25" s="1"/>
  <c r="I102" i="25"/>
  <c r="I105" i="25" s="1"/>
  <c r="I107" i="25" s="1"/>
  <c r="J101" i="24" l="1"/>
  <c r="M101" i="24" s="1"/>
  <c r="R12" i="23" l="1"/>
  <c r="Q12" i="23"/>
  <c r="P12" i="23"/>
  <c r="O12" i="23"/>
  <c r="N12" i="23"/>
  <c r="S12" i="23" l="1"/>
  <c r="K366" i="23"/>
  <c r="R21" i="23"/>
  <c r="E125" i="24"/>
  <c r="E128" i="24"/>
  <c r="L355" i="23"/>
  <c r="L352" i="23"/>
  <c r="L348" i="23"/>
  <c r="L345" i="23"/>
  <c r="L342" i="23"/>
  <c r="L341" i="23"/>
  <c r="L340" i="23"/>
  <c r="L339" i="23"/>
  <c r="L338" i="23"/>
  <c r="L337" i="23"/>
  <c r="L336" i="23"/>
  <c r="L335" i="23"/>
  <c r="L334" i="23"/>
  <c r="L333" i="23"/>
  <c r="L332" i="23"/>
  <c r="L331" i="23"/>
  <c r="L330" i="23"/>
  <c r="L329" i="23"/>
  <c r="L328" i="23"/>
  <c r="L327" i="23"/>
  <c r="L326" i="23"/>
  <c r="L325" i="23"/>
  <c r="L324" i="23"/>
  <c r="L322" i="23"/>
  <c r="L321" i="23"/>
  <c r="L320" i="23"/>
  <c r="L319" i="23"/>
  <c r="L318" i="23"/>
  <c r="L317" i="23"/>
  <c r="L316" i="23"/>
  <c r="L315" i="23"/>
  <c r="L314" i="23"/>
  <c r="L313" i="23"/>
  <c r="L312" i="23"/>
  <c r="L311" i="23"/>
  <c r="L310" i="23"/>
  <c r="L309" i="23"/>
  <c r="L308" i="23"/>
  <c r="L307" i="23"/>
  <c r="L306" i="23"/>
  <c r="L305" i="23"/>
  <c r="L304" i="23"/>
  <c r="L303" i="23"/>
  <c r="L302" i="23"/>
  <c r="L299" i="23"/>
  <c r="L298" i="23"/>
  <c r="L297" i="23"/>
  <c r="L296" i="23"/>
  <c r="L295" i="23"/>
  <c r="L294" i="23"/>
  <c r="L293" i="23"/>
  <c r="L292" i="23"/>
  <c r="L291" i="23"/>
  <c r="L290" i="23"/>
  <c r="L289" i="23"/>
  <c r="L288" i="23"/>
  <c r="L287" i="23"/>
  <c r="L286" i="23"/>
  <c r="L285" i="23"/>
  <c r="L284" i="23"/>
  <c r="L283" i="23"/>
  <c r="L282" i="23"/>
  <c r="L281" i="23"/>
  <c r="L280" i="23"/>
  <c r="L279" i="23"/>
  <c r="L278" i="23"/>
  <c r="L277" i="23"/>
  <c r="L276" i="23"/>
  <c r="L275" i="23"/>
  <c r="L274" i="23"/>
  <c r="L273" i="23"/>
  <c r="L272" i="23"/>
  <c r="L271" i="23"/>
  <c r="L270" i="23"/>
  <c r="L269" i="23"/>
  <c r="L268" i="23"/>
  <c r="L267" i="23"/>
  <c r="L266" i="23"/>
  <c r="L265" i="23"/>
  <c r="L264" i="23"/>
  <c r="L263" i="23"/>
  <c r="L262" i="23"/>
  <c r="L261" i="23"/>
  <c r="L260" i="23"/>
  <c r="L259" i="23"/>
  <c r="L258" i="23"/>
  <c r="L257" i="23"/>
  <c r="L256" i="23"/>
  <c r="L255" i="23"/>
  <c r="L254" i="23"/>
  <c r="L253" i="23"/>
  <c r="L252" i="23"/>
  <c r="L251" i="23"/>
  <c r="L250" i="23"/>
  <c r="L249" i="23"/>
  <c r="L248" i="23"/>
  <c r="L247" i="23"/>
  <c r="L246" i="23"/>
  <c r="L245" i="23"/>
  <c r="L244" i="23"/>
  <c r="L243" i="23"/>
  <c r="L241" i="23"/>
  <c r="L240" i="23"/>
  <c r="L239" i="23"/>
  <c r="L238" i="23"/>
  <c r="L237" i="23"/>
  <c r="L236" i="23"/>
  <c r="L235" i="23"/>
  <c r="L234" i="23"/>
  <c r="L233" i="23"/>
  <c r="L232" i="23"/>
  <c r="L231" i="23"/>
  <c r="L230" i="23"/>
  <c r="L229" i="23"/>
  <c r="L228" i="23"/>
  <c r="L227" i="23"/>
  <c r="L226" i="23"/>
  <c r="L225" i="23"/>
  <c r="L224" i="23"/>
  <c r="L223" i="23"/>
  <c r="L222" i="23"/>
  <c r="L221" i="23"/>
  <c r="L220" i="23"/>
  <c r="L219" i="23"/>
  <c r="L218" i="23"/>
  <c r="L217" i="23"/>
  <c r="L216" i="23"/>
  <c r="L215" i="23"/>
  <c r="L214" i="23"/>
  <c r="L213" i="23"/>
  <c r="L212" i="23"/>
  <c r="L211" i="23"/>
  <c r="L210" i="23"/>
  <c r="L209" i="23"/>
  <c r="L208" i="23"/>
  <c r="L207" i="23"/>
  <c r="L206" i="23"/>
  <c r="L205" i="23"/>
  <c r="L204" i="23"/>
  <c r="L203" i="23"/>
  <c r="L202" i="23"/>
  <c r="L201" i="23"/>
  <c r="L200" i="23"/>
  <c r="L199" i="23"/>
  <c r="L198" i="23"/>
  <c r="L197" i="23"/>
  <c r="L196" i="23"/>
  <c r="L195" i="23"/>
  <c r="L194" i="23"/>
  <c r="L193" i="23"/>
  <c r="L192" i="23"/>
  <c r="L191" i="23"/>
  <c r="L190" i="23"/>
  <c r="L189" i="23"/>
  <c r="L188" i="23"/>
  <c r="L187" i="23"/>
  <c r="L186" i="23"/>
  <c r="L185" i="23"/>
  <c r="L182" i="23"/>
  <c r="L181" i="23"/>
  <c r="L180" i="23"/>
  <c r="L179" i="23"/>
  <c r="L178" i="23"/>
  <c r="L176" i="23"/>
  <c r="L175" i="23"/>
  <c r="L174" i="23"/>
  <c r="L173" i="23"/>
  <c r="L172" i="23"/>
  <c r="L171" i="23"/>
  <c r="L170" i="23"/>
  <c r="L169" i="23"/>
  <c r="L168" i="23"/>
  <c r="L167" i="23"/>
  <c r="L166" i="23"/>
  <c r="L165" i="23"/>
  <c r="L164" i="23"/>
  <c r="L163" i="23"/>
  <c r="L162" i="23"/>
  <c r="L161" i="23"/>
  <c r="L160" i="23"/>
  <c r="L159" i="23"/>
  <c r="L158" i="23"/>
  <c r="L157" i="23"/>
  <c r="L156" i="23"/>
  <c r="L155" i="23"/>
  <c r="L154" i="23"/>
  <c r="L153" i="23"/>
  <c r="L152" i="23"/>
  <c r="L151" i="23"/>
  <c r="L150" i="23"/>
  <c r="L149" i="23"/>
  <c r="L148" i="23"/>
  <c r="L147" i="23"/>
  <c r="L146" i="23"/>
  <c r="L145" i="23"/>
  <c r="L144" i="23"/>
  <c r="L143" i="23"/>
  <c r="L142" i="23"/>
  <c r="L141" i="23"/>
  <c r="L140" i="23"/>
  <c r="L139" i="23"/>
  <c r="L138" i="23"/>
  <c r="L137" i="23"/>
  <c r="L136" i="23"/>
  <c r="L135" i="23"/>
  <c r="L134" i="23"/>
  <c r="L133" i="23"/>
  <c r="L132" i="23"/>
  <c r="L131" i="23"/>
  <c r="L130" i="23"/>
  <c r="L129" i="23"/>
  <c r="L128" i="23"/>
  <c r="L126" i="23"/>
  <c r="L125" i="23"/>
  <c r="L124" i="23"/>
  <c r="L123" i="23"/>
  <c r="L122" i="23"/>
  <c r="L121" i="23"/>
  <c r="L120" i="23"/>
  <c r="L119" i="23"/>
  <c r="L118" i="23"/>
  <c r="L117" i="23"/>
  <c r="L116" i="23"/>
  <c r="L115" i="23"/>
  <c r="L114" i="23"/>
  <c r="L113" i="23"/>
  <c r="L112" i="23"/>
  <c r="L111" i="23"/>
  <c r="L110" i="23"/>
  <c r="L109" i="23"/>
  <c r="L108" i="23"/>
  <c r="L107" i="23"/>
  <c r="L106" i="23"/>
  <c r="L105" i="23"/>
  <c r="L104" i="23"/>
  <c r="L103" i="23"/>
  <c r="L102" i="23"/>
  <c r="L101" i="23"/>
  <c r="L100" i="23"/>
  <c r="L99" i="23"/>
  <c r="L98" i="23"/>
  <c r="L97" i="23"/>
  <c r="L96" i="23"/>
  <c r="L95" i="23"/>
  <c r="L94" i="23"/>
  <c r="L93" i="23"/>
  <c r="L92" i="23"/>
  <c r="L91" i="23"/>
  <c r="L90" i="23"/>
  <c r="L89" i="23"/>
  <c r="L88" i="23"/>
  <c r="L87" i="23"/>
  <c r="L86" i="23"/>
  <c r="L85" i="23"/>
  <c r="L84" i="23"/>
  <c r="L83" i="23"/>
  <c r="L82" i="23"/>
  <c r="L81" i="23"/>
  <c r="L80" i="23"/>
  <c r="L79" i="23"/>
  <c r="L78" i="23"/>
  <c r="L77" i="23"/>
  <c r="L76" i="23"/>
  <c r="L74" i="23"/>
  <c r="L73" i="23"/>
  <c r="L72" i="23"/>
  <c r="L71" i="23"/>
  <c r="L70" i="23"/>
  <c r="L69" i="23"/>
  <c r="L68" i="23"/>
  <c r="L67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L22" i="23"/>
  <c r="L21" i="23"/>
  <c r="L20" i="23"/>
  <c r="L19" i="23"/>
  <c r="L18" i="23"/>
  <c r="L17" i="23"/>
  <c r="L16" i="23"/>
  <c r="L15" i="23"/>
  <c r="L14" i="23"/>
  <c r="L13" i="23"/>
  <c r="L12" i="23"/>
  <c r="L11" i="23"/>
  <c r="L9" i="23"/>
  <c r="J84" i="24"/>
  <c r="J83" i="24"/>
  <c r="M83" i="24"/>
  <c r="T245" i="1" l="1"/>
  <c r="T244" i="1"/>
  <c r="T243" i="1"/>
  <c r="T242" i="1"/>
  <c r="T241" i="1"/>
  <c r="T240" i="1"/>
  <c r="T239" i="1"/>
  <c r="T238" i="1"/>
  <c r="T237" i="1"/>
  <c r="V6" i="13"/>
  <c r="AH4" i="1" l="1"/>
  <c r="AG4" i="1"/>
  <c r="AF4" i="1"/>
  <c r="Y32" i="33" l="1"/>
  <c r="Y7" i="26"/>
  <c r="W46" i="26"/>
  <c r="G299" i="6" l="1"/>
  <c r="F299" i="6"/>
  <c r="L52" i="6"/>
  <c r="E90" i="24" s="1"/>
  <c r="L71" i="22"/>
  <c r="L63" i="22"/>
  <c r="H299" i="6" l="1"/>
  <c r="P101" i="3" s="1"/>
  <c r="K100" i="3"/>
  <c r="J100" i="3"/>
  <c r="I100" i="3"/>
  <c r="H100" i="3"/>
  <c r="L106" i="3"/>
  <c r="U106" i="3"/>
  <c r="T106" i="3"/>
  <c r="S106" i="3"/>
  <c r="R106" i="3"/>
  <c r="Q106" i="3"/>
  <c r="P106" i="3"/>
  <c r="O106" i="3"/>
  <c r="N106" i="3"/>
  <c r="N104" i="3"/>
  <c r="L347" i="23" l="1"/>
  <c r="L346" i="23" s="1"/>
  <c r="V106" i="3"/>
  <c r="X106" i="3" s="1"/>
  <c r="Z106" i="3" s="1"/>
  <c r="AB106" i="3" s="1"/>
  <c r="L344" i="23" l="1"/>
  <c r="L343" i="23" s="1"/>
  <c r="L323" i="23" s="1"/>
  <c r="L301" i="23" s="1"/>
  <c r="L300" i="23" s="1"/>
  <c r="L242" i="23" s="1"/>
  <c r="L184" i="23" s="1"/>
  <c r="L183" i="23" s="1"/>
  <c r="L177" i="23" s="1"/>
  <c r="L127" i="23" s="1"/>
  <c r="L75" i="23" s="1"/>
  <c r="L10" i="23" s="1"/>
  <c r="L8" i="23" s="1"/>
  <c r="L7" i="23" s="1"/>
  <c r="L161" i="22"/>
  <c r="J161" i="22" s="1"/>
  <c r="R14" i="6"/>
  <c r="R13" i="6"/>
  <c r="R12" i="6"/>
  <c r="R11" i="6"/>
  <c r="R10" i="6"/>
  <c r="R9" i="6"/>
  <c r="AH10" i="8"/>
  <c r="L349" i="23" l="1"/>
  <c r="L358" i="23" s="1"/>
  <c r="L357" i="23" s="1"/>
  <c r="L356" i="23" s="1"/>
  <c r="L354" i="23" s="1"/>
  <c r="L353" i="23" s="1"/>
  <c r="L351" i="23" s="1"/>
  <c r="L350" i="23" s="1"/>
  <c r="AA8" i="33"/>
  <c r="AA10" i="33" s="1"/>
  <c r="AA16" i="33" s="1"/>
  <c r="K27" i="39"/>
  <c r="H27" i="39"/>
  <c r="G27" i="39"/>
  <c r="F27" i="39"/>
  <c r="E27" i="39"/>
  <c r="H16" i="39"/>
  <c r="G16" i="39"/>
  <c r="F16" i="39"/>
  <c r="E16" i="39"/>
  <c r="AA21" i="33" l="1"/>
  <c r="Z21" i="33"/>
  <c r="Z8" i="33"/>
  <c r="Z10" i="33" s="1"/>
  <c r="Z16" i="33" s="1"/>
  <c r="Z18" i="33" s="1"/>
  <c r="AA18" i="33"/>
  <c r="AE16" i="33"/>
  <c r="I27" i="39"/>
  <c r="I16" i="39"/>
  <c r="AD16" i="33" l="1"/>
  <c r="Z31" i="33"/>
  <c r="Z32" i="33" s="1"/>
  <c r="Z27" i="33"/>
  <c r="Z28" i="33" s="1"/>
  <c r="AA27" i="33"/>
  <c r="AA28" i="33" s="1"/>
  <c r="AA31" i="33"/>
  <c r="AA32" i="33" s="1"/>
  <c r="J8" i="1" l="1"/>
  <c r="M40" i="6" l="1"/>
  <c r="M41" i="6"/>
  <c r="L42" i="6" l="1"/>
  <c r="K32" i="33"/>
  <c r="K25" i="33"/>
  <c r="K21" i="33" s="1"/>
  <c r="K20" i="33"/>
  <c r="K19" i="33"/>
  <c r="K17" i="33"/>
  <c r="K15" i="33"/>
  <c r="K14" i="33"/>
  <c r="K13" i="33"/>
  <c r="K12" i="33"/>
  <c r="K11" i="33"/>
  <c r="K9" i="33"/>
  <c r="K7" i="33"/>
  <c r="K6" i="33"/>
  <c r="K8" i="33" l="1"/>
  <c r="K34" i="33" s="1"/>
  <c r="K10" i="33" l="1"/>
  <c r="K35" i="33" s="1"/>
  <c r="I41" i="26"/>
  <c r="I40" i="26"/>
  <c r="I39" i="26"/>
  <c r="I38" i="26"/>
  <c r="I34" i="26"/>
  <c r="I33" i="26"/>
  <c r="I32" i="26"/>
  <c r="I31" i="26"/>
  <c r="I30" i="26"/>
  <c r="I28" i="26"/>
  <c r="I27" i="26"/>
  <c r="I26" i="26"/>
  <c r="I25" i="26"/>
  <c r="I24" i="26"/>
  <c r="I20" i="26"/>
  <c r="I19" i="26"/>
  <c r="I18" i="26"/>
  <c r="I17" i="26"/>
  <c r="I16" i="26"/>
  <c r="I15" i="26"/>
  <c r="I13" i="26"/>
  <c r="I12" i="26"/>
  <c r="I11" i="26"/>
  <c r="I10" i="26"/>
  <c r="I9" i="26"/>
  <c r="I8" i="26"/>
  <c r="K16" i="33" l="1"/>
  <c r="K18" i="33" s="1"/>
  <c r="K36" i="33" l="1"/>
  <c r="K27" i="33"/>
  <c r="K28" i="33" s="1"/>
  <c r="K37" i="33"/>
  <c r="K31" i="33"/>
  <c r="S4" i="38" l="1"/>
  <c r="S37" i="38"/>
  <c r="S36" i="38"/>
  <c r="S35" i="38"/>
  <c r="S34" i="38"/>
  <c r="S33" i="38"/>
  <c r="S32" i="38"/>
  <c r="S31" i="38"/>
  <c r="S4" i="13"/>
  <c r="DM20" i="11" l="1"/>
  <c r="S4" i="4" l="1"/>
  <c r="S4" i="5"/>
  <c r="R6" i="6" l="1"/>
  <c r="R4" i="6" s="1"/>
  <c r="M6" i="6" l="1"/>
  <c r="K250" i="1"/>
  <c r="K13" i="1"/>
  <c r="K125" i="3" l="1"/>
  <c r="K121" i="3"/>
  <c r="K117" i="3"/>
  <c r="K107" i="3"/>
  <c r="K87" i="3"/>
  <c r="K76" i="3"/>
  <c r="K37" i="3"/>
  <c r="K26" i="3"/>
  <c r="K6" i="3"/>
  <c r="I221" i="1"/>
  <c r="I210" i="1"/>
  <c r="J250" i="1"/>
  <c r="I250" i="1"/>
  <c r="H250" i="1"/>
  <c r="K236" i="1"/>
  <c r="J236" i="1"/>
  <c r="H236" i="1"/>
  <c r="K232" i="1"/>
  <c r="J232" i="1"/>
  <c r="H232" i="1"/>
  <c r="K230" i="1"/>
  <c r="J230" i="1"/>
  <c r="I230" i="1"/>
  <c r="H230" i="1"/>
  <c r="K223" i="1"/>
  <c r="J223" i="1"/>
  <c r="H223" i="1"/>
  <c r="K221" i="1"/>
  <c r="J221" i="1"/>
  <c r="H221" i="1"/>
  <c r="K219" i="1"/>
  <c r="J219" i="1"/>
  <c r="H219" i="1"/>
  <c r="K217" i="1"/>
  <c r="J217" i="1"/>
  <c r="H217" i="1"/>
  <c r="K214" i="1"/>
  <c r="J214" i="1"/>
  <c r="H214" i="1"/>
  <c r="K210" i="1"/>
  <c r="J210" i="1"/>
  <c r="H210" i="1"/>
  <c r="K208" i="1"/>
  <c r="J208" i="1"/>
  <c r="H208" i="1"/>
  <c r="K179" i="1"/>
  <c r="J179" i="1"/>
  <c r="H179" i="1"/>
  <c r="K171" i="1"/>
  <c r="J171" i="1"/>
  <c r="H171" i="1"/>
  <c r="K149" i="1"/>
  <c r="J149" i="1"/>
  <c r="H149" i="1"/>
  <c r="K144" i="1"/>
  <c r="J144" i="1"/>
  <c r="H144" i="1"/>
  <c r="K94" i="1"/>
  <c r="J94" i="1"/>
  <c r="H94" i="1"/>
  <c r="K90" i="1"/>
  <c r="J90" i="1"/>
  <c r="H90" i="1"/>
  <c r="K84" i="1"/>
  <c r="J84" i="1"/>
  <c r="H84" i="1"/>
  <c r="K75" i="1"/>
  <c r="J75" i="1"/>
  <c r="H75" i="1"/>
  <c r="K57" i="1"/>
  <c r="J57" i="1"/>
  <c r="H57" i="1"/>
  <c r="K52" i="1"/>
  <c r="J52" i="1"/>
  <c r="H52" i="1"/>
  <c r="K42" i="1"/>
  <c r="J42" i="1"/>
  <c r="H42" i="1"/>
  <c r="K38" i="1"/>
  <c r="J38" i="1"/>
  <c r="H38" i="1"/>
  <c r="K15" i="1"/>
  <c r="J15" i="1"/>
  <c r="H15" i="1"/>
  <c r="K8" i="1"/>
  <c r="H8" i="1"/>
  <c r="J7" i="1" l="1"/>
  <c r="H74" i="1"/>
  <c r="H148" i="1"/>
  <c r="H213" i="1"/>
  <c r="J213" i="1"/>
  <c r="J148" i="1"/>
  <c r="J74" i="1"/>
  <c r="K36" i="3"/>
  <c r="K75" i="3" s="1"/>
  <c r="K124" i="3" s="1"/>
  <c r="K127" i="3" s="1"/>
  <c r="K213" i="1"/>
  <c r="K148" i="1"/>
  <c r="K7" i="1"/>
  <c r="I223" i="1"/>
  <c r="K74" i="1"/>
  <c r="H7" i="1"/>
  <c r="K249" i="1" l="1"/>
  <c r="K246" i="1" s="1"/>
  <c r="K229" i="1" s="1"/>
  <c r="K228" i="1" s="1"/>
  <c r="K4" i="23"/>
  <c r="J6" i="1"/>
  <c r="K128" i="3"/>
  <c r="H6" i="1"/>
  <c r="H147" i="1"/>
  <c r="J147" i="1"/>
  <c r="K147" i="1"/>
  <c r="K6" i="1"/>
  <c r="AF253" i="1"/>
  <c r="K252" i="1" l="1"/>
  <c r="P209" i="31" l="1"/>
  <c r="U12" i="23" l="1"/>
  <c r="K11" i="31"/>
  <c r="J76" i="25"/>
  <c r="J97" i="25"/>
  <c r="J50" i="25"/>
  <c r="J67" i="25"/>
  <c r="L11" i="31" l="1"/>
  <c r="P11" i="31" s="1"/>
  <c r="J66" i="25"/>
  <c r="J6" i="25"/>
  <c r="J5" i="25" s="1"/>
  <c r="J91" i="25"/>
  <c r="M11" i="31" l="1"/>
  <c r="J102" i="25"/>
  <c r="J105" i="25" s="1"/>
  <c r="I13" i="39" l="1"/>
  <c r="K13" i="39" s="1"/>
  <c r="I12" i="39"/>
  <c r="I8" i="39"/>
  <c r="I10" i="39"/>
  <c r="K8" i="39" l="1"/>
  <c r="T20" i="33" l="1"/>
  <c r="T18" i="33"/>
  <c r="T16" i="33"/>
  <c r="N37" i="33" l="1"/>
  <c r="N36" i="33"/>
  <c r="N35" i="33"/>
  <c r="N34" i="33"/>
  <c r="M37" i="33"/>
  <c r="M36" i="33"/>
  <c r="M35" i="33"/>
  <c r="M34" i="33"/>
  <c r="P36" i="26" l="1"/>
  <c r="G3" i="25" l="1"/>
  <c r="G97" i="25"/>
  <c r="G76" i="25"/>
  <c r="G67" i="25"/>
  <c r="G50" i="25"/>
  <c r="G6" i="25" s="1"/>
  <c r="G5" i="25" s="1"/>
  <c r="L20" i="33"/>
  <c r="L19" i="33"/>
  <c r="L17" i="33"/>
  <c r="L15" i="33"/>
  <c r="L14" i="33"/>
  <c r="L13" i="33"/>
  <c r="L12" i="33"/>
  <c r="L11" i="33"/>
  <c r="L9" i="33"/>
  <c r="L7" i="33"/>
  <c r="L6" i="33"/>
  <c r="K41" i="26"/>
  <c r="K40" i="26"/>
  <c r="K39" i="26"/>
  <c r="K38" i="26"/>
  <c r="K34" i="26"/>
  <c r="K33" i="26"/>
  <c r="K32" i="26"/>
  <c r="K31" i="26"/>
  <c r="K30" i="26"/>
  <c r="K28" i="26"/>
  <c r="K27" i="26"/>
  <c r="K26" i="26"/>
  <c r="K25" i="26"/>
  <c r="K24" i="26"/>
  <c r="K20" i="26"/>
  <c r="K19" i="26"/>
  <c r="K18" i="26"/>
  <c r="K17" i="26"/>
  <c r="K16" i="26"/>
  <c r="K15" i="26"/>
  <c r="K13" i="26"/>
  <c r="K12" i="26"/>
  <c r="K11" i="26"/>
  <c r="K10" i="26"/>
  <c r="K9" i="26"/>
  <c r="K8" i="26"/>
  <c r="P41" i="26"/>
  <c r="P40" i="26"/>
  <c r="P39" i="26"/>
  <c r="P38" i="26"/>
  <c r="P34" i="26"/>
  <c r="P33" i="26"/>
  <c r="P32" i="26"/>
  <c r="P31" i="26"/>
  <c r="P30" i="26"/>
  <c r="P28" i="26"/>
  <c r="P27" i="26"/>
  <c r="P26" i="26"/>
  <c r="P25" i="26"/>
  <c r="P24" i="26"/>
  <c r="P19" i="26"/>
  <c r="P18" i="26"/>
  <c r="P17" i="26"/>
  <c r="P16" i="26"/>
  <c r="P15" i="26"/>
  <c r="P13" i="26"/>
  <c r="P12" i="26"/>
  <c r="P11" i="26"/>
  <c r="P10" i="26"/>
  <c r="P9" i="26"/>
  <c r="P8" i="26"/>
  <c r="G66" i="25" l="1"/>
  <c r="J29" i="26"/>
  <c r="P29" i="26" s="1"/>
  <c r="J23" i="26"/>
  <c r="P23" i="26" s="1"/>
  <c r="J14" i="26"/>
  <c r="P14" i="26" s="1"/>
  <c r="J37" i="26"/>
  <c r="G91" i="25"/>
  <c r="L8" i="33"/>
  <c r="J7" i="26"/>
  <c r="G102" i="25" l="1"/>
  <c r="G105" i="25" s="1"/>
  <c r="G107" i="25" s="1"/>
  <c r="L10" i="33"/>
  <c r="L34" i="33"/>
  <c r="J46" i="26"/>
  <c r="P7" i="26"/>
  <c r="J42" i="26"/>
  <c r="P42" i="26" s="1"/>
  <c r="P37" i="26"/>
  <c r="J35" i="26"/>
  <c r="J21" i="26"/>
  <c r="L16" i="33" l="1"/>
  <c r="L35" i="33"/>
  <c r="P21" i="26"/>
  <c r="J43" i="26"/>
  <c r="P43" i="26" s="1"/>
  <c r="P35" i="26"/>
  <c r="L36" i="33" l="1"/>
  <c r="L18" i="33"/>
  <c r="J45" i="26"/>
  <c r="U250" i="31"/>
  <c r="U247" i="31"/>
  <c r="U244" i="31"/>
  <c r="U243" i="31"/>
  <c r="K367" i="23"/>
  <c r="K368" i="23"/>
  <c r="K369" i="23"/>
  <c r="K370" i="23"/>
  <c r="K371" i="23"/>
  <c r="K372" i="23"/>
  <c r="K373" i="23"/>
  <c r="K374" i="23"/>
  <c r="K375" i="23"/>
  <c r="K376" i="23"/>
  <c r="K377" i="23"/>
  <c r="K378" i="23"/>
  <c r="K379" i="23"/>
  <c r="K380" i="23"/>
  <c r="K381" i="23"/>
  <c r="L37" i="33" l="1"/>
  <c r="L31" i="33"/>
  <c r="L32" i="33" s="1"/>
  <c r="G128" i="24"/>
  <c r="J128" i="24" s="1"/>
  <c r="M128" i="24" s="1"/>
  <c r="V14" i="13"/>
  <c r="V4" i="13" s="1"/>
  <c r="R125" i="23" l="1"/>
  <c r="Q125" i="23"/>
  <c r="P125" i="23"/>
  <c r="O125" i="23"/>
  <c r="N125" i="23"/>
  <c r="K362" i="23"/>
  <c r="K361" i="23"/>
  <c r="K360" i="23"/>
  <c r="S125" i="23" l="1"/>
  <c r="U125" i="23" s="1"/>
  <c r="F44" i="25" s="1"/>
  <c r="M24" i="14" l="1"/>
  <c r="F25" i="14"/>
  <c r="L101" i="3"/>
  <c r="U103" i="3"/>
  <c r="T103" i="3"/>
  <c r="S103" i="3"/>
  <c r="R103" i="3"/>
  <c r="Q103" i="3"/>
  <c r="O103" i="3"/>
  <c r="N103" i="3"/>
  <c r="U101" i="3"/>
  <c r="T101" i="3"/>
  <c r="S101" i="3"/>
  <c r="R101" i="3"/>
  <c r="Q101" i="3"/>
  <c r="O101" i="3"/>
  <c r="N101" i="3"/>
  <c r="K130" i="3" l="1"/>
  <c r="V101" i="3"/>
  <c r="X101" i="3" l="1"/>
  <c r="Z101" i="3" s="1"/>
  <c r="AB101" i="3" s="1"/>
  <c r="L160" i="22" l="1"/>
  <c r="J160" i="22" s="1"/>
  <c r="L85" i="3"/>
  <c r="U85" i="3"/>
  <c r="T85" i="3"/>
  <c r="S85" i="3"/>
  <c r="R85" i="3"/>
  <c r="Q85" i="3"/>
  <c r="P85" i="3"/>
  <c r="O85" i="3"/>
  <c r="N85" i="3"/>
  <c r="V85" i="3" l="1"/>
  <c r="X85" i="3" s="1"/>
  <c r="Z85" i="3" s="1"/>
  <c r="AB85" i="3" s="1"/>
  <c r="L150" i="22" l="1"/>
  <c r="J150" i="22" s="1"/>
  <c r="W125" i="23"/>
  <c r="G71" i="24" l="1"/>
  <c r="M71" i="24" s="1"/>
  <c r="V5" i="9" l="1"/>
  <c r="V31" i="8"/>
  <c r="L46" i="6" l="1"/>
  <c r="L16" i="6" l="1"/>
  <c r="L15" i="6"/>
  <c r="L14" i="6"/>
  <c r="M17" i="6" s="1"/>
  <c r="G84" i="24" l="1"/>
  <c r="M18" i="6"/>
  <c r="AE29" i="8"/>
  <c r="AE30" i="8"/>
  <c r="AE31" i="8" l="1"/>
  <c r="AF31" i="8" s="1"/>
  <c r="AG31" i="8" s="1"/>
  <c r="AH31" i="8" s="1"/>
  <c r="AI31" i="8" s="1"/>
  <c r="AJ30" i="8" s="1"/>
  <c r="AJ31" i="8" l="1"/>
  <c r="V29" i="8"/>
  <c r="V30" i="8" l="1"/>
  <c r="E43" i="24"/>
  <c r="G43" i="24" s="1"/>
  <c r="J43" i="24" s="1"/>
  <c r="M43" i="24" s="1"/>
  <c r="M6" i="21"/>
  <c r="Q37" i="38"/>
  <c r="O37" i="38"/>
  <c r="M37" i="38"/>
  <c r="Q27" i="38"/>
  <c r="R27" i="38" s="1"/>
  <c r="Q26" i="38"/>
  <c r="R26" i="38" s="1"/>
  <c r="Q25" i="38"/>
  <c r="L23" i="33" s="1"/>
  <c r="Q23" i="38"/>
  <c r="R23" i="38" s="1"/>
  <c r="Q22" i="38"/>
  <c r="Q21" i="38"/>
  <c r="R21" i="38" s="1"/>
  <c r="Q20" i="38"/>
  <c r="R20" i="38" s="1"/>
  <c r="Q19" i="38"/>
  <c r="R19" i="38" s="1"/>
  <c r="Q18" i="38"/>
  <c r="R18" i="38" s="1"/>
  <c r="Q17" i="38"/>
  <c r="R17" i="38" s="1"/>
  <c r="Q16" i="38"/>
  <c r="R16" i="38" s="1"/>
  <c r="Q15" i="38"/>
  <c r="R15" i="38" s="1"/>
  <c r="Q13" i="38"/>
  <c r="R13" i="38" s="1"/>
  <c r="Q12" i="38"/>
  <c r="R12" i="38" s="1"/>
  <c r="Q11" i="38"/>
  <c r="R11" i="38" s="1"/>
  <c r="Q9" i="38"/>
  <c r="R9" i="38" s="1"/>
  <c r="AG253" i="1"/>
  <c r="R25" i="38" l="1"/>
  <c r="R22" i="38"/>
  <c r="L25" i="33"/>
  <c r="L21" i="33" s="1"/>
  <c r="R31" i="38"/>
  <c r="O27" i="38"/>
  <c r="P27" i="38" s="1"/>
  <c r="O26" i="38"/>
  <c r="P26" i="38" s="1"/>
  <c r="O25" i="38"/>
  <c r="H9" i="39" s="1"/>
  <c r="O23" i="38"/>
  <c r="P23" i="38" s="1"/>
  <c r="O22" i="38"/>
  <c r="P22" i="38" s="1"/>
  <c r="O21" i="38"/>
  <c r="P21" i="38" s="1"/>
  <c r="O20" i="38"/>
  <c r="P20" i="38" s="1"/>
  <c r="O19" i="38"/>
  <c r="P19" i="38" s="1"/>
  <c r="O18" i="38"/>
  <c r="O17" i="38"/>
  <c r="P17" i="38" s="1"/>
  <c r="O16" i="38"/>
  <c r="P16" i="38" s="1"/>
  <c r="O15" i="38"/>
  <c r="P15" i="38" s="1"/>
  <c r="O13" i="38"/>
  <c r="O12" i="38"/>
  <c r="P12" i="38" s="1"/>
  <c r="O11" i="38"/>
  <c r="P11" i="38" s="1"/>
  <c r="O9" i="38"/>
  <c r="O8" i="38" s="1"/>
  <c r="O33" i="38" s="1"/>
  <c r="Q8" i="38"/>
  <c r="Q33" i="38" s="1"/>
  <c r="V28" i="12"/>
  <c r="V27" i="12"/>
  <c r="V26" i="12"/>
  <c r="V25" i="12"/>
  <c r="V24" i="12"/>
  <c r="P18" i="38" l="1"/>
  <c r="P14" i="38" s="1"/>
  <c r="G14" i="39"/>
  <c r="P13" i="38"/>
  <c r="P10" i="38" s="1"/>
  <c r="F14" i="39"/>
  <c r="L27" i="33"/>
  <c r="L28" i="33" s="1"/>
  <c r="P31" i="38"/>
  <c r="P9" i="38"/>
  <c r="P8" i="38" s="1"/>
  <c r="Q24" i="38"/>
  <c r="Q36" i="38" s="1"/>
  <c r="O24" i="38"/>
  <c r="O36" i="38" s="1"/>
  <c r="P25" i="38"/>
  <c r="P24" i="38" s="1"/>
  <c r="Q10" i="38"/>
  <c r="Q34" i="38" s="1"/>
  <c r="Q14" i="38"/>
  <c r="Q35" i="38" s="1"/>
  <c r="O10" i="38"/>
  <c r="O34" i="38" s="1"/>
  <c r="O14" i="38"/>
  <c r="O35" i="38" s="1"/>
  <c r="Q7" i="38" l="1"/>
  <c r="O7" i="38"/>
  <c r="P7" i="38"/>
  <c r="P6" i="38" s="1"/>
  <c r="O6" i="38" l="1"/>
  <c r="O32" i="38"/>
  <c r="Q6" i="38"/>
  <c r="Q4" i="38" s="1"/>
  <c r="Q32" i="38"/>
  <c r="DM31" i="11"/>
  <c r="DM30" i="11"/>
  <c r="V24" i="8"/>
  <c r="V23" i="8"/>
  <c r="V22" i="8"/>
  <c r="V18" i="8"/>
  <c r="V19" i="8" s="1"/>
  <c r="R4" i="4"/>
  <c r="R4" i="5"/>
  <c r="O31" i="38" l="1"/>
  <c r="O4" i="38"/>
  <c r="Q31" i="38"/>
  <c r="V20" i="8" l="1"/>
  <c r="V21" i="8" l="1"/>
  <c r="V25" i="8"/>
  <c r="V26" i="8" s="1"/>
  <c r="L37" i="6"/>
  <c r="M38" i="6" s="1"/>
  <c r="L33" i="6"/>
  <c r="M34" i="6" s="1"/>
  <c r="L30" i="6"/>
  <c r="M32" i="6" s="1"/>
  <c r="L28" i="6"/>
  <c r="M29" i="6" s="1"/>
  <c r="M24" i="6"/>
  <c r="L27" i="6" s="1"/>
  <c r="M22" i="6"/>
  <c r="L23" i="6" s="1"/>
  <c r="M20" i="6"/>
  <c r="M19" i="6"/>
  <c r="M12" i="6"/>
  <c r="L12" i="6"/>
  <c r="L8" i="6"/>
  <c r="M9" i="6" s="1"/>
  <c r="M13" i="6" l="1"/>
  <c r="L7" i="6"/>
  <c r="M10" i="6"/>
  <c r="L11" i="6" s="1"/>
  <c r="L21" i="6"/>
  <c r="L4" i="6" l="1"/>
  <c r="R3" i="6" s="1"/>
  <c r="M4" i="6"/>
  <c r="H107" i="3"/>
  <c r="I107" i="3"/>
  <c r="T207" i="1" l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8" i="1"/>
  <c r="T177" i="1"/>
  <c r="T176" i="1"/>
  <c r="T175" i="1"/>
  <c r="T174" i="1"/>
  <c r="T173" i="1"/>
  <c r="T172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50" i="1"/>
  <c r="T248" i="1" l="1"/>
  <c r="R4" i="13" l="1"/>
  <c r="R4" i="9"/>
  <c r="R4" i="12"/>
  <c r="DM26" i="11"/>
  <c r="DL26" i="11"/>
  <c r="DS26" i="11" s="1"/>
  <c r="DK26" i="11"/>
  <c r="DR26" i="11" s="1"/>
  <c r="DM25" i="11"/>
  <c r="DL25" i="11"/>
  <c r="DS25" i="11" s="1"/>
  <c r="DK25" i="11"/>
  <c r="DR25" i="11" s="1"/>
  <c r="DM24" i="11"/>
  <c r="DL24" i="11"/>
  <c r="DS24" i="11" s="1"/>
  <c r="DK24" i="11"/>
  <c r="DR24" i="11" s="1"/>
  <c r="DM23" i="11"/>
  <c r="DL23" i="11"/>
  <c r="DS23" i="11" s="1"/>
  <c r="DK23" i="11"/>
  <c r="DR23" i="11" s="1"/>
  <c r="DM22" i="11"/>
  <c r="DL22" i="11"/>
  <c r="DS22" i="11" s="1"/>
  <c r="DK22" i="11"/>
  <c r="DR22" i="11" s="1"/>
  <c r="DM21" i="11"/>
  <c r="DL21" i="11"/>
  <c r="DS21" i="11" s="1"/>
  <c r="DK21" i="11"/>
  <c r="DR21" i="11" s="1"/>
  <c r="DL20" i="11"/>
  <c r="DK20" i="11"/>
  <c r="DM13" i="11"/>
  <c r="DL13" i="11"/>
  <c r="DS13" i="11" s="1"/>
  <c r="DK13" i="11"/>
  <c r="DR13" i="11" s="1"/>
  <c r="DM12" i="11"/>
  <c r="DL12" i="11"/>
  <c r="DS12" i="11" s="1"/>
  <c r="DK12" i="11"/>
  <c r="DR12" i="11" s="1"/>
  <c r="DM11" i="11"/>
  <c r="DL11" i="11"/>
  <c r="DS11" i="11" s="1"/>
  <c r="DK11" i="11"/>
  <c r="DR11" i="11" s="1"/>
  <c r="DM10" i="11"/>
  <c r="DL10" i="11"/>
  <c r="DS10" i="11" s="1"/>
  <c r="DK10" i="11"/>
  <c r="DR10" i="11" s="1"/>
  <c r="DM9" i="11"/>
  <c r="DL9" i="11"/>
  <c r="DS9" i="11" s="1"/>
  <c r="DK9" i="11"/>
  <c r="DR9" i="11" s="1"/>
  <c r="DM8" i="11"/>
  <c r="DL8" i="11"/>
  <c r="DS8" i="11" s="1"/>
  <c r="DK8" i="11"/>
  <c r="DR8" i="11" s="1"/>
  <c r="DM7" i="11"/>
  <c r="DL7" i="11"/>
  <c r="DS7" i="11" s="1"/>
  <c r="DS20" i="11" s="1"/>
  <c r="DK7" i="11"/>
  <c r="DR7" i="11" s="1"/>
  <c r="DR20" i="11" s="1"/>
  <c r="DI14" i="11"/>
  <c r="DH14" i="11"/>
  <c r="DG14" i="11"/>
  <c r="DF14" i="11"/>
  <c r="DE14" i="11"/>
  <c r="DD14" i="11"/>
  <c r="DC14" i="11"/>
  <c r="DB14" i="11"/>
  <c r="DA14" i="11"/>
  <c r="CZ14" i="11"/>
  <c r="CY14" i="11"/>
  <c r="CX14" i="11"/>
  <c r="CW14" i="11"/>
  <c r="X16" i="10"/>
  <c r="V5" i="12"/>
  <c r="V5" i="13" s="1"/>
  <c r="DT24" i="11" l="1"/>
  <c r="DT12" i="11"/>
  <c r="DT13" i="11"/>
  <c r="DT10" i="11"/>
  <c r="DT26" i="11"/>
  <c r="DT11" i="11"/>
  <c r="DT8" i="11"/>
  <c r="DT25" i="11"/>
  <c r="DT9" i="11"/>
  <c r="DT23" i="11"/>
  <c r="DT20" i="11"/>
  <c r="DQ20" i="11" s="1"/>
  <c r="DT7" i="11"/>
  <c r="DT21" i="11"/>
  <c r="DT22" i="11"/>
  <c r="AB5" i="10"/>
  <c r="U24" i="1" l="1"/>
  <c r="T24" i="1"/>
  <c r="S24" i="1"/>
  <c r="R24" i="1"/>
  <c r="Q24" i="1"/>
  <c r="O24" i="1"/>
  <c r="N24" i="1"/>
  <c r="U34" i="1"/>
  <c r="T34" i="1"/>
  <c r="S34" i="1"/>
  <c r="R34" i="1"/>
  <c r="Q34" i="1"/>
  <c r="O34" i="1"/>
  <c r="N34" i="1"/>
  <c r="L34" i="1"/>
  <c r="L24" i="1"/>
  <c r="AJ4" i="1" l="1"/>
  <c r="AI4" i="1"/>
  <c r="AK38" i="1"/>
  <c r="AJ38" i="1"/>
  <c r="AI38" i="1"/>
  <c r="AK13" i="1"/>
  <c r="AJ13" i="1"/>
  <c r="AI13" i="1"/>
  <c r="AI7" i="1" l="1"/>
  <c r="AJ7" i="1"/>
  <c r="K357" i="48"/>
  <c r="K356" i="48" s="1"/>
  <c r="J357" i="48"/>
  <c r="J356" i="48" s="1"/>
  <c r="I357" i="48"/>
  <c r="I356" i="48" s="1"/>
  <c r="H357" i="48"/>
  <c r="H356" i="48" s="1"/>
  <c r="L355" i="48"/>
  <c r="L354" i="48" s="1"/>
  <c r="L353" i="48" s="1"/>
  <c r="K354" i="48"/>
  <c r="K353" i="48" s="1"/>
  <c r="J354" i="48"/>
  <c r="J353" i="48" s="1"/>
  <c r="I354" i="48"/>
  <c r="I353" i="48" s="1"/>
  <c r="H354" i="48"/>
  <c r="H353" i="48" s="1"/>
  <c r="L352" i="48"/>
  <c r="K351" i="48"/>
  <c r="K350" i="48" s="1"/>
  <c r="J351" i="48"/>
  <c r="J350" i="48" s="1"/>
  <c r="I351" i="48"/>
  <c r="I350" i="48" s="1"/>
  <c r="H351" i="48"/>
  <c r="H350" i="48" s="1"/>
  <c r="L348" i="48"/>
  <c r="L347" i="48" s="1"/>
  <c r="L346" i="48" s="1"/>
  <c r="K347" i="48"/>
  <c r="K346" i="48" s="1"/>
  <c r="J347" i="48"/>
  <c r="J346" i="48" s="1"/>
  <c r="I347" i="48"/>
  <c r="I346" i="48" s="1"/>
  <c r="H347" i="48"/>
  <c r="H346" i="48" s="1"/>
  <c r="L345" i="48"/>
  <c r="L344" i="48" s="1"/>
  <c r="L343" i="48" s="1"/>
  <c r="K344" i="48"/>
  <c r="K343" i="48" s="1"/>
  <c r="J344" i="48"/>
  <c r="J343" i="48" s="1"/>
  <c r="I344" i="48"/>
  <c r="I343" i="48" s="1"/>
  <c r="H344" i="48"/>
  <c r="H343" i="48" s="1"/>
  <c r="L342" i="48"/>
  <c r="L341" i="48"/>
  <c r="L340" i="48"/>
  <c r="L339" i="48"/>
  <c r="L338" i="48"/>
  <c r="L337" i="48"/>
  <c r="L336" i="48"/>
  <c r="L335" i="48"/>
  <c r="L334" i="48"/>
  <c r="L333" i="48"/>
  <c r="L332" i="48"/>
  <c r="L331" i="48"/>
  <c r="L330" i="48"/>
  <c r="L329" i="48"/>
  <c r="L328" i="48"/>
  <c r="L327" i="48"/>
  <c r="L326" i="48"/>
  <c r="L325" i="48"/>
  <c r="L324" i="48"/>
  <c r="K323" i="48"/>
  <c r="J323" i="48"/>
  <c r="I323" i="48"/>
  <c r="H323" i="48"/>
  <c r="L322" i="48"/>
  <c r="L321" i="48"/>
  <c r="L320" i="48"/>
  <c r="L319" i="48"/>
  <c r="L318" i="48"/>
  <c r="L317" i="48"/>
  <c r="L316" i="48"/>
  <c r="L315" i="48"/>
  <c r="L314" i="48"/>
  <c r="L313" i="48"/>
  <c r="L312" i="48"/>
  <c r="L311" i="48"/>
  <c r="L310" i="48"/>
  <c r="L309" i="48"/>
  <c r="L308" i="48"/>
  <c r="L307" i="48"/>
  <c r="L306" i="48"/>
  <c r="L305" i="48"/>
  <c r="L304" i="48"/>
  <c r="L303" i="48"/>
  <c r="L302" i="48"/>
  <c r="K301" i="48"/>
  <c r="J301" i="48"/>
  <c r="I301" i="48"/>
  <c r="H301" i="48"/>
  <c r="L299" i="48"/>
  <c r="L298" i="48"/>
  <c r="L297" i="48"/>
  <c r="L296" i="48"/>
  <c r="L295" i="48"/>
  <c r="L294" i="48"/>
  <c r="L293" i="48"/>
  <c r="L292" i="48"/>
  <c r="L291" i="48"/>
  <c r="L290" i="48"/>
  <c r="L289" i="48"/>
  <c r="L288" i="48"/>
  <c r="L287" i="48"/>
  <c r="L286" i="48"/>
  <c r="L285" i="48"/>
  <c r="L284" i="48"/>
  <c r="L283" i="48"/>
  <c r="L282" i="48"/>
  <c r="L281" i="48"/>
  <c r="L280" i="48"/>
  <c r="L279" i="48"/>
  <c r="L278" i="48"/>
  <c r="L277" i="48"/>
  <c r="L276" i="48"/>
  <c r="L275" i="48"/>
  <c r="L274" i="48"/>
  <c r="L273" i="48"/>
  <c r="L272" i="48"/>
  <c r="L271" i="48"/>
  <c r="L270" i="48"/>
  <c r="L269" i="48"/>
  <c r="L268" i="48"/>
  <c r="L267" i="48"/>
  <c r="L266" i="48"/>
  <c r="L265" i="48"/>
  <c r="L264" i="48"/>
  <c r="L263" i="48"/>
  <c r="L262" i="48"/>
  <c r="L261" i="48"/>
  <c r="L260" i="48"/>
  <c r="L259" i="48"/>
  <c r="L258" i="48"/>
  <c r="L257" i="48"/>
  <c r="L256" i="48"/>
  <c r="L255" i="48"/>
  <c r="L254" i="48"/>
  <c r="L253" i="48"/>
  <c r="L252" i="48"/>
  <c r="L251" i="48"/>
  <c r="L250" i="48"/>
  <c r="L249" i="48"/>
  <c r="L248" i="48"/>
  <c r="L247" i="48"/>
  <c r="L246" i="48"/>
  <c r="L245" i="48"/>
  <c r="L244" i="48"/>
  <c r="L243" i="48"/>
  <c r="L242" i="48"/>
  <c r="K241" i="48"/>
  <c r="J241" i="48"/>
  <c r="I241" i="48"/>
  <c r="H241" i="48"/>
  <c r="L240" i="48"/>
  <c r="L239" i="48"/>
  <c r="L238" i="48"/>
  <c r="L237" i="48"/>
  <c r="L236" i="48"/>
  <c r="L235" i="48"/>
  <c r="L234" i="48"/>
  <c r="L233" i="48"/>
  <c r="L232" i="48"/>
  <c r="L231" i="48"/>
  <c r="L230" i="48"/>
  <c r="L229" i="48"/>
  <c r="L228" i="48"/>
  <c r="L227" i="48"/>
  <c r="L226" i="48"/>
  <c r="L225" i="48"/>
  <c r="L224" i="48"/>
  <c r="L223" i="48"/>
  <c r="L222" i="48"/>
  <c r="L221" i="48"/>
  <c r="L220" i="48"/>
  <c r="L219" i="48"/>
  <c r="L218" i="48"/>
  <c r="L217" i="48"/>
  <c r="L216" i="48"/>
  <c r="L215" i="48"/>
  <c r="L214" i="48"/>
  <c r="L213" i="48"/>
  <c r="L212" i="48"/>
  <c r="L211" i="48"/>
  <c r="L210" i="48"/>
  <c r="L209" i="48"/>
  <c r="L208" i="48"/>
  <c r="L207" i="48"/>
  <c r="L206" i="48"/>
  <c r="L205" i="48"/>
  <c r="L204" i="48"/>
  <c r="L203" i="48"/>
  <c r="L202" i="48"/>
  <c r="L201" i="48"/>
  <c r="L200" i="48"/>
  <c r="L199" i="48"/>
  <c r="L198" i="48"/>
  <c r="L197" i="48"/>
  <c r="L196" i="48"/>
  <c r="L195" i="48"/>
  <c r="L194" i="48"/>
  <c r="L193" i="48"/>
  <c r="L192" i="48"/>
  <c r="L191" i="48"/>
  <c r="L190" i="48"/>
  <c r="L189" i="48"/>
  <c r="L188" i="48"/>
  <c r="L187" i="48"/>
  <c r="L186" i="48"/>
  <c r="L185" i="48"/>
  <c r="L184" i="48"/>
  <c r="L183" i="48"/>
  <c r="K182" i="48"/>
  <c r="J182" i="48"/>
  <c r="I182" i="48"/>
  <c r="H182" i="48"/>
  <c r="L180" i="48"/>
  <c r="L179" i="48"/>
  <c r="L178" i="48"/>
  <c r="L177" i="48"/>
  <c r="L176" i="48"/>
  <c r="K175" i="48"/>
  <c r="J175" i="48"/>
  <c r="I175" i="48"/>
  <c r="H175" i="48"/>
  <c r="L174" i="48"/>
  <c r="L173" i="48"/>
  <c r="L172" i="48"/>
  <c r="L171" i="48"/>
  <c r="L170" i="48"/>
  <c r="L169" i="48"/>
  <c r="L168" i="48"/>
  <c r="L167" i="48"/>
  <c r="L166" i="48"/>
  <c r="L165" i="48"/>
  <c r="L164" i="48"/>
  <c r="L163" i="48"/>
  <c r="L162" i="48"/>
  <c r="L161" i="48"/>
  <c r="L160" i="48"/>
  <c r="L159" i="48"/>
  <c r="L158" i="48"/>
  <c r="L157" i="48"/>
  <c r="L156" i="48"/>
  <c r="L155" i="48"/>
  <c r="L154" i="48"/>
  <c r="L153" i="48"/>
  <c r="L152" i="48"/>
  <c r="L151" i="48"/>
  <c r="L150" i="48"/>
  <c r="L149" i="48"/>
  <c r="L148" i="48"/>
  <c r="L147" i="48"/>
  <c r="L146" i="48"/>
  <c r="L145" i="48"/>
  <c r="L144" i="48"/>
  <c r="L143" i="48"/>
  <c r="L142" i="48"/>
  <c r="L141" i="48"/>
  <c r="L140" i="48"/>
  <c r="L139" i="48"/>
  <c r="L138" i="48"/>
  <c r="L137" i="48"/>
  <c r="L136" i="48"/>
  <c r="L135" i="48"/>
  <c r="L134" i="48"/>
  <c r="L133" i="48"/>
  <c r="L132" i="48"/>
  <c r="L131" i="48"/>
  <c r="L130" i="48"/>
  <c r="L129" i="48"/>
  <c r="L128" i="48"/>
  <c r="L127" i="48"/>
  <c r="L126" i="48"/>
  <c r="K125" i="48"/>
  <c r="J125" i="48"/>
  <c r="I125" i="48"/>
  <c r="H125" i="48"/>
  <c r="L124" i="48"/>
  <c r="L123" i="48"/>
  <c r="L122" i="48"/>
  <c r="L121" i="48"/>
  <c r="L120" i="48"/>
  <c r="L119" i="48"/>
  <c r="L118" i="48"/>
  <c r="L117" i="48"/>
  <c r="L116" i="48"/>
  <c r="L115" i="48"/>
  <c r="L114" i="48"/>
  <c r="L113" i="48"/>
  <c r="L112" i="48"/>
  <c r="L111" i="48"/>
  <c r="L110" i="48"/>
  <c r="L109" i="48"/>
  <c r="L108" i="48"/>
  <c r="L107" i="48"/>
  <c r="L106" i="48"/>
  <c r="L105" i="48"/>
  <c r="L104" i="48"/>
  <c r="L103" i="48"/>
  <c r="L102" i="48"/>
  <c r="L101" i="48"/>
  <c r="L100" i="48"/>
  <c r="L99" i="48"/>
  <c r="L98" i="48"/>
  <c r="L97" i="48"/>
  <c r="L96" i="48"/>
  <c r="L95" i="48"/>
  <c r="L94" i="48"/>
  <c r="L93" i="48"/>
  <c r="L92" i="48"/>
  <c r="L91" i="48"/>
  <c r="L90" i="48"/>
  <c r="L89" i="48"/>
  <c r="L88" i="48"/>
  <c r="L87" i="48"/>
  <c r="L86" i="48"/>
  <c r="L85" i="48"/>
  <c r="L84" i="48"/>
  <c r="L83" i="48"/>
  <c r="L82" i="48"/>
  <c r="L81" i="48"/>
  <c r="L80" i="48"/>
  <c r="L79" i="48"/>
  <c r="L78" i="48"/>
  <c r="L77" i="48"/>
  <c r="L76" i="48"/>
  <c r="L75" i="48"/>
  <c r="K74" i="48"/>
  <c r="J74" i="48"/>
  <c r="I74" i="48"/>
  <c r="H74" i="48"/>
  <c r="L73" i="48"/>
  <c r="L72" i="48"/>
  <c r="L71" i="48"/>
  <c r="L70" i="48"/>
  <c r="L69" i="48"/>
  <c r="L68" i="48"/>
  <c r="L67" i="48"/>
  <c r="L66" i="48"/>
  <c r="L65" i="48"/>
  <c r="L64" i="48"/>
  <c r="L63" i="48"/>
  <c r="L62" i="48"/>
  <c r="L61" i="48"/>
  <c r="L60" i="48"/>
  <c r="L59" i="48"/>
  <c r="L58" i="48"/>
  <c r="L57" i="48"/>
  <c r="L56" i="48"/>
  <c r="L55" i="48"/>
  <c r="L54" i="48"/>
  <c r="L53" i="48"/>
  <c r="L52" i="48"/>
  <c r="L51" i="48"/>
  <c r="L50" i="48"/>
  <c r="L49" i="48"/>
  <c r="L48" i="48"/>
  <c r="L47" i="48"/>
  <c r="L46" i="48"/>
  <c r="L45" i="48"/>
  <c r="L44" i="48"/>
  <c r="L43" i="48"/>
  <c r="L42" i="48"/>
  <c r="L41" i="48"/>
  <c r="L40" i="48"/>
  <c r="L39" i="48"/>
  <c r="L38" i="48"/>
  <c r="L37" i="48"/>
  <c r="L36" i="48"/>
  <c r="L35" i="48"/>
  <c r="L34" i="48"/>
  <c r="L33" i="48"/>
  <c r="L32" i="48"/>
  <c r="L31" i="48"/>
  <c r="L30" i="48"/>
  <c r="L29" i="48"/>
  <c r="L28" i="48"/>
  <c r="L27" i="48"/>
  <c r="L26" i="48"/>
  <c r="L25" i="48"/>
  <c r="L24" i="48"/>
  <c r="L23" i="48"/>
  <c r="L22" i="48"/>
  <c r="L21" i="48"/>
  <c r="L20" i="48"/>
  <c r="L19" i="48"/>
  <c r="L18" i="48"/>
  <c r="L17" i="48"/>
  <c r="L16" i="48"/>
  <c r="L15" i="48"/>
  <c r="L14" i="48"/>
  <c r="L13" i="48"/>
  <c r="L12" i="48"/>
  <c r="L11" i="48"/>
  <c r="K10" i="48"/>
  <c r="J10" i="48"/>
  <c r="I10" i="48"/>
  <c r="H10" i="48"/>
  <c r="L9" i="48"/>
  <c r="L8" i="48" s="1"/>
  <c r="K8" i="48"/>
  <c r="J8" i="48"/>
  <c r="I8" i="48"/>
  <c r="H8" i="48"/>
  <c r="H181" i="48" l="1"/>
  <c r="K300" i="48"/>
  <c r="H300" i="48"/>
  <c r="I181" i="48"/>
  <c r="K181" i="48"/>
  <c r="J300" i="48"/>
  <c r="I300" i="48"/>
  <c r="J181" i="48"/>
  <c r="L323" i="48"/>
  <c r="I7" i="48"/>
  <c r="L182" i="48"/>
  <c r="L241" i="48"/>
  <c r="L10" i="48"/>
  <c r="L301" i="48"/>
  <c r="K7" i="48"/>
  <c r="L125" i="48"/>
  <c r="L74" i="48"/>
  <c r="H7" i="48"/>
  <c r="J7" i="48"/>
  <c r="L175" i="48"/>
  <c r="L351" i="48"/>
  <c r="L350" i="48" s="1"/>
  <c r="K349" i="48" l="1"/>
  <c r="H349" i="48"/>
  <c r="J349" i="48"/>
  <c r="L7" i="48"/>
  <c r="L181" i="48"/>
  <c r="I349" i="48"/>
  <c r="L300" i="48"/>
  <c r="U86" i="1"/>
  <c r="T86" i="1"/>
  <c r="S86" i="1"/>
  <c r="R86" i="1"/>
  <c r="Q86" i="1"/>
  <c r="O86" i="1"/>
  <c r="N86" i="1"/>
  <c r="L349" i="48" l="1"/>
  <c r="L358" i="48" s="1"/>
  <c r="L357" i="48" s="1"/>
  <c r="L356" i="48" s="1"/>
  <c r="L127" i="55"/>
  <c r="L125" i="55"/>
  <c r="P125" i="55" s="1"/>
  <c r="L316" i="55"/>
  <c r="L242" i="55"/>
  <c r="L221" i="55"/>
  <c r="L170" i="55"/>
  <c r="L155" i="55"/>
  <c r="L71" i="55"/>
  <c r="P71" i="55" s="1"/>
  <c r="L70" i="55"/>
  <c r="L68" i="55"/>
  <c r="L67" i="55"/>
  <c r="L17" i="55"/>
  <c r="L16" i="55"/>
  <c r="P315" i="55"/>
  <c r="M315" i="55"/>
  <c r="P314" i="55"/>
  <c r="M314" i="55"/>
  <c r="K242" i="55"/>
  <c r="M242" i="55" s="1"/>
  <c r="K221" i="55"/>
  <c r="K170" i="55"/>
  <c r="K127" i="55"/>
  <c r="K125" i="55"/>
  <c r="M125" i="55" s="1"/>
  <c r="K70" i="55"/>
  <c r="K68" i="55"/>
  <c r="K67" i="55"/>
  <c r="P67" i="55" s="1"/>
  <c r="K17" i="55"/>
  <c r="K16" i="55"/>
  <c r="U8" i="55"/>
  <c r="M3" i="55"/>
  <c r="P70" i="55" l="1"/>
  <c r="M170" i="55"/>
  <c r="M127" i="55"/>
  <c r="P127" i="55"/>
  <c r="P68" i="55"/>
  <c r="P242" i="55"/>
  <c r="M68" i="55"/>
  <c r="P16" i="55"/>
  <c r="M16" i="55"/>
  <c r="P17" i="55"/>
  <c r="M17" i="55"/>
  <c r="M67" i="55"/>
  <c r="P221" i="55"/>
  <c r="M221" i="55"/>
  <c r="P170" i="55"/>
  <c r="P155" i="55"/>
  <c r="P316" i="55"/>
  <c r="AA175" i="48" l="1"/>
  <c r="Z5" i="48"/>
  <c r="G100" i="24" l="1"/>
  <c r="G99" i="24"/>
  <c r="J100" i="24"/>
  <c r="J99" i="24"/>
  <c r="M99" i="24" s="1"/>
  <c r="P180" i="23" l="1"/>
  <c r="M100" i="24"/>
  <c r="AA349" i="48"/>
  <c r="AA323" i="48"/>
  <c r="AA300" i="48"/>
  <c r="AA241" i="48"/>
  <c r="AA182" i="48"/>
  <c r="AA181" i="48"/>
  <c r="AA125" i="48"/>
  <c r="AA74" i="48"/>
  <c r="AA10" i="48"/>
  <c r="AB350" i="48" l="1"/>
  <c r="AB351" i="48" s="1"/>
  <c r="AB352" i="48" s="1"/>
  <c r="L310" i="55" s="1"/>
  <c r="K381" i="48"/>
  <c r="J381" i="48"/>
  <c r="I381" i="48"/>
  <c r="H381" i="48"/>
  <c r="K380" i="48"/>
  <c r="J380" i="48"/>
  <c r="I380" i="48"/>
  <c r="H380" i="48"/>
  <c r="K379" i="48"/>
  <c r="J379" i="48"/>
  <c r="I379" i="48"/>
  <c r="H379" i="48"/>
  <c r="K378" i="48"/>
  <c r="J378" i="48"/>
  <c r="I378" i="48"/>
  <c r="H378" i="48"/>
  <c r="K377" i="48"/>
  <c r="J377" i="48"/>
  <c r="I377" i="48"/>
  <c r="H377" i="48"/>
  <c r="K376" i="48"/>
  <c r="J376" i="48"/>
  <c r="I376" i="48"/>
  <c r="H376" i="48"/>
  <c r="K375" i="48"/>
  <c r="J375" i="48"/>
  <c r="J384" i="48" s="1"/>
  <c r="I375" i="48"/>
  <c r="H375" i="48"/>
  <c r="K374" i="48"/>
  <c r="J374" i="48"/>
  <c r="I374" i="48"/>
  <c r="H374" i="48"/>
  <c r="K373" i="48"/>
  <c r="J373" i="48"/>
  <c r="I373" i="48"/>
  <c r="H373" i="48"/>
  <c r="K372" i="48"/>
  <c r="J372" i="48"/>
  <c r="I372" i="48"/>
  <c r="H372" i="48"/>
  <c r="K371" i="48"/>
  <c r="J371" i="48"/>
  <c r="I371" i="48"/>
  <c r="H371" i="48"/>
  <c r="K370" i="48"/>
  <c r="J370" i="48"/>
  <c r="I370" i="48"/>
  <c r="H370" i="48"/>
  <c r="K369" i="48"/>
  <c r="J369" i="48"/>
  <c r="I369" i="48"/>
  <c r="H369" i="48"/>
  <c r="K368" i="48"/>
  <c r="J368" i="48"/>
  <c r="I368" i="48"/>
  <c r="H368" i="48"/>
  <c r="K367" i="48"/>
  <c r="J367" i="48"/>
  <c r="I367" i="48"/>
  <c r="H367" i="48"/>
  <c r="K366" i="48"/>
  <c r="J366" i="48"/>
  <c r="I366" i="48"/>
  <c r="H366" i="48"/>
  <c r="K365" i="48"/>
  <c r="J365" i="48"/>
  <c r="I365" i="48"/>
  <c r="H365" i="48"/>
  <c r="T362" i="48"/>
  <c r="M362" i="48"/>
  <c r="K362" i="48"/>
  <c r="J362" i="48"/>
  <c r="I362" i="48"/>
  <c r="H362" i="48"/>
  <c r="T361" i="48"/>
  <c r="M361" i="48"/>
  <c r="K361" i="48"/>
  <c r="J361" i="48"/>
  <c r="I361" i="48"/>
  <c r="H361" i="48"/>
  <c r="T360" i="48"/>
  <c r="M360" i="48"/>
  <c r="K360" i="48"/>
  <c r="J360" i="48"/>
  <c r="I360" i="48"/>
  <c r="H360" i="48"/>
  <c r="U355" i="48"/>
  <c r="U354" i="48" s="1"/>
  <c r="U353" i="48" s="1"/>
  <c r="U342" i="48"/>
  <c r="U341" i="48"/>
  <c r="U340" i="48"/>
  <c r="U339" i="48"/>
  <c r="U338" i="48"/>
  <c r="U337" i="48"/>
  <c r="U336" i="48"/>
  <c r="U335" i="48"/>
  <c r="U334" i="48"/>
  <c r="U333" i="48"/>
  <c r="U332" i="48"/>
  <c r="U331" i="48"/>
  <c r="U330" i="48"/>
  <c r="U329" i="48"/>
  <c r="U328" i="48"/>
  <c r="U327" i="48"/>
  <c r="U326" i="48"/>
  <c r="U325" i="48"/>
  <c r="U324" i="48"/>
  <c r="U322" i="48"/>
  <c r="U321" i="48"/>
  <c r="U320" i="48"/>
  <c r="U319" i="48"/>
  <c r="U318" i="48"/>
  <c r="U317" i="48"/>
  <c r="U316" i="48"/>
  <c r="U315" i="48"/>
  <c r="U314" i="48"/>
  <c r="U313" i="48"/>
  <c r="U312" i="48"/>
  <c r="U311" i="48"/>
  <c r="U310" i="48"/>
  <c r="U309" i="48"/>
  <c r="U308" i="48"/>
  <c r="U307" i="48"/>
  <c r="U306" i="48"/>
  <c r="U305" i="48"/>
  <c r="U304" i="48"/>
  <c r="U303" i="48"/>
  <c r="U302" i="48"/>
  <c r="U299" i="48"/>
  <c r="U298" i="48"/>
  <c r="U296" i="48"/>
  <c r="U295" i="48"/>
  <c r="U294" i="48"/>
  <c r="U293" i="48"/>
  <c r="U292" i="48"/>
  <c r="U291" i="48"/>
  <c r="U290" i="48"/>
  <c r="U289" i="48"/>
  <c r="U288" i="48"/>
  <c r="U287" i="48"/>
  <c r="U286" i="48"/>
  <c r="U285" i="48"/>
  <c r="U284" i="48"/>
  <c r="U283" i="48"/>
  <c r="U282" i="48"/>
  <c r="U281" i="48"/>
  <c r="U280" i="48"/>
  <c r="U279" i="48"/>
  <c r="U278" i="48"/>
  <c r="U277" i="48"/>
  <c r="U276" i="48"/>
  <c r="U275" i="48"/>
  <c r="U274" i="48"/>
  <c r="U273" i="48"/>
  <c r="U272" i="48"/>
  <c r="U271" i="48"/>
  <c r="U270" i="48"/>
  <c r="U269" i="48"/>
  <c r="U268" i="48"/>
  <c r="U267" i="48"/>
  <c r="U266" i="48"/>
  <c r="U265" i="48"/>
  <c r="U264" i="48"/>
  <c r="U263" i="48"/>
  <c r="U262" i="48"/>
  <c r="U261" i="48"/>
  <c r="U260" i="48"/>
  <c r="U259" i="48"/>
  <c r="U258" i="48"/>
  <c r="U257" i="48"/>
  <c r="U256" i="48"/>
  <c r="U255" i="48"/>
  <c r="U254" i="48"/>
  <c r="U253" i="48"/>
  <c r="U252" i="48"/>
  <c r="U251" i="48"/>
  <c r="U249" i="48"/>
  <c r="U248" i="48"/>
  <c r="U247" i="48"/>
  <c r="U246" i="48"/>
  <c r="U245" i="48"/>
  <c r="U244" i="48"/>
  <c r="U243" i="48"/>
  <c r="U242" i="48"/>
  <c r="U240" i="48"/>
  <c r="U239" i="48"/>
  <c r="U238" i="48"/>
  <c r="U237" i="48"/>
  <c r="U236" i="48"/>
  <c r="U235" i="48"/>
  <c r="U234" i="48"/>
  <c r="U233" i="48"/>
  <c r="U232" i="48"/>
  <c r="U231" i="48"/>
  <c r="U230" i="48"/>
  <c r="U229" i="48"/>
  <c r="U228" i="48"/>
  <c r="U227" i="48"/>
  <c r="U226" i="48"/>
  <c r="U225" i="48"/>
  <c r="U224" i="48"/>
  <c r="U223" i="48"/>
  <c r="U222" i="48"/>
  <c r="U221" i="48"/>
  <c r="U220" i="48"/>
  <c r="U219" i="48"/>
  <c r="U218" i="48"/>
  <c r="U217" i="48"/>
  <c r="U216" i="48"/>
  <c r="U215" i="48"/>
  <c r="U214" i="48"/>
  <c r="U213" i="48"/>
  <c r="U212" i="48"/>
  <c r="U211" i="48"/>
  <c r="U210" i="48"/>
  <c r="U209" i="48"/>
  <c r="U208" i="48"/>
  <c r="U207" i="48"/>
  <c r="U206" i="48"/>
  <c r="U205" i="48"/>
  <c r="U204" i="48"/>
  <c r="U203" i="48"/>
  <c r="U202" i="48"/>
  <c r="U201" i="48"/>
  <c r="U200" i="48"/>
  <c r="U199" i="48"/>
  <c r="U198" i="48"/>
  <c r="U197" i="48"/>
  <c r="U196" i="48"/>
  <c r="U195" i="48"/>
  <c r="U194" i="48"/>
  <c r="U193" i="48"/>
  <c r="U192" i="48"/>
  <c r="U191" i="48"/>
  <c r="U190" i="48"/>
  <c r="U189" i="48"/>
  <c r="U188" i="48"/>
  <c r="U187" i="48"/>
  <c r="U186" i="48"/>
  <c r="U185" i="48"/>
  <c r="U184" i="48"/>
  <c r="U183" i="48"/>
  <c r="U178" i="48"/>
  <c r="U177" i="48"/>
  <c r="U176" i="48"/>
  <c r="U174" i="48"/>
  <c r="U173" i="48"/>
  <c r="U172" i="48"/>
  <c r="U171" i="48"/>
  <c r="U170" i="48"/>
  <c r="U169" i="48"/>
  <c r="U168" i="48"/>
  <c r="U167" i="48"/>
  <c r="U166" i="48"/>
  <c r="U165" i="48"/>
  <c r="U164" i="48"/>
  <c r="U163" i="48"/>
  <c r="U162" i="48"/>
  <c r="U161" i="48"/>
  <c r="U160" i="48"/>
  <c r="U159" i="48"/>
  <c r="U158" i="48"/>
  <c r="U157" i="48"/>
  <c r="U156" i="48"/>
  <c r="U155" i="48"/>
  <c r="U154" i="48"/>
  <c r="U153" i="48"/>
  <c r="U152" i="48"/>
  <c r="U151" i="48"/>
  <c r="U150" i="48"/>
  <c r="U149" i="48"/>
  <c r="U148" i="48"/>
  <c r="U147" i="48"/>
  <c r="U146" i="48"/>
  <c r="U145" i="48"/>
  <c r="U144" i="48"/>
  <c r="U143" i="48"/>
  <c r="U142" i="48"/>
  <c r="U141" i="48"/>
  <c r="U140" i="48"/>
  <c r="U139" i="48"/>
  <c r="U138" i="48"/>
  <c r="U137" i="48"/>
  <c r="U136" i="48"/>
  <c r="U135" i="48"/>
  <c r="U134" i="48"/>
  <c r="U133" i="48"/>
  <c r="U132" i="48"/>
  <c r="U131" i="48"/>
  <c r="U130" i="48"/>
  <c r="U129" i="48"/>
  <c r="U128" i="48"/>
  <c r="U127" i="48"/>
  <c r="U126" i="48"/>
  <c r="U124" i="48"/>
  <c r="U122" i="48"/>
  <c r="U121" i="48"/>
  <c r="U120" i="48"/>
  <c r="U119" i="48"/>
  <c r="U118" i="48"/>
  <c r="U117" i="48"/>
  <c r="U116" i="48"/>
  <c r="U113" i="48"/>
  <c r="U112" i="48"/>
  <c r="U111" i="48"/>
  <c r="U109" i="48"/>
  <c r="U108" i="48"/>
  <c r="U107" i="48"/>
  <c r="U106" i="48"/>
  <c r="U105" i="48"/>
  <c r="U104" i="48"/>
  <c r="U103" i="48"/>
  <c r="U102" i="48"/>
  <c r="U101" i="48"/>
  <c r="U100" i="48"/>
  <c r="U99" i="48"/>
  <c r="U98" i="48"/>
  <c r="U97" i="48"/>
  <c r="U96" i="48"/>
  <c r="U95" i="48"/>
  <c r="U94" i="48"/>
  <c r="U93" i="48"/>
  <c r="U92" i="48"/>
  <c r="U90" i="48"/>
  <c r="U88" i="48"/>
  <c r="U87" i="48"/>
  <c r="U86" i="48"/>
  <c r="U85" i="48"/>
  <c r="U84" i="48"/>
  <c r="U83" i="48"/>
  <c r="U82" i="48"/>
  <c r="U81" i="48"/>
  <c r="U79" i="48"/>
  <c r="U78" i="48"/>
  <c r="U77" i="48"/>
  <c r="U76" i="48"/>
  <c r="U73" i="48"/>
  <c r="U72" i="48"/>
  <c r="U71" i="48"/>
  <c r="U70" i="48"/>
  <c r="U69" i="48"/>
  <c r="U68" i="48"/>
  <c r="U67" i="48"/>
  <c r="U66" i="48"/>
  <c r="U65" i="48"/>
  <c r="U64" i="48"/>
  <c r="U63" i="48"/>
  <c r="U59" i="48"/>
  <c r="U55" i="48"/>
  <c r="U53" i="48"/>
  <c r="U51" i="48"/>
  <c r="U49" i="48"/>
  <c r="U47" i="48"/>
  <c r="U45" i="48"/>
  <c r="U43" i="48"/>
  <c r="U41" i="48"/>
  <c r="U40" i="48"/>
  <c r="AB40" i="48" s="1"/>
  <c r="L40" i="55" s="1"/>
  <c r="P40" i="55" s="1"/>
  <c r="U39" i="48"/>
  <c r="U37" i="48"/>
  <c r="U35" i="48"/>
  <c r="U31" i="48"/>
  <c r="U27" i="48"/>
  <c r="U25" i="48"/>
  <c r="U24" i="48"/>
  <c r="U23" i="48"/>
  <c r="U22" i="48"/>
  <c r="U21" i="48"/>
  <c r="U20" i="48"/>
  <c r="U19" i="48"/>
  <c r="U18" i="48"/>
  <c r="U16" i="48"/>
  <c r="U13" i="48"/>
  <c r="K5" i="48"/>
  <c r="J5" i="48"/>
  <c r="I5" i="48"/>
  <c r="H5" i="48"/>
  <c r="L309" i="55" l="1"/>
  <c r="P310" i="55"/>
  <c r="U9" i="48"/>
  <c r="U8" i="48" s="1"/>
  <c r="U57" i="48"/>
  <c r="AB57" i="48" s="1"/>
  <c r="L54" i="55" s="1"/>
  <c r="P54" i="55" s="1"/>
  <c r="U114" i="48"/>
  <c r="U26" i="48"/>
  <c r="AB26" i="48" s="1"/>
  <c r="L26" i="55" s="1"/>
  <c r="P26" i="55" s="1"/>
  <c r="U11" i="48"/>
  <c r="AB11" i="48" s="1"/>
  <c r="L9" i="55" s="1"/>
  <c r="U42" i="48"/>
  <c r="AB42" i="48" s="1"/>
  <c r="L42" i="55" s="1"/>
  <c r="P42" i="55" s="1"/>
  <c r="U50" i="48"/>
  <c r="AB50" i="48" s="1"/>
  <c r="U58" i="48"/>
  <c r="AB58" i="48" s="1"/>
  <c r="L55" i="55" s="1"/>
  <c r="P55" i="55" s="1"/>
  <c r="U75" i="48"/>
  <c r="U91" i="48"/>
  <c r="U115" i="48"/>
  <c r="U123" i="48"/>
  <c r="AB123" i="48" s="1"/>
  <c r="U34" i="48"/>
  <c r="AB34" i="48" s="1"/>
  <c r="L34" i="55" s="1"/>
  <c r="P34" i="55" s="1"/>
  <c r="U12" i="48"/>
  <c r="U28" i="48"/>
  <c r="AB28" i="48" s="1"/>
  <c r="L28" i="55" s="1"/>
  <c r="P28" i="55" s="1"/>
  <c r="U36" i="48"/>
  <c r="AB36" i="48" s="1"/>
  <c r="L36" i="55" s="1"/>
  <c r="P36" i="55" s="1"/>
  <c r="U182" i="48"/>
  <c r="U297" i="48"/>
  <c r="AB297" i="48" s="1"/>
  <c r="U29" i="48"/>
  <c r="U44" i="48"/>
  <c r="AB44" i="48" s="1"/>
  <c r="L44" i="55" s="1"/>
  <c r="P44" i="55" s="1"/>
  <c r="U52" i="48"/>
  <c r="AB52" i="48" s="1"/>
  <c r="L49" i="55" s="1"/>
  <c r="P49" i="55" s="1"/>
  <c r="U60" i="48"/>
  <c r="AB60" i="48" s="1"/>
  <c r="L57" i="55" s="1"/>
  <c r="U125" i="48"/>
  <c r="U250" i="48"/>
  <c r="U241" i="48" s="1"/>
  <c r="U323" i="48"/>
  <c r="U110" i="48"/>
  <c r="U14" i="48"/>
  <c r="U38" i="48"/>
  <c r="AB38" i="48" s="1"/>
  <c r="L38" i="55" s="1"/>
  <c r="P38" i="55" s="1"/>
  <c r="U15" i="48"/>
  <c r="AB15" i="48" s="1"/>
  <c r="L13" i="55" s="1"/>
  <c r="P13" i="55" s="1"/>
  <c r="U46" i="48"/>
  <c r="AB46" i="48" s="1"/>
  <c r="L46" i="55" s="1"/>
  <c r="P46" i="55" s="1"/>
  <c r="U54" i="48"/>
  <c r="AB54" i="48" s="1"/>
  <c r="L51" i="55" s="1"/>
  <c r="P51" i="55" s="1"/>
  <c r="U62" i="48"/>
  <c r="U301" i="48"/>
  <c r="U80" i="48"/>
  <c r="U348" i="48"/>
  <c r="U347" i="48" s="1"/>
  <c r="U346" i="48" s="1"/>
  <c r="U30" i="48"/>
  <c r="AB30" i="48" s="1"/>
  <c r="L30" i="55" s="1"/>
  <c r="P30" i="55" s="1"/>
  <c r="U32" i="48"/>
  <c r="AB32" i="48" s="1"/>
  <c r="L32" i="55" s="1"/>
  <c r="P32" i="55" s="1"/>
  <c r="U17" i="48"/>
  <c r="U33" i="48"/>
  <c r="U48" i="48"/>
  <c r="AB48" i="48" s="1"/>
  <c r="U56" i="48"/>
  <c r="AB56" i="48" s="1"/>
  <c r="L53" i="55" s="1"/>
  <c r="P53" i="55" s="1"/>
  <c r="U89" i="48"/>
  <c r="U180" i="48"/>
  <c r="U179" i="48"/>
  <c r="AB179" i="48" s="1"/>
  <c r="L154" i="55" s="1"/>
  <c r="P154" i="55" s="1"/>
  <c r="U352" i="48"/>
  <c r="U351" i="48" s="1"/>
  <c r="U350" i="48" s="1"/>
  <c r="U345" i="48"/>
  <c r="U344" i="48" s="1"/>
  <c r="U343" i="48" s="1"/>
  <c r="U61" i="48"/>
  <c r="W246" i="48"/>
  <c r="AB325" i="48"/>
  <c r="L284" i="55" s="1"/>
  <c r="P284" i="55" s="1"/>
  <c r="AB329" i="48"/>
  <c r="L288" i="55" s="1"/>
  <c r="P288" i="55" s="1"/>
  <c r="AB333" i="48"/>
  <c r="L291" i="55" s="1"/>
  <c r="P291" i="55" s="1"/>
  <c r="AB337" i="48"/>
  <c r="L295" i="55" s="1"/>
  <c r="P295" i="55" s="1"/>
  <c r="AB341" i="48"/>
  <c r="L299" i="55" s="1"/>
  <c r="P299" i="55" s="1"/>
  <c r="AB27" i="48"/>
  <c r="L27" i="55" s="1"/>
  <c r="P27" i="55" s="1"/>
  <c r="AB35" i="48"/>
  <c r="L35" i="55" s="1"/>
  <c r="P35" i="55" s="1"/>
  <c r="AB43" i="48"/>
  <c r="L43" i="55" s="1"/>
  <c r="AB51" i="48"/>
  <c r="AB59" i="48"/>
  <c r="L56" i="55" s="1"/>
  <c r="P56" i="55" s="1"/>
  <c r="AB122" i="48"/>
  <c r="AB296" i="48"/>
  <c r="AB31" i="48"/>
  <c r="L31" i="55" s="1"/>
  <c r="P31" i="55" s="1"/>
  <c r="AB39" i="48"/>
  <c r="L39" i="55" s="1"/>
  <c r="P39" i="55" s="1"/>
  <c r="AB47" i="48"/>
  <c r="L47" i="55" s="1"/>
  <c r="P47" i="55" s="1"/>
  <c r="AB55" i="48"/>
  <c r="L52" i="55" s="1"/>
  <c r="P52" i="55" s="1"/>
  <c r="AB245" i="48"/>
  <c r="L212" i="55" s="1"/>
  <c r="P212" i="55" s="1"/>
  <c r="AB295" i="48"/>
  <c r="AB299" i="48"/>
  <c r="L259" i="55" s="1"/>
  <c r="P259" i="55" s="1"/>
  <c r="AB303" i="48"/>
  <c r="L263" i="55" s="1"/>
  <c r="P263" i="55" s="1"/>
  <c r="AB244" i="48"/>
  <c r="L211" i="55" s="1"/>
  <c r="P211" i="55" s="1"/>
  <c r="AB327" i="48"/>
  <c r="L286" i="55" s="1"/>
  <c r="P286" i="55" s="1"/>
  <c r="AB331" i="48"/>
  <c r="AB335" i="48"/>
  <c r="L293" i="55" s="1"/>
  <c r="P293" i="55" s="1"/>
  <c r="AB339" i="48"/>
  <c r="L297" i="55" s="1"/>
  <c r="P297" i="55" s="1"/>
  <c r="AB37" i="48"/>
  <c r="L37" i="55" s="1"/>
  <c r="P37" i="55" s="1"/>
  <c r="AB45" i="48"/>
  <c r="L45" i="55" s="1"/>
  <c r="P45" i="55" s="1"/>
  <c r="AB49" i="48"/>
  <c r="AB124" i="48"/>
  <c r="L106" i="55" s="1"/>
  <c r="P106" i="55" s="1"/>
  <c r="AB273" i="48"/>
  <c r="AB294" i="48"/>
  <c r="L258" i="55" s="1"/>
  <c r="P258" i="55" s="1"/>
  <c r="AB298" i="48"/>
  <c r="AB305" i="48"/>
  <c r="L265" i="55" s="1"/>
  <c r="P265" i="55" s="1"/>
  <c r="AB13" i="48"/>
  <c r="L11" i="55" s="1"/>
  <c r="P11" i="55" s="1"/>
  <c r="AB41" i="48"/>
  <c r="L41" i="55" s="1"/>
  <c r="AB53" i="48"/>
  <c r="L50" i="55" s="1"/>
  <c r="P50" i="55" s="1"/>
  <c r="AB132" i="48"/>
  <c r="L115" i="55" s="1"/>
  <c r="P115" i="55" s="1"/>
  <c r="AB136" i="48"/>
  <c r="L119" i="55" s="1"/>
  <c r="P119" i="55" s="1"/>
  <c r="AB140" i="48"/>
  <c r="L120" i="55" s="1"/>
  <c r="P120" i="55" s="1"/>
  <c r="AB243" i="48"/>
  <c r="L210" i="55" s="1"/>
  <c r="AB307" i="48"/>
  <c r="L267" i="55" s="1"/>
  <c r="P267" i="55" s="1"/>
  <c r="AB67" i="48"/>
  <c r="AB90" i="48"/>
  <c r="L83" i="55" s="1"/>
  <c r="P83" i="55" s="1"/>
  <c r="AB98" i="48"/>
  <c r="L91" i="55" s="1"/>
  <c r="P91" i="55" s="1"/>
  <c r="AB63" i="48"/>
  <c r="L60" i="55" s="1"/>
  <c r="P60" i="55" s="1"/>
  <c r="AB71" i="48"/>
  <c r="L61" i="55" s="1"/>
  <c r="P61" i="55" s="1"/>
  <c r="AB78" i="48"/>
  <c r="L69" i="55" s="1"/>
  <c r="P69" i="55" s="1"/>
  <c r="AB86" i="48"/>
  <c r="L79" i="55" s="1"/>
  <c r="P79" i="55" s="1"/>
  <c r="AB94" i="48"/>
  <c r="L87" i="55" s="1"/>
  <c r="P87" i="55" s="1"/>
  <c r="AB212" i="48"/>
  <c r="AB187" i="48"/>
  <c r="L162" i="55" s="1"/>
  <c r="P162" i="55" s="1"/>
  <c r="AB191" i="48"/>
  <c r="AB195" i="48"/>
  <c r="L169" i="55" s="1"/>
  <c r="P169" i="55" s="1"/>
  <c r="AB199" i="48"/>
  <c r="L174" i="55" s="1"/>
  <c r="P174" i="55" s="1"/>
  <c r="AB203" i="48"/>
  <c r="L178" i="55" s="1"/>
  <c r="P178" i="55" s="1"/>
  <c r="AB235" i="48"/>
  <c r="L206" i="55" s="1"/>
  <c r="P206" i="55" s="1"/>
  <c r="AB239" i="48"/>
  <c r="AB213" i="48"/>
  <c r="AB221" i="48"/>
  <c r="L194" i="55" s="1"/>
  <c r="P194" i="55" s="1"/>
  <c r="AB225" i="48"/>
  <c r="AB184" i="48"/>
  <c r="L159" i="55" s="1"/>
  <c r="P159" i="55" s="1"/>
  <c r="AB188" i="48"/>
  <c r="L163" i="55" s="1"/>
  <c r="P163" i="55" s="1"/>
  <c r="AB192" i="48"/>
  <c r="L166" i="55" s="1"/>
  <c r="P166" i="55" s="1"/>
  <c r="AB196" i="48"/>
  <c r="L171" i="55" s="1"/>
  <c r="P171" i="55" s="1"/>
  <c r="AB200" i="48"/>
  <c r="L175" i="55" s="1"/>
  <c r="P175" i="55" s="1"/>
  <c r="AB204" i="48"/>
  <c r="L179" i="55" s="1"/>
  <c r="P179" i="55" s="1"/>
  <c r="AB69" i="48"/>
  <c r="AB88" i="48"/>
  <c r="L81" i="55" s="1"/>
  <c r="P81" i="55" s="1"/>
  <c r="AB96" i="48"/>
  <c r="L89" i="55" s="1"/>
  <c r="P89" i="55" s="1"/>
  <c r="AB112" i="48"/>
  <c r="L105" i="55" s="1"/>
  <c r="P105" i="55" s="1"/>
  <c r="AB223" i="48"/>
  <c r="L196" i="55" s="1"/>
  <c r="P196" i="55" s="1"/>
  <c r="AB18" i="48"/>
  <c r="L18" i="55" s="1"/>
  <c r="P18" i="55" s="1"/>
  <c r="AB104" i="48"/>
  <c r="L97" i="55" s="1"/>
  <c r="P97" i="55" s="1"/>
  <c r="AB108" i="48"/>
  <c r="L101" i="55" s="1"/>
  <c r="P101" i="55" s="1"/>
  <c r="AB120" i="48"/>
  <c r="AB227" i="48"/>
  <c r="L199" i="55" s="1"/>
  <c r="P199" i="55" s="1"/>
  <c r="AB236" i="48"/>
  <c r="AB279" i="48"/>
  <c r="L244" i="55" s="1"/>
  <c r="P244" i="55" s="1"/>
  <c r="AB283" i="48"/>
  <c r="L248" i="55" s="1"/>
  <c r="P248" i="55" s="1"/>
  <c r="AB287" i="48"/>
  <c r="AB291" i="48"/>
  <c r="L255" i="55" s="1"/>
  <c r="P255" i="55" s="1"/>
  <c r="AB311" i="48"/>
  <c r="L271" i="55" s="1"/>
  <c r="P271" i="55" s="1"/>
  <c r="AB319" i="48"/>
  <c r="L279" i="55" s="1"/>
  <c r="P279" i="55" s="1"/>
  <c r="AB64" i="48"/>
  <c r="AB79" i="48"/>
  <c r="L72" i="55" s="1"/>
  <c r="P72" i="55" s="1"/>
  <c r="AB87" i="48"/>
  <c r="L80" i="55" s="1"/>
  <c r="P80" i="55" s="1"/>
  <c r="AB95" i="48"/>
  <c r="L88" i="55" s="1"/>
  <c r="P88" i="55" s="1"/>
  <c r="AB111" i="48"/>
  <c r="L104" i="55" s="1"/>
  <c r="P104" i="55" s="1"/>
  <c r="AB231" i="48"/>
  <c r="L202" i="55" s="1"/>
  <c r="P202" i="55" s="1"/>
  <c r="AB262" i="48"/>
  <c r="L229" i="55" s="1"/>
  <c r="P229" i="55" s="1"/>
  <c r="AB266" i="48"/>
  <c r="L233" i="55" s="1"/>
  <c r="P233" i="55" s="1"/>
  <c r="AB270" i="48"/>
  <c r="L237" i="55" s="1"/>
  <c r="P237" i="55" s="1"/>
  <c r="AB306" i="48"/>
  <c r="L266" i="55" s="1"/>
  <c r="P266" i="55" s="1"/>
  <c r="AB328" i="48"/>
  <c r="L287" i="55" s="1"/>
  <c r="P287" i="55" s="1"/>
  <c r="AB332" i="48"/>
  <c r="AB336" i="48"/>
  <c r="L294" i="55" s="1"/>
  <c r="P294" i="55" s="1"/>
  <c r="AB340" i="48"/>
  <c r="L298" i="55" s="1"/>
  <c r="P298" i="55" s="1"/>
  <c r="AB68" i="48"/>
  <c r="AB75" i="48"/>
  <c r="L64" i="55" s="1"/>
  <c r="AB83" i="48"/>
  <c r="L76" i="55" s="1"/>
  <c r="P76" i="55" s="1"/>
  <c r="AB99" i="48"/>
  <c r="L92" i="55" s="1"/>
  <c r="P92" i="55" s="1"/>
  <c r="AB205" i="48"/>
  <c r="L180" i="55" s="1"/>
  <c r="P180" i="55" s="1"/>
  <c r="AB254" i="48"/>
  <c r="L220" i="55" s="1"/>
  <c r="P220" i="55" s="1"/>
  <c r="AB103" i="48"/>
  <c r="L96" i="55" s="1"/>
  <c r="P96" i="55" s="1"/>
  <c r="AB107" i="48"/>
  <c r="L100" i="55" s="1"/>
  <c r="P100" i="55" s="1"/>
  <c r="AB119" i="48"/>
  <c r="AB282" i="48"/>
  <c r="L247" i="55" s="1"/>
  <c r="P247" i="55" s="1"/>
  <c r="AB286" i="48"/>
  <c r="L251" i="55" s="1"/>
  <c r="P251" i="55" s="1"/>
  <c r="AB290" i="48"/>
  <c r="L254" i="55" s="1"/>
  <c r="P254" i="55" s="1"/>
  <c r="AB310" i="48"/>
  <c r="L270" i="55" s="1"/>
  <c r="P270" i="55" s="1"/>
  <c r="AB314" i="48"/>
  <c r="L274" i="55" s="1"/>
  <c r="P274" i="55" s="1"/>
  <c r="AB318" i="48"/>
  <c r="L278" i="55" s="1"/>
  <c r="P278" i="55" s="1"/>
  <c r="AB322" i="48"/>
  <c r="L281" i="55" s="1"/>
  <c r="P281" i="55" s="1"/>
  <c r="AB249" i="48"/>
  <c r="AB16" i="48"/>
  <c r="L14" i="55" s="1"/>
  <c r="P14" i="55" s="1"/>
  <c r="AB102" i="48"/>
  <c r="L95" i="55" s="1"/>
  <c r="P95" i="55" s="1"/>
  <c r="AB106" i="48"/>
  <c r="L99" i="55" s="1"/>
  <c r="P99" i="55" s="1"/>
  <c r="AB118" i="48"/>
  <c r="AB220" i="48"/>
  <c r="L193" i="55" s="1"/>
  <c r="P193" i="55" s="1"/>
  <c r="AB277" i="48"/>
  <c r="AB281" i="48"/>
  <c r="L246" i="55" s="1"/>
  <c r="P246" i="55" s="1"/>
  <c r="AB285" i="48"/>
  <c r="L250" i="55" s="1"/>
  <c r="P250" i="55" s="1"/>
  <c r="AB289" i="48"/>
  <c r="L253" i="55" s="1"/>
  <c r="P253" i="55" s="1"/>
  <c r="AB293" i="48"/>
  <c r="L257" i="55" s="1"/>
  <c r="P257" i="55" s="1"/>
  <c r="AB309" i="48"/>
  <c r="L269" i="55" s="1"/>
  <c r="P269" i="55" s="1"/>
  <c r="AB313" i="48"/>
  <c r="L273" i="55" s="1"/>
  <c r="P273" i="55" s="1"/>
  <c r="AB317" i="48"/>
  <c r="L277" i="55" s="1"/>
  <c r="P277" i="55" s="1"/>
  <c r="AB321" i="48"/>
  <c r="AB70" i="48"/>
  <c r="AB97" i="48"/>
  <c r="L90" i="55" s="1"/>
  <c r="P90" i="55" s="1"/>
  <c r="AB113" i="48"/>
  <c r="AB211" i="48"/>
  <c r="L186" i="55" s="1"/>
  <c r="P186" i="55" s="1"/>
  <c r="AB233" i="48"/>
  <c r="L204" i="55" s="1"/>
  <c r="P204" i="55" s="1"/>
  <c r="AB248" i="48"/>
  <c r="L215" i="55" s="1"/>
  <c r="P215" i="55" s="1"/>
  <c r="AB326" i="48"/>
  <c r="L285" i="55" s="1"/>
  <c r="P285" i="55" s="1"/>
  <c r="AB330" i="48"/>
  <c r="L289" i="55" s="1"/>
  <c r="P289" i="55" s="1"/>
  <c r="AB334" i="48"/>
  <c r="L292" i="55" s="1"/>
  <c r="P292" i="55" s="1"/>
  <c r="AB338" i="48"/>
  <c r="L296" i="55" s="1"/>
  <c r="P296" i="55" s="1"/>
  <c r="AB342" i="48"/>
  <c r="L300" i="55" s="1"/>
  <c r="P300" i="55" s="1"/>
  <c r="AB66" i="48"/>
  <c r="AB77" i="48"/>
  <c r="AB85" i="48"/>
  <c r="L78" i="55" s="1"/>
  <c r="P78" i="55" s="1"/>
  <c r="AB93" i="48"/>
  <c r="L86" i="55" s="1"/>
  <c r="P86" i="55" s="1"/>
  <c r="AB207" i="48"/>
  <c r="L182" i="55" s="1"/>
  <c r="P182" i="55" s="1"/>
  <c r="AB229" i="48"/>
  <c r="AB19" i="48"/>
  <c r="L19" i="55" s="1"/>
  <c r="P19" i="55" s="1"/>
  <c r="AB101" i="48"/>
  <c r="L94" i="55" s="1"/>
  <c r="P94" i="55" s="1"/>
  <c r="AB105" i="48"/>
  <c r="L98" i="55" s="1"/>
  <c r="P98" i="55" s="1"/>
  <c r="AB109" i="48"/>
  <c r="L102" i="55" s="1"/>
  <c r="P102" i="55" s="1"/>
  <c r="AB117" i="48"/>
  <c r="AB121" i="48"/>
  <c r="AB186" i="48"/>
  <c r="L161" i="55" s="1"/>
  <c r="P161" i="55" s="1"/>
  <c r="AB190" i="48"/>
  <c r="AB194" i="48"/>
  <c r="L168" i="55" s="1"/>
  <c r="P168" i="55" s="1"/>
  <c r="AB198" i="48"/>
  <c r="L173" i="55" s="1"/>
  <c r="P173" i="55" s="1"/>
  <c r="AB215" i="48"/>
  <c r="L188" i="55" s="1"/>
  <c r="P188" i="55" s="1"/>
  <c r="AB219" i="48"/>
  <c r="L192" i="55" s="1"/>
  <c r="P192" i="55" s="1"/>
  <c r="AB228" i="48"/>
  <c r="L200" i="55" s="1"/>
  <c r="P200" i="55" s="1"/>
  <c r="AB284" i="48"/>
  <c r="L249" i="55" s="1"/>
  <c r="P249" i="55" s="1"/>
  <c r="AB288" i="48"/>
  <c r="L252" i="55" s="1"/>
  <c r="P252" i="55" s="1"/>
  <c r="AB292" i="48"/>
  <c r="L256" i="55" s="1"/>
  <c r="P256" i="55" s="1"/>
  <c r="AB308" i="48"/>
  <c r="L268" i="55" s="1"/>
  <c r="P268" i="55" s="1"/>
  <c r="AB312" i="48"/>
  <c r="L272" i="55" s="1"/>
  <c r="P272" i="55" s="1"/>
  <c r="AB316" i="48"/>
  <c r="L276" i="55" s="1"/>
  <c r="P276" i="55" s="1"/>
  <c r="AB320" i="48"/>
  <c r="L280" i="55" s="1"/>
  <c r="P280" i="55" s="1"/>
  <c r="AB65" i="48"/>
  <c r="AB73" i="48"/>
  <c r="L62" i="55" s="1"/>
  <c r="P62" i="55" s="1"/>
  <c r="AB76" i="48"/>
  <c r="AB84" i="48"/>
  <c r="L77" i="55" s="1"/>
  <c r="P77" i="55" s="1"/>
  <c r="AB92" i="48"/>
  <c r="L85" i="55" s="1"/>
  <c r="P85" i="55" s="1"/>
  <c r="AB100" i="48"/>
  <c r="L93" i="55" s="1"/>
  <c r="P93" i="55" s="1"/>
  <c r="AB116" i="48"/>
  <c r="AB237" i="48"/>
  <c r="AB247" i="48"/>
  <c r="L214" i="55" s="1"/>
  <c r="P214" i="55" s="1"/>
  <c r="AB23" i="48"/>
  <c r="L23" i="55" s="1"/>
  <c r="P23" i="55" s="1"/>
  <c r="AB21" i="48"/>
  <c r="L21" i="55" s="1"/>
  <c r="P21" i="55" s="1"/>
  <c r="AB25" i="48"/>
  <c r="L25" i="55" s="1"/>
  <c r="P25" i="55" s="1"/>
  <c r="AB24" i="48"/>
  <c r="L24" i="55" s="1"/>
  <c r="P24" i="55" s="1"/>
  <c r="AB129" i="48"/>
  <c r="L111" i="55" s="1"/>
  <c r="P111" i="55" s="1"/>
  <c r="AB133" i="48"/>
  <c r="AB137" i="48"/>
  <c r="AB141" i="48"/>
  <c r="L121" i="55" s="1"/>
  <c r="P121" i="55" s="1"/>
  <c r="AB153" i="48"/>
  <c r="L132" i="55" s="1"/>
  <c r="P132" i="55" s="1"/>
  <c r="AB157" i="48"/>
  <c r="L136" i="55" s="1"/>
  <c r="P136" i="55" s="1"/>
  <c r="AB161" i="48"/>
  <c r="L140" i="55" s="1"/>
  <c r="P140" i="55" s="1"/>
  <c r="AB165" i="48"/>
  <c r="L143" i="55" s="1"/>
  <c r="P143" i="55" s="1"/>
  <c r="AB169" i="48"/>
  <c r="L147" i="55" s="1"/>
  <c r="P147" i="55" s="1"/>
  <c r="AB173" i="48"/>
  <c r="AB152" i="48"/>
  <c r="L131" i="55" s="1"/>
  <c r="P131" i="55" s="1"/>
  <c r="AB156" i="48"/>
  <c r="L135" i="55" s="1"/>
  <c r="P135" i="55" s="1"/>
  <c r="AB160" i="48"/>
  <c r="L139" i="55" s="1"/>
  <c r="P139" i="55" s="1"/>
  <c r="AB164" i="48"/>
  <c r="L114" i="55" s="1"/>
  <c r="P114" i="55" s="1"/>
  <c r="AB168" i="48"/>
  <c r="L146" i="55" s="1"/>
  <c r="P146" i="55" s="1"/>
  <c r="AB172" i="48"/>
  <c r="AB131" i="48"/>
  <c r="L113" i="55" s="1"/>
  <c r="P113" i="55" s="1"/>
  <c r="AB139" i="48"/>
  <c r="AB143" i="48"/>
  <c r="L123" i="55" s="1"/>
  <c r="P123" i="55" s="1"/>
  <c r="AB147" i="48"/>
  <c r="AB151" i="48"/>
  <c r="AB155" i="48"/>
  <c r="L134" i="55" s="1"/>
  <c r="P134" i="55" s="1"/>
  <c r="AB159" i="48"/>
  <c r="L138" i="55" s="1"/>
  <c r="P138" i="55" s="1"/>
  <c r="AB163" i="48"/>
  <c r="L142" i="55" s="1"/>
  <c r="AB167" i="48"/>
  <c r="L145" i="55" s="1"/>
  <c r="P145" i="55" s="1"/>
  <c r="AB171" i="48"/>
  <c r="L118" i="55" s="1"/>
  <c r="P118" i="55" s="1"/>
  <c r="AB185" i="48"/>
  <c r="L160" i="55" s="1"/>
  <c r="P160" i="55" s="1"/>
  <c r="AB189" i="48"/>
  <c r="L164" i="55" s="1"/>
  <c r="P164" i="55" s="1"/>
  <c r="AB193" i="48"/>
  <c r="L167" i="55" s="1"/>
  <c r="P167" i="55" s="1"/>
  <c r="AB197" i="48"/>
  <c r="L172" i="55" s="1"/>
  <c r="P172" i="55" s="1"/>
  <c r="AB201" i="48"/>
  <c r="L176" i="55" s="1"/>
  <c r="P176" i="55" s="1"/>
  <c r="AB130" i="48"/>
  <c r="L112" i="55" s="1"/>
  <c r="P112" i="55" s="1"/>
  <c r="AB138" i="48"/>
  <c r="AB142" i="48"/>
  <c r="L122" i="55" s="1"/>
  <c r="P122" i="55" s="1"/>
  <c r="AB146" i="48"/>
  <c r="L126" i="55" s="1"/>
  <c r="P126" i="55" s="1"/>
  <c r="AB154" i="48"/>
  <c r="L133" i="55" s="1"/>
  <c r="P133" i="55" s="1"/>
  <c r="AB158" i="48"/>
  <c r="L137" i="55" s="1"/>
  <c r="P137" i="55" s="1"/>
  <c r="AB162" i="48"/>
  <c r="L141" i="55" s="1"/>
  <c r="P141" i="55" s="1"/>
  <c r="AB166" i="48"/>
  <c r="L144" i="55" s="1"/>
  <c r="P144" i="55" s="1"/>
  <c r="AB170" i="48"/>
  <c r="AB174" i="48"/>
  <c r="AB253" i="48"/>
  <c r="L219" i="55" s="1"/>
  <c r="P219" i="55" s="1"/>
  <c r="AB261" i="48"/>
  <c r="L228" i="55" s="1"/>
  <c r="P228" i="55" s="1"/>
  <c r="AB265" i="48"/>
  <c r="L232" i="55" s="1"/>
  <c r="P232" i="55" s="1"/>
  <c r="AB269" i="48"/>
  <c r="L236" i="55" s="1"/>
  <c r="P236" i="55" s="1"/>
  <c r="AB252" i="48"/>
  <c r="L218" i="55" s="1"/>
  <c r="P218" i="55" s="1"/>
  <c r="AB256" i="48"/>
  <c r="L223" i="55" s="1"/>
  <c r="P223" i="55" s="1"/>
  <c r="AB260" i="48"/>
  <c r="L227" i="55" s="1"/>
  <c r="P227" i="55" s="1"/>
  <c r="AB264" i="48"/>
  <c r="L231" i="55" s="1"/>
  <c r="P231" i="55" s="1"/>
  <c r="AB268" i="48"/>
  <c r="L235" i="55" s="1"/>
  <c r="P235" i="55" s="1"/>
  <c r="AB272" i="48"/>
  <c r="AB202" i="48"/>
  <c r="L177" i="55" s="1"/>
  <c r="P177" i="55" s="1"/>
  <c r="AB210" i="48"/>
  <c r="L185" i="55" s="1"/>
  <c r="P185" i="55" s="1"/>
  <c r="AB218" i="48"/>
  <c r="L191" i="55" s="1"/>
  <c r="P191" i="55" s="1"/>
  <c r="AB226" i="48"/>
  <c r="AB234" i="48"/>
  <c r="L205" i="55" s="1"/>
  <c r="P205" i="55" s="1"/>
  <c r="AB276" i="48"/>
  <c r="L241" i="55" s="1"/>
  <c r="P241" i="55" s="1"/>
  <c r="AB280" i="48"/>
  <c r="L245" i="55" s="1"/>
  <c r="P245" i="55" s="1"/>
  <c r="AB209" i="48"/>
  <c r="L184" i="55" s="1"/>
  <c r="P184" i="55" s="1"/>
  <c r="AB217" i="48"/>
  <c r="L190" i="55" s="1"/>
  <c r="P190" i="55" s="1"/>
  <c r="AB251" i="48"/>
  <c r="L217" i="55" s="1"/>
  <c r="P217" i="55" s="1"/>
  <c r="AB255" i="48"/>
  <c r="L222" i="55" s="1"/>
  <c r="P222" i="55" s="1"/>
  <c r="AB259" i="48"/>
  <c r="L226" i="55" s="1"/>
  <c r="P226" i="55" s="1"/>
  <c r="AB263" i="48"/>
  <c r="L230" i="55" s="1"/>
  <c r="P230" i="55" s="1"/>
  <c r="AB267" i="48"/>
  <c r="L234" i="55" s="1"/>
  <c r="P234" i="55" s="1"/>
  <c r="AB271" i="48"/>
  <c r="AB208" i="48"/>
  <c r="L183" i="55" s="1"/>
  <c r="P183" i="55" s="1"/>
  <c r="AB216" i="48"/>
  <c r="L189" i="55" s="1"/>
  <c r="P189" i="55" s="1"/>
  <c r="AB224" i="48"/>
  <c r="L197" i="55" s="1"/>
  <c r="P197" i="55" s="1"/>
  <c r="AB232" i="48"/>
  <c r="L203" i="55" s="1"/>
  <c r="P203" i="55" s="1"/>
  <c r="AB275" i="48"/>
  <c r="L240" i="55" s="1"/>
  <c r="P240" i="55" s="1"/>
  <c r="AB206" i="48"/>
  <c r="L181" i="55" s="1"/>
  <c r="P181" i="55" s="1"/>
  <c r="AB214" i="48"/>
  <c r="AB222" i="48"/>
  <c r="L195" i="55" s="1"/>
  <c r="P195" i="55" s="1"/>
  <c r="AB230" i="48"/>
  <c r="L201" i="55" s="1"/>
  <c r="P201" i="55" s="1"/>
  <c r="AB238" i="48"/>
  <c r="AB274" i="48"/>
  <c r="L239" i="55" s="1"/>
  <c r="P239" i="55" s="1"/>
  <c r="AB278" i="48"/>
  <c r="L243" i="55" s="1"/>
  <c r="P243" i="55" s="1"/>
  <c r="L165" i="55" l="1"/>
  <c r="P165" i="55" s="1"/>
  <c r="L238" i="55"/>
  <c r="P238" i="55" s="1"/>
  <c r="L48" i="55"/>
  <c r="P48" i="55" s="1"/>
  <c r="L308" i="55"/>
  <c r="P308" i="55" s="1"/>
  <c r="P309" i="55"/>
  <c r="L290" i="55"/>
  <c r="P290" i="55" s="1"/>
  <c r="L148" i="55"/>
  <c r="P148" i="55" s="1"/>
  <c r="P64" i="55"/>
  <c r="L198" i="55"/>
  <c r="P198" i="55" s="1"/>
  <c r="L187" i="55"/>
  <c r="P187" i="55" s="1"/>
  <c r="P9" i="55"/>
  <c r="P210" i="55"/>
  <c r="U300" i="48"/>
  <c r="L361" i="48"/>
  <c r="L362" i="48"/>
  <c r="AB250" i="48"/>
  <c r="L216" i="55" s="1"/>
  <c r="P216" i="55" s="1"/>
  <c r="U10" i="48"/>
  <c r="U175" i="48"/>
  <c r="V175" i="48" s="1"/>
  <c r="U181" i="48"/>
  <c r="U74" i="48"/>
  <c r="AB246" i="48"/>
  <c r="L213" i="55" s="1"/>
  <c r="P213" i="55" s="1"/>
  <c r="AB29" i="48"/>
  <c r="L29" i="55" s="1"/>
  <c r="P29" i="55" s="1"/>
  <c r="AB114" i="48"/>
  <c r="L66" i="55" s="1"/>
  <c r="AB89" i="48"/>
  <c r="L82" i="55" s="1"/>
  <c r="P82" i="55" s="1"/>
  <c r="AB115" i="48"/>
  <c r="L65" i="55" s="1"/>
  <c r="AB302" i="48"/>
  <c r="L262" i="55" s="1"/>
  <c r="AB17" i="48"/>
  <c r="L15" i="55" s="1"/>
  <c r="P15" i="55" s="1"/>
  <c r="AB91" i="48"/>
  <c r="L84" i="55" s="1"/>
  <c r="P84" i="55" s="1"/>
  <c r="AB348" i="48"/>
  <c r="L306" i="55" s="1"/>
  <c r="AB345" i="48"/>
  <c r="L303" i="55" s="1"/>
  <c r="P65" i="55" l="1"/>
  <c r="M65" i="55"/>
  <c r="P306" i="55"/>
  <c r="L305" i="55"/>
  <c r="P262" i="55"/>
  <c r="L302" i="55"/>
  <c r="P303" i="55"/>
  <c r="U358" i="48"/>
  <c r="L360" i="48"/>
  <c r="U7" i="48"/>
  <c r="U349" i="48" s="1"/>
  <c r="AB176" i="48"/>
  <c r="L151" i="55" s="1"/>
  <c r="AB343" i="48"/>
  <c r="AB344" i="48"/>
  <c r="AB346" i="48"/>
  <c r="AB347" i="48"/>
  <c r="L304" i="55" l="1"/>
  <c r="P304" i="55" s="1"/>
  <c r="P305" i="55"/>
  <c r="P151" i="55"/>
  <c r="P302" i="55"/>
  <c r="L301" i="55"/>
  <c r="P301" i="55" s="1"/>
  <c r="L5" i="48"/>
  <c r="T118" i="3" l="1"/>
  <c r="T247" i="1"/>
  <c r="T235" i="1"/>
  <c r="T234" i="1"/>
  <c r="T233" i="1"/>
  <c r="T231" i="1"/>
  <c r="T227" i="1"/>
  <c r="T226" i="1"/>
  <c r="T225" i="1"/>
  <c r="T224" i="1"/>
  <c r="T222" i="1"/>
  <c r="T220" i="1"/>
  <c r="T218" i="1"/>
  <c r="T216" i="1"/>
  <c r="T215" i="1"/>
  <c r="T212" i="1"/>
  <c r="T211" i="1"/>
  <c r="T209" i="1"/>
  <c r="T146" i="1"/>
  <c r="T145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3" i="1"/>
  <c r="T92" i="1"/>
  <c r="T91" i="1"/>
  <c r="T89" i="1"/>
  <c r="T88" i="1"/>
  <c r="T87" i="1"/>
  <c r="T85" i="1"/>
  <c r="T83" i="1"/>
  <c r="T82" i="1"/>
  <c r="T81" i="1"/>
  <c r="T80" i="1"/>
  <c r="T79" i="1"/>
  <c r="T78" i="1"/>
  <c r="T77" i="1"/>
  <c r="T76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6" i="1"/>
  <c r="T55" i="1"/>
  <c r="T54" i="1"/>
  <c r="T53" i="1"/>
  <c r="T51" i="1"/>
  <c r="T50" i="1"/>
  <c r="T49" i="1"/>
  <c r="T48" i="1"/>
  <c r="T47" i="1"/>
  <c r="T46" i="1"/>
  <c r="T45" i="1"/>
  <c r="T44" i="1"/>
  <c r="T43" i="1"/>
  <c r="T41" i="1"/>
  <c r="T40" i="1"/>
  <c r="T39" i="1"/>
  <c r="T14" i="1"/>
  <c r="T13" i="1" s="1"/>
  <c r="T37" i="1"/>
  <c r="T36" i="1"/>
  <c r="T35" i="1"/>
  <c r="T33" i="1"/>
  <c r="T32" i="1"/>
  <c r="T31" i="1"/>
  <c r="T30" i="1"/>
  <c r="T29" i="1"/>
  <c r="T28" i="1"/>
  <c r="T27" i="1"/>
  <c r="T26" i="1"/>
  <c r="T25" i="1"/>
  <c r="T23" i="1"/>
  <c r="T22" i="1"/>
  <c r="T21" i="1"/>
  <c r="T20" i="1"/>
  <c r="T19" i="1"/>
  <c r="T18" i="1"/>
  <c r="T17" i="1"/>
  <c r="T16" i="1"/>
  <c r="T12" i="1"/>
  <c r="T11" i="1"/>
  <c r="T10" i="1"/>
  <c r="T9" i="1"/>
  <c r="T126" i="3"/>
  <c r="T123" i="3"/>
  <c r="T122" i="3"/>
  <c r="T116" i="3"/>
  <c r="T115" i="3"/>
  <c r="T114" i="3"/>
  <c r="T113" i="3"/>
  <c r="T112" i="3"/>
  <c r="T111" i="3"/>
  <c r="T110" i="3"/>
  <c r="T109" i="3"/>
  <c r="T108" i="3"/>
  <c r="T99" i="3"/>
  <c r="T98" i="3"/>
  <c r="T97" i="3"/>
  <c r="T96" i="3"/>
  <c r="T95" i="3"/>
  <c r="T94" i="3"/>
  <c r="T93" i="3"/>
  <c r="T92" i="3"/>
  <c r="T91" i="3"/>
  <c r="T90" i="3"/>
  <c r="T89" i="3"/>
  <c r="T88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5" i="3"/>
  <c r="T34" i="3"/>
  <c r="T33" i="3"/>
  <c r="T32" i="3"/>
  <c r="T31" i="3"/>
  <c r="T30" i="3"/>
  <c r="T29" i="3"/>
  <c r="T28" i="3"/>
  <c r="T27" i="3"/>
  <c r="T38" i="1" l="1"/>
  <c r="T120" i="3"/>
  <c r="T119" i="3"/>
  <c r="T105" i="3"/>
  <c r="T104" i="3"/>
  <c r="T102" i="3"/>
  <c r="T86" i="3"/>
  <c r="T84" i="3"/>
  <c r="T83" i="3"/>
  <c r="T82" i="3"/>
  <c r="T81" i="3"/>
  <c r="T80" i="3"/>
  <c r="T79" i="3"/>
  <c r="T78" i="3"/>
  <c r="T77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F15" i="13"/>
  <c r="F16" i="13" s="1"/>
  <c r="F14" i="13"/>
  <c r="Q4" i="13"/>
  <c r="P4" i="13"/>
  <c r="O4" i="13"/>
  <c r="N4" i="13"/>
  <c r="M4" i="13"/>
  <c r="L4" i="13"/>
  <c r="T100" i="3" l="1"/>
  <c r="U206" i="1"/>
  <c r="S206" i="1"/>
  <c r="R206" i="1"/>
  <c r="Q206" i="1"/>
  <c r="P206" i="1"/>
  <c r="O206" i="1"/>
  <c r="N206" i="1"/>
  <c r="L206" i="1"/>
  <c r="V206" i="1" l="1"/>
  <c r="X206" i="1" s="1"/>
  <c r="F32" i="19"/>
  <c r="L73" i="22" l="1"/>
  <c r="J73" i="22" s="1"/>
  <c r="Z206" i="1"/>
  <c r="H29" i="8"/>
  <c r="J29" i="8" s="1"/>
  <c r="J28" i="8"/>
  <c r="I28" i="8"/>
  <c r="I29" i="8" l="1"/>
  <c r="V19" i="9" l="1"/>
  <c r="V11" i="9"/>
  <c r="V10" i="9"/>
  <c r="V9" i="9"/>
  <c r="V7" i="9"/>
  <c r="V15" i="9" l="1"/>
  <c r="V16" i="9" s="1"/>
  <c r="V8" i="9"/>
  <c r="V18" i="9"/>
  <c r="J71" i="22" l="1"/>
  <c r="J63" i="22"/>
  <c r="CL31" i="11" l="1"/>
  <c r="AB16" i="10" l="1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CJ10" i="11"/>
  <c r="CI10" i="11"/>
  <c r="CQ23" i="11"/>
  <c r="CT23" i="11" s="1"/>
  <c r="N27" i="11"/>
  <c r="N14" i="11"/>
  <c r="L14" i="11"/>
  <c r="K14" i="11"/>
  <c r="J14" i="11"/>
  <c r="I14" i="11"/>
  <c r="H14" i="11"/>
  <c r="G14" i="11"/>
  <c r="AW14" i="11"/>
  <c r="AU14" i="11"/>
  <c r="AS14" i="11"/>
  <c r="AR14" i="11"/>
  <c r="AQ14" i="11"/>
  <c r="AP14" i="11"/>
  <c r="AN14" i="11"/>
  <c r="CO14" i="11"/>
  <c r="CN14" i="11"/>
  <c r="CM14" i="11"/>
  <c r="CL14" i="11"/>
  <c r="DQ14" i="11"/>
  <c r="DP14" i="11"/>
  <c r="DO14" i="11"/>
  <c r="DN14" i="11"/>
  <c r="CK10" i="11" l="1"/>
  <c r="CR10" i="11" l="1"/>
  <c r="CQ10" i="11"/>
  <c r="Q4" i="9"/>
  <c r="F24" i="4"/>
  <c r="M9" i="4"/>
  <c r="M14" i="4"/>
  <c r="M17" i="4"/>
  <c r="M24" i="4"/>
  <c r="AH253" i="1"/>
  <c r="AI253" i="1"/>
  <c r="CP10" i="11" l="1"/>
  <c r="CP23" i="11" s="1"/>
  <c r="CT10" i="11"/>
  <c r="CR23" i="11"/>
  <c r="Q4" i="12"/>
  <c r="P4" i="12"/>
  <c r="W21" i="10" l="1"/>
  <c r="W20" i="10"/>
  <c r="W19" i="10"/>
  <c r="Q4" i="5"/>
  <c r="P4" i="5"/>
  <c r="V23" i="4"/>
  <c r="V22" i="4"/>
  <c r="V21" i="4"/>
  <c r="V20" i="4"/>
  <c r="V19" i="4"/>
  <c r="V18" i="4"/>
  <c r="V16" i="4"/>
  <c r="V15" i="4"/>
  <c r="V13" i="4"/>
  <c r="V12" i="4"/>
  <c r="V11" i="4"/>
  <c r="V10" i="4"/>
  <c r="V8" i="4"/>
  <c r="V7" i="4"/>
  <c r="Q24" i="4"/>
  <c r="P24" i="4"/>
  <c r="Q17" i="4"/>
  <c r="P17" i="4"/>
  <c r="Q14" i="4"/>
  <c r="P14" i="4"/>
  <c r="Q9" i="4"/>
  <c r="P9" i="4"/>
  <c r="V17" i="4" l="1"/>
  <c r="V14" i="4"/>
  <c r="V9" i="4"/>
  <c r="P4" i="4"/>
  <c r="Q4" i="4"/>
  <c r="V24" i="4"/>
  <c r="H4" i="3"/>
  <c r="V4" i="4" l="1"/>
  <c r="K4" i="3"/>
  <c r="J4" i="3" l="1"/>
  <c r="I4" i="3"/>
  <c r="L227" i="1" l="1"/>
  <c r="U227" i="1"/>
  <c r="S227" i="1"/>
  <c r="R227" i="1"/>
  <c r="Q227" i="1"/>
  <c r="P227" i="1"/>
  <c r="O227" i="1"/>
  <c r="N227" i="1"/>
  <c r="AK5" i="3"/>
  <c r="U32" i="1"/>
  <c r="S32" i="1"/>
  <c r="R32" i="1"/>
  <c r="Q32" i="1"/>
  <c r="P32" i="1"/>
  <c r="O32" i="1"/>
  <c r="N32" i="1"/>
  <c r="L32" i="1"/>
  <c r="V227" i="1" l="1"/>
  <c r="X227" i="1" s="1"/>
  <c r="V32" i="1"/>
  <c r="X32" i="1" s="1"/>
  <c r="Z32" i="1" s="1"/>
  <c r="L87" i="22" l="1"/>
  <c r="J87" i="22" s="1"/>
  <c r="Z227" i="1"/>
  <c r="M27" i="38" l="1"/>
  <c r="N27" i="38" s="1"/>
  <c r="M26" i="38"/>
  <c r="N26" i="38" s="1"/>
  <c r="M25" i="38"/>
  <c r="M23" i="38"/>
  <c r="N23" i="38" s="1"/>
  <c r="M22" i="38"/>
  <c r="N22" i="38" s="1"/>
  <c r="M21" i="38"/>
  <c r="N21" i="38" s="1"/>
  <c r="M20" i="38"/>
  <c r="N20" i="38" s="1"/>
  <c r="M19" i="38"/>
  <c r="N19" i="38" s="1"/>
  <c r="M18" i="38"/>
  <c r="M17" i="38"/>
  <c r="N17" i="38" s="1"/>
  <c r="M16" i="38"/>
  <c r="N16" i="38" s="1"/>
  <c r="M15" i="38"/>
  <c r="M13" i="38"/>
  <c r="M12" i="38"/>
  <c r="N12" i="38" s="1"/>
  <c r="M11" i="38"/>
  <c r="N11" i="38" s="1"/>
  <c r="M9" i="38"/>
  <c r="AL128" i="3"/>
  <c r="AJ253" i="1" s="1"/>
  <c r="AL5" i="3"/>
  <c r="N13" i="38" l="1"/>
  <c r="N10" i="38" s="1"/>
  <c r="N25" i="38"/>
  <c r="N24" i="38" s="1"/>
  <c r="I9" i="39"/>
  <c r="I7" i="39" s="1"/>
  <c r="K7" i="39" s="1"/>
  <c r="N18" i="38"/>
  <c r="N31" i="38"/>
  <c r="R24" i="38"/>
  <c r="R10" i="38"/>
  <c r="N9" i="38"/>
  <c r="R8" i="38" s="1"/>
  <c r="M10" i="38"/>
  <c r="M34" i="38" s="1"/>
  <c r="M14" i="38"/>
  <c r="M35" i="38" s="1"/>
  <c r="M24" i="38"/>
  <c r="M36" i="38" s="1"/>
  <c r="N15" i="38"/>
  <c r="M8" i="38"/>
  <c r="M33" i="38" s="1"/>
  <c r="N14" i="38" l="1"/>
  <c r="R14" i="38"/>
  <c r="R7" i="38" s="1"/>
  <c r="N8" i="38"/>
  <c r="M7" i="38"/>
  <c r="N7" i="38" l="1"/>
  <c r="N6" i="38" s="1"/>
  <c r="M6" i="38"/>
  <c r="M32" i="38"/>
  <c r="M4" i="38" l="1"/>
  <c r="M31" i="38"/>
  <c r="X4" i="3"/>
  <c r="B74" i="3" l="1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39" i="3"/>
  <c r="B38" i="3"/>
  <c r="P4" i="9" l="1"/>
  <c r="U164" i="1" l="1"/>
  <c r="S164" i="1"/>
  <c r="R164" i="1"/>
  <c r="Q164" i="1"/>
  <c r="O164" i="1"/>
  <c r="N164" i="1"/>
  <c r="I100" i="17" l="1"/>
  <c r="H100" i="17"/>
  <c r="H90" i="17"/>
  <c r="I90" i="17"/>
  <c r="G80" i="17"/>
  <c r="G79" i="17" s="1"/>
  <c r="G18" i="17"/>
  <c r="G71" i="17" s="1"/>
  <c r="G12" i="17"/>
  <c r="G65" i="17" s="1"/>
  <c r="G8" i="17"/>
  <c r="G7" i="17" s="1"/>
  <c r="G61" i="17" l="1"/>
  <c r="G60" i="17" l="1"/>
  <c r="G89" i="17"/>
  <c r="G90" i="17" s="1"/>
  <c r="G91" i="17" l="1"/>
  <c r="K27" i="38" l="1"/>
  <c r="L27" i="38" s="1"/>
  <c r="K26" i="38"/>
  <c r="L26" i="38" s="1"/>
  <c r="K25" i="38"/>
  <c r="L25" i="38" s="1"/>
  <c r="K23" i="38"/>
  <c r="L23" i="38" s="1"/>
  <c r="K22" i="38"/>
  <c r="L22" i="38" s="1"/>
  <c r="K21" i="38"/>
  <c r="L21" i="38" s="1"/>
  <c r="K20" i="38"/>
  <c r="L20" i="38" s="1"/>
  <c r="K19" i="38"/>
  <c r="L19" i="38" s="1"/>
  <c r="K18" i="38"/>
  <c r="L18" i="38" s="1"/>
  <c r="K17" i="38"/>
  <c r="L17" i="38" s="1"/>
  <c r="K16" i="38"/>
  <c r="L16" i="38" s="1"/>
  <c r="K15" i="38"/>
  <c r="L15" i="38" s="1"/>
  <c r="K13" i="38"/>
  <c r="L13" i="38" s="1"/>
  <c r="K12" i="38"/>
  <c r="L12" i="38" s="1"/>
  <c r="K11" i="38"/>
  <c r="L11" i="38" s="1"/>
  <c r="K9" i="38"/>
  <c r="L9" i="38" s="1"/>
  <c r="AM125" i="3"/>
  <c r="AM121" i="3"/>
  <c r="AM117" i="3"/>
  <c r="AM107" i="3"/>
  <c r="AM87" i="3"/>
  <c r="AM76" i="3"/>
  <c r="AM37" i="3"/>
  <c r="AM26" i="3"/>
  <c r="AM6" i="3"/>
  <c r="AM5" i="3"/>
  <c r="AM36" i="3" l="1"/>
  <c r="AM75" i="3" l="1"/>
  <c r="O34" i="33"/>
  <c r="AK246" i="1"/>
  <c r="AK250" i="1"/>
  <c r="AK236" i="1"/>
  <c r="AK232" i="1"/>
  <c r="AK219" i="1"/>
  <c r="AK217" i="1"/>
  <c r="AK221" i="1"/>
  <c r="AK223" i="1"/>
  <c r="AK230" i="1"/>
  <c r="AK214" i="1"/>
  <c r="AK210" i="1"/>
  <c r="AK208" i="1"/>
  <c r="AK179" i="1"/>
  <c r="AK171" i="1"/>
  <c r="AK149" i="1"/>
  <c r="AK144" i="1"/>
  <c r="AK119" i="1"/>
  <c r="AK94" i="1"/>
  <c r="AK90" i="1"/>
  <c r="AK84" i="1"/>
  <c r="AK75" i="1"/>
  <c r="AK57" i="1"/>
  <c r="AK52" i="1"/>
  <c r="AK42" i="1"/>
  <c r="AK15" i="1"/>
  <c r="AK8" i="1"/>
  <c r="J107" i="25" s="1"/>
  <c r="AM124" i="3" l="1"/>
  <c r="O35" i="33"/>
  <c r="AK229" i="1"/>
  <c r="AK213" i="1"/>
  <c r="AK148" i="1"/>
  <c r="AK74" i="1"/>
  <c r="AM127" i="3" l="1"/>
  <c r="O36" i="33"/>
  <c r="AK228" i="1"/>
  <c r="AK147" i="1"/>
  <c r="AK252" i="1" s="1"/>
  <c r="AM128" i="3" l="1"/>
  <c r="J3" i="25"/>
  <c r="O37" i="33"/>
  <c r="K37" i="38"/>
  <c r="AK253" i="1" l="1"/>
  <c r="L31" i="38"/>
  <c r="K24" i="38"/>
  <c r="K36" i="38" s="1"/>
  <c r="L10" i="38"/>
  <c r="L24" i="38"/>
  <c r="L14" i="38"/>
  <c r="K10" i="38"/>
  <c r="K34" i="38" s="1"/>
  <c r="K14" i="38"/>
  <c r="K35" i="38" s="1"/>
  <c r="R6" i="38" l="1"/>
  <c r="U98" i="3" l="1"/>
  <c r="S98" i="3"/>
  <c r="R98" i="3"/>
  <c r="Q98" i="3"/>
  <c r="O98" i="3"/>
  <c r="N98" i="3"/>
  <c r="L98" i="3"/>
  <c r="F12" i="24" l="1"/>
  <c r="G12" i="24" s="1"/>
  <c r="J12" i="24" s="1"/>
  <c r="M12" i="24" s="1"/>
  <c r="AB258" i="48" l="1"/>
  <c r="L225" i="55" s="1"/>
  <c r="P225" i="55" s="1"/>
  <c r="I381" i="23" l="1"/>
  <c r="I380" i="23"/>
  <c r="I378" i="23"/>
  <c r="I377" i="23"/>
  <c r="I376" i="23"/>
  <c r="I375" i="23"/>
  <c r="I373" i="23"/>
  <c r="I372" i="23"/>
  <c r="I370" i="23"/>
  <c r="V41" i="12" l="1"/>
  <c r="U178" i="1"/>
  <c r="S178" i="1"/>
  <c r="R178" i="1"/>
  <c r="Q178" i="1"/>
  <c r="P178" i="1"/>
  <c r="O178" i="1"/>
  <c r="N178" i="1"/>
  <c r="L178" i="1" l="1"/>
  <c r="V178" i="1"/>
  <c r="D6" i="46" l="1"/>
  <c r="X178" i="1"/>
  <c r="L80" i="22" l="1"/>
  <c r="J80" i="22" s="1"/>
  <c r="Z178" i="1"/>
  <c r="G25" i="26"/>
  <c r="T25" i="26" s="1"/>
  <c r="H213" i="47" l="1"/>
  <c r="I213" i="47" s="1"/>
  <c r="I212" i="47" s="1"/>
  <c r="G212" i="47"/>
  <c r="F212" i="47"/>
  <c r="F211" i="47"/>
  <c r="F210" i="47"/>
  <c r="F209" i="47"/>
  <c r="F207" i="47"/>
  <c r="F206" i="47"/>
  <c r="F205" i="47"/>
  <c r="F204" i="47"/>
  <c r="F203" i="47"/>
  <c r="F202" i="47"/>
  <c r="F201" i="47"/>
  <c r="F200" i="47"/>
  <c r="F199" i="47"/>
  <c r="F197" i="47"/>
  <c r="F196" i="47"/>
  <c r="F195" i="47"/>
  <c r="G192" i="47"/>
  <c r="F193" i="47"/>
  <c r="G188" i="47"/>
  <c r="F189" i="47"/>
  <c r="G186" i="47"/>
  <c r="F187" i="47"/>
  <c r="G184" i="47"/>
  <c r="F185" i="47"/>
  <c r="F183" i="47"/>
  <c r="F182" i="47"/>
  <c r="F181" i="47" s="1"/>
  <c r="G178" i="47"/>
  <c r="F179" i="47"/>
  <c r="H178" i="47" s="1"/>
  <c r="G176" i="47"/>
  <c r="F177" i="47"/>
  <c r="F176" i="47" s="1"/>
  <c r="F175" i="47"/>
  <c r="F174" i="47"/>
  <c r="F173" i="47"/>
  <c r="F172" i="47"/>
  <c r="L172" i="47" s="1"/>
  <c r="F171" i="47"/>
  <c r="F170" i="47"/>
  <c r="F169" i="47"/>
  <c r="F168" i="47"/>
  <c r="F167" i="47"/>
  <c r="F166" i="47"/>
  <c r="F165" i="47"/>
  <c r="F164" i="47"/>
  <c r="F163" i="47"/>
  <c r="F162" i="47"/>
  <c r="F161" i="47"/>
  <c r="F160" i="47"/>
  <c r="F159" i="47"/>
  <c r="F158" i="47"/>
  <c r="F157" i="47"/>
  <c r="F156" i="47"/>
  <c r="F155" i="47"/>
  <c r="F153" i="47"/>
  <c r="F152" i="47"/>
  <c r="F151" i="47"/>
  <c r="G147" i="47"/>
  <c r="F150" i="47"/>
  <c r="F149" i="47"/>
  <c r="F148" i="47"/>
  <c r="F146" i="47"/>
  <c r="F145" i="47"/>
  <c r="F144" i="47"/>
  <c r="F143" i="47"/>
  <c r="F142" i="47"/>
  <c r="F141" i="47"/>
  <c r="F140" i="47"/>
  <c r="F139" i="47"/>
  <c r="F138" i="47"/>
  <c r="F137" i="47"/>
  <c r="F136" i="47"/>
  <c r="F135" i="47"/>
  <c r="F134" i="47"/>
  <c r="F133" i="47"/>
  <c r="F132" i="47"/>
  <c r="F131" i="47"/>
  <c r="F130" i="47"/>
  <c r="G128" i="47"/>
  <c r="F129" i="47"/>
  <c r="G124" i="47"/>
  <c r="F125" i="47"/>
  <c r="F123" i="47"/>
  <c r="F122" i="47"/>
  <c r="F121" i="47"/>
  <c r="F120" i="47"/>
  <c r="F119" i="47"/>
  <c r="F118" i="47"/>
  <c r="F117" i="47"/>
  <c r="F116" i="47"/>
  <c r="F115" i="47"/>
  <c r="F114" i="47"/>
  <c r="F113" i="47"/>
  <c r="F112" i="47"/>
  <c r="F111" i="47"/>
  <c r="F110" i="47"/>
  <c r="F109" i="47"/>
  <c r="F108" i="47"/>
  <c r="F107" i="47"/>
  <c r="F106" i="47"/>
  <c r="F105" i="47"/>
  <c r="F104" i="47"/>
  <c r="F102" i="47"/>
  <c r="F101" i="47"/>
  <c r="F100" i="47"/>
  <c r="F99" i="47"/>
  <c r="F98" i="47"/>
  <c r="F97" i="47"/>
  <c r="F96" i="47"/>
  <c r="F95" i="47"/>
  <c r="F94" i="47"/>
  <c r="F93" i="47"/>
  <c r="F92" i="47"/>
  <c r="F91" i="47"/>
  <c r="F90" i="47"/>
  <c r="F89" i="47"/>
  <c r="F88" i="47"/>
  <c r="F87" i="47"/>
  <c r="F86" i="47"/>
  <c r="F85" i="47"/>
  <c r="F84" i="47"/>
  <c r="F83" i="47"/>
  <c r="F82" i="47"/>
  <c r="F81" i="47"/>
  <c r="F79" i="47"/>
  <c r="F78" i="47"/>
  <c r="F76" i="47"/>
  <c r="F75" i="47"/>
  <c r="F74" i="47"/>
  <c r="G72" i="47"/>
  <c r="F73" i="47"/>
  <c r="F71" i="47"/>
  <c r="F70" i="47"/>
  <c r="F69" i="47"/>
  <c r="F68" i="47"/>
  <c r="F65" i="47"/>
  <c r="F64" i="47"/>
  <c r="F63" i="47"/>
  <c r="F62" i="47"/>
  <c r="F61" i="47"/>
  <c r="F60" i="47"/>
  <c r="F59" i="47"/>
  <c r="F58" i="47"/>
  <c r="F57" i="47"/>
  <c r="F56" i="47"/>
  <c r="F55" i="47"/>
  <c r="F54" i="47"/>
  <c r="F53" i="47"/>
  <c r="F51" i="47"/>
  <c r="F50" i="47"/>
  <c r="F49" i="47"/>
  <c r="F48" i="47"/>
  <c r="F46" i="47"/>
  <c r="F45" i="47"/>
  <c r="F44" i="47"/>
  <c r="F43" i="47"/>
  <c r="F42" i="47"/>
  <c r="F41" i="47"/>
  <c r="F40" i="47"/>
  <c r="F39" i="47"/>
  <c r="G37" i="47"/>
  <c r="F38" i="47"/>
  <c r="F36" i="47"/>
  <c r="F35" i="47"/>
  <c r="F34" i="47"/>
  <c r="G32" i="47"/>
  <c r="F33" i="47"/>
  <c r="F31" i="47"/>
  <c r="F30" i="47"/>
  <c r="F29" i="47"/>
  <c r="F28" i="47"/>
  <c r="F27" i="47"/>
  <c r="F26" i="47"/>
  <c r="F25" i="47"/>
  <c r="F24" i="47"/>
  <c r="F23" i="47"/>
  <c r="F22" i="47"/>
  <c r="G16" i="47"/>
  <c r="F21" i="47"/>
  <c r="F20" i="47"/>
  <c r="F19" i="47"/>
  <c r="F18" i="47"/>
  <c r="F17" i="47"/>
  <c r="F15" i="47"/>
  <c r="F14" i="47"/>
  <c r="G12" i="47"/>
  <c r="F13" i="47"/>
  <c r="F9" i="47"/>
  <c r="G9" i="47" s="1"/>
  <c r="H9" i="47" s="1"/>
  <c r="I8" i="47"/>
  <c r="F12" i="47" l="1"/>
  <c r="F32" i="47"/>
  <c r="F77" i="47"/>
  <c r="F154" i="47"/>
  <c r="F208" i="47"/>
  <c r="F16" i="47"/>
  <c r="F147" i="47"/>
  <c r="G67" i="47"/>
  <c r="G80" i="47"/>
  <c r="G47" i="47"/>
  <c r="G52" i="47"/>
  <c r="G194" i="47"/>
  <c r="G77" i="47"/>
  <c r="G208" i="47"/>
  <c r="G154" i="47"/>
  <c r="G127" i="47" s="1"/>
  <c r="H124" i="47"/>
  <c r="F8" i="47"/>
  <c r="H8" i="47" s="1"/>
  <c r="G181" i="47"/>
  <c r="G180" i="47" s="1"/>
  <c r="G103" i="47"/>
  <c r="F186" i="47"/>
  <c r="F37" i="47"/>
  <c r="F72" i="47"/>
  <c r="F80" i="47"/>
  <c r="F128" i="47"/>
  <c r="F192" i="47"/>
  <c r="F67" i="47"/>
  <c r="I124" i="47"/>
  <c r="I178" i="47"/>
  <c r="F188" i="47"/>
  <c r="F198" i="47"/>
  <c r="F194" i="47"/>
  <c r="G198" i="47"/>
  <c r="F47" i="47"/>
  <c r="F52" i="47"/>
  <c r="H67" i="47"/>
  <c r="F124" i="47"/>
  <c r="F184" i="47"/>
  <c r="I67" i="47"/>
  <c r="F103" i="47"/>
  <c r="F178" i="47"/>
  <c r="H212" i="47"/>
  <c r="G11" i="47" l="1"/>
  <c r="G191" i="47"/>
  <c r="G190" i="47" s="1"/>
  <c r="G66" i="47"/>
  <c r="I128" i="47"/>
  <c r="H208" i="47"/>
  <c r="I72" i="47"/>
  <c r="G126" i="47"/>
  <c r="H128" i="47"/>
  <c r="H72" i="47"/>
  <c r="F11" i="47"/>
  <c r="I208" i="47"/>
  <c r="I37" i="47"/>
  <c r="F180" i="47"/>
  <c r="I103" i="47"/>
  <c r="I32" i="47"/>
  <c r="H32" i="47"/>
  <c r="H37" i="47"/>
  <c r="I16" i="47"/>
  <c r="H16" i="47"/>
  <c r="H52" i="47"/>
  <c r="H80" i="47"/>
  <c r="I12" i="47"/>
  <c r="H12" i="47"/>
  <c r="H192" i="47"/>
  <c r="I192" i="47"/>
  <c r="H186" i="47"/>
  <c r="I186" i="47"/>
  <c r="H103" i="47"/>
  <c r="H176" i="47"/>
  <c r="I176" i="47"/>
  <c r="H184" i="47"/>
  <c r="I184" i="47"/>
  <c r="H198" i="47"/>
  <c r="I198" i="47"/>
  <c r="H77" i="47"/>
  <c r="I77" i="47"/>
  <c r="F66" i="47"/>
  <c r="F10" i="47" s="1"/>
  <c r="F191" i="47"/>
  <c r="H194" i="47"/>
  <c r="I194" i="47"/>
  <c r="H154" i="47"/>
  <c r="I154" i="47"/>
  <c r="I80" i="47"/>
  <c r="I181" i="47"/>
  <c r="H181" i="47"/>
  <c r="H47" i="47"/>
  <c r="I47" i="47"/>
  <c r="H147" i="47"/>
  <c r="I147" i="47"/>
  <c r="H188" i="47"/>
  <c r="I188" i="47"/>
  <c r="I52" i="47"/>
  <c r="F127" i="47"/>
  <c r="F126" i="47" s="1"/>
  <c r="G10" i="47" l="1"/>
  <c r="H66" i="47"/>
  <c r="G214" i="47"/>
  <c r="I180" i="47"/>
  <c r="I127" i="47"/>
  <c r="H127" i="47"/>
  <c r="I66" i="47"/>
  <c r="I191" i="47"/>
  <c r="I11" i="47"/>
  <c r="H11" i="47"/>
  <c r="F190" i="47"/>
  <c r="F214" i="47"/>
  <c r="F7" i="47" s="1"/>
  <c r="H191" i="47"/>
  <c r="H180" i="47"/>
  <c r="H10" i="47" l="1"/>
  <c r="G7" i="47"/>
  <c r="I126" i="47"/>
  <c r="I214" i="47" s="1"/>
  <c r="H126" i="47"/>
  <c r="H214" i="47" s="1"/>
  <c r="I10" i="47"/>
  <c r="H190" i="47"/>
  <c r="I190" i="47"/>
  <c r="L2" i="47" s="1"/>
  <c r="L4" i="47" s="1"/>
  <c r="G7" i="14" s="1"/>
  <c r="H7" i="47" l="1"/>
  <c r="I7" i="47"/>
  <c r="DV10" i="11" l="1"/>
  <c r="DV23" i="11" l="1"/>
  <c r="I379" i="23" l="1"/>
  <c r="AA43" i="12" l="1"/>
  <c r="AB41" i="12"/>
  <c r="L212" i="1" l="1"/>
  <c r="U212" i="1"/>
  <c r="R212" i="1"/>
  <c r="Q212" i="1"/>
  <c r="P212" i="1"/>
  <c r="O212" i="1"/>
  <c r="N212" i="1"/>
  <c r="V19" i="10" l="1"/>
  <c r="V21" i="10" l="1"/>
  <c r="V20" i="10"/>
  <c r="O4" i="9" l="1"/>
  <c r="O4" i="12"/>
  <c r="O4" i="5" l="1"/>
  <c r="O24" i="4"/>
  <c r="O17" i="4"/>
  <c r="O14" i="4"/>
  <c r="O9" i="4"/>
  <c r="O4" i="4" l="1"/>
  <c r="K97" i="25"/>
  <c r="K76" i="25"/>
  <c r="K67" i="25"/>
  <c r="K50" i="25"/>
  <c r="K6" i="25" l="1"/>
  <c r="K5" i="25" s="1"/>
  <c r="K91" i="25"/>
  <c r="K66" i="25"/>
  <c r="K102" i="25" l="1"/>
  <c r="K105" i="25" s="1"/>
  <c r="F4" i="25"/>
  <c r="G4" i="26"/>
  <c r="H4" i="33" s="1"/>
  <c r="Y5" i="38"/>
  <c r="G30" i="33"/>
  <c r="G24" i="33"/>
  <c r="G22" i="33"/>
  <c r="AQ37" i="3" l="1"/>
  <c r="AQ26" i="3"/>
  <c r="AN125" i="3" l="1"/>
  <c r="AQ121" i="3"/>
  <c r="AP121" i="3"/>
  <c r="AO121" i="3"/>
  <c r="AN121" i="3"/>
  <c r="AQ117" i="3"/>
  <c r="AP117" i="3"/>
  <c r="AO117" i="3"/>
  <c r="AN117" i="3"/>
  <c r="AQ107" i="3"/>
  <c r="AP107" i="3"/>
  <c r="AO107" i="3"/>
  <c r="AN107" i="3"/>
  <c r="AQ76" i="3"/>
  <c r="AQ87" i="3"/>
  <c r="AP87" i="3"/>
  <c r="AO87" i="3"/>
  <c r="AN87" i="3"/>
  <c r="AP76" i="3"/>
  <c r="AO76" i="3"/>
  <c r="AN76" i="3"/>
  <c r="AP37" i="3"/>
  <c r="AO37" i="3"/>
  <c r="AN37" i="3"/>
  <c r="AP26" i="3"/>
  <c r="AO26" i="3"/>
  <c r="AN26" i="3"/>
  <c r="AQ6" i="3"/>
  <c r="AQ36" i="3" s="1"/>
  <c r="AQ75" i="3" s="1"/>
  <c r="AP6" i="3"/>
  <c r="AO6" i="3"/>
  <c r="AN6" i="3"/>
  <c r="AO36" i="3" l="1"/>
  <c r="AO75" i="3" s="1"/>
  <c r="AO124" i="3" s="1"/>
  <c r="AN36" i="3"/>
  <c r="AN75" i="3" s="1"/>
  <c r="AN124" i="3" s="1"/>
  <c r="AN127" i="3" s="1"/>
  <c r="AN128" i="3" s="1"/>
  <c r="AQ124" i="3"/>
  <c r="AP36" i="3"/>
  <c r="AP75" i="3" s="1"/>
  <c r="AP124" i="3" s="1"/>
  <c r="AQ125" i="3" l="1"/>
  <c r="AQ127" i="3" s="1"/>
  <c r="AO125" i="3"/>
  <c r="AO127" i="3" s="1"/>
  <c r="AP125" i="3"/>
  <c r="AP127" i="3" s="1"/>
  <c r="AO128" i="3" l="1"/>
  <c r="P313" i="31"/>
  <c r="P312" i="31"/>
  <c r="P126" i="31"/>
  <c r="P124" i="31"/>
  <c r="E44" i="24" l="1"/>
  <c r="J16" i="39" l="1"/>
  <c r="K16" i="39" s="1"/>
  <c r="P25" i="33"/>
  <c r="P23" i="33"/>
  <c r="P20" i="33"/>
  <c r="P19" i="33"/>
  <c r="P17" i="33"/>
  <c r="P15" i="33"/>
  <c r="P14" i="33"/>
  <c r="P13" i="33"/>
  <c r="P12" i="33"/>
  <c r="P11" i="33"/>
  <c r="P9" i="33"/>
  <c r="P7" i="33"/>
  <c r="P6" i="33"/>
  <c r="AL253" i="1"/>
  <c r="P21" i="33" l="1"/>
  <c r="P8" i="33"/>
  <c r="P34" i="33" s="1"/>
  <c r="H29" i="39" l="1"/>
  <c r="G29" i="39"/>
  <c r="F29" i="39"/>
  <c r="E29" i="39"/>
  <c r="K29" i="39"/>
  <c r="P10" i="33"/>
  <c r="P35" i="33" s="1"/>
  <c r="P16" i="33" l="1"/>
  <c r="P36" i="33" s="1"/>
  <c r="P18" i="33" l="1"/>
  <c r="P37" i="33" l="1"/>
  <c r="P31" i="33"/>
  <c r="P32" i="33" s="1"/>
  <c r="L37" i="26"/>
  <c r="L29" i="26"/>
  <c r="L23" i="26"/>
  <c r="L14" i="26"/>
  <c r="L7" i="26"/>
  <c r="L35" i="26" l="1"/>
  <c r="L42" i="26"/>
  <c r="L21" i="26"/>
  <c r="L43" i="26" l="1"/>
  <c r="L45" i="26" s="1"/>
  <c r="V9" i="12" l="1"/>
  <c r="AB39" i="12" l="1"/>
  <c r="AA38" i="12" l="1"/>
  <c r="AB38" i="12"/>
  <c r="AA39" i="12"/>
  <c r="V18" i="12" l="1"/>
  <c r="V17" i="12" l="1"/>
  <c r="AB17" i="12" s="1"/>
  <c r="N4" i="12" l="1"/>
  <c r="T6" i="10" l="1"/>
  <c r="U6" i="10" s="1"/>
  <c r="J24" i="38"/>
  <c r="J14" i="38"/>
  <c r="J10" i="38"/>
  <c r="J8" i="38"/>
  <c r="J7" i="38" l="1"/>
  <c r="J6" i="38" s="1"/>
  <c r="L6" i="39" s="1"/>
  <c r="Q126" i="3"/>
  <c r="O126" i="3"/>
  <c r="N126" i="3"/>
  <c r="R123" i="3"/>
  <c r="Q123" i="3"/>
  <c r="O123" i="3"/>
  <c r="N123" i="3"/>
  <c r="R122" i="3"/>
  <c r="Q122" i="3"/>
  <c r="O122" i="3"/>
  <c r="N122" i="3"/>
  <c r="R120" i="3"/>
  <c r="Q120" i="3"/>
  <c r="O120" i="3"/>
  <c r="N120" i="3"/>
  <c r="R119" i="3"/>
  <c r="Q119" i="3"/>
  <c r="O119" i="3"/>
  <c r="N119" i="3"/>
  <c r="R118" i="3"/>
  <c r="Q118" i="3"/>
  <c r="O118" i="3"/>
  <c r="N118" i="3"/>
  <c r="R116" i="3"/>
  <c r="Q116" i="3"/>
  <c r="O116" i="3"/>
  <c r="N116" i="3"/>
  <c r="R115" i="3"/>
  <c r="Q115" i="3"/>
  <c r="O115" i="3"/>
  <c r="N115" i="3"/>
  <c r="R114" i="3"/>
  <c r="Q114" i="3"/>
  <c r="O114" i="3"/>
  <c r="N114" i="3"/>
  <c r="R113" i="3"/>
  <c r="Q113" i="3"/>
  <c r="O113" i="3"/>
  <c r="N113" i="3"/>
  <c r="R112" i="3"/>
  <c r="Q112" i="3"/>
  <c r="O112" i="3"/>
  <c r="N112" i="3"/>
  <c r="R111" i="3"/>
  <c r="Q111" i="3"/>
  <c r="O111" i="3"/>
  <c r="N111" i="3"/>
  <c r="R110" i="3"/>
  <c r="Q110" i="3"/>
  <c r="O110" i="3"/>
  <c r="N110" i="3"/>
  <c r="R109" i="3"/>
  <c r="Q109" i="3"/>
  <c r="O109" i="3"/>
  <c r="N109" i="3"/>
  <c r="Q108" i="3"/>
  <c r="O108" i="3"/>
  <c r="N108" i="3"/>
  <c r="R105" i="3"/>
  <c r="Q105" i="3"/>
  <c r="O105" i="3"/>
  <c r="N105" i="3"/>
  <c r="R104" i="3"/>
  <c r="O104" i="3"/>
  <c r="R102" i="3"/>
  <c r="Q102" i="3"/>
  <c r="O102" i="3"/>
  <c r="N102" i="3"/>
  <c r="R99" i="3"/>
  <c r="Q99" i="3"/>
  <c r="O99" i="3"/>
  <c r="N99" i="3"/>
  <c r="R97" i="3"/>
  <c r="Q97" i="3"/>
  <c r="O97" i="3"/>
  <c r="N97" i="3"/>
  <c r="R96" i="3"/>
  <c r="Q96" i="3"/>
  <c r="O96" i="3"/>
  <c r="N96" i="3"/>
  <c r="R95" i="3"/>
  <c r="Q95" i="3"/>
  <c r="O95" i="3"/>
  <c r="N95" i="3"/>
  <c r="R94" i="3"/>
  <c r="Q94" i="3"/>
  <c r="O94" i="3"/>
  <c r="N94" i="3"/>
  <c r="R93" i="3"/>
  <c r="Q93" i="3"/>
  <c r="O93" i="3"/>
  <c r="N93" i="3"/>
  <c r="R92" i="3"/>
  <c r="Q92" i="3"/>
  <c r="O92" i="3"/>
  <c r="N92" i="3"/>
  <c r="R91" i="3"/>
  <c r="Q91" i="3"/>
  <c r="O91" i="3"/>
  <c r="N91" i="3"/>
  <c r="R90" i="3"/>
  <c r="Q90" i="3"/>
  <c r="O90" i="3"/>
  <c r="N90" i="3"/>
  <c r="R89" i="3"/>
  <c r="Q89" i="3"/>
  <c r="O89" i="3"/>
  <c r="N89" i="3"/>
  <c r="R88" i="3"/>
  <c r="Q88" i="3"/>
  <c r="O88" i="3"/>
  <c r="N88" i="3"/>
  <c r="R86" i="3"/>
  <c r="Q86" i="3"/>
  <c r="O86" i="3"/>
  <c r="N86" i="3"/>
  <c r="R84" i="3"/>
  <c r="Q84" i="3"/>
  <c r="O84" i="3"/>
  <c r="N84" i="3"/>
  <c r="R83" i="3"/>
  <c r="Q83" i="3"/>
  <c r="O83" i="3"/>
  <c r="N83" i="3"/>
  <c r="R82" i="3"/>
  <c r="Q82" i="3"/>
  <c r="O82" i="3"/>
  <c r="N82" i="3"/>
  <c r="R81" i="3"/>
  <c r="Q81" i="3"/>
  <c r="O81" i="3"/>
  <c r="N81" i="3"/>
  <c r="R80" i="3"/>
  <c r="Q80" i="3"/>
  <c r="O80" i="3"/>
  <c r="N80" i="3"/>
  <c r="R79" i="3"/>
  <c r="Q79" i="3"/>
  <c r="O79" i="3"/>
  <c r="N79" i="3"/>
  <c r="R78" i="3"/>
  <c r="Q78" i="3"/>
  <c r="O78" i="3"/>
  <c r="N78" i="3"/>
  <c r="R77" i="3"/>
  <c r="Q77" i="3"/>
  <c r="O77" i="3"/>
  <c r="N77" i="3"/>
  <c r="R74" i="3"/>
  <c r="Q74" i="3"/>
  <c r="O74" i="3"/>
  <c r="N74" i="3"/>
  <c r="R73" i="3"/>
  <c r="Q73" i="3"/>
  <c r="O73" i="3"/>
  <c r="N73" i="3"/>
  <c r="R72" i="3"/>
  <c r="Q72" i="3"/>
  <c r="O72" i="3"/>
  <c r="N72" i="3"/>
  <c r="R71" i="3"/>
  <c r="Q71" i="3"/>
  <c r="O71" i="3"/>
  <c r="N71" i="3"/>
  <c r="R70" i="3"/>
  <c r="Q70" i="3"/>
  <c r="O70" i="3"/>
  <c r="N70" i="3"/>
  <c r="R69" i="3"/>
  <c r="Q69" i="3"/>
  <c r="O69" i="3"/>
  <c r="N69" i="3"/>
  <c r="R68" i="3"/>
  <c r="Q68" i="3"/>
  <c r="O68" i="3"/>
  <c r="N68" i="3"/>
  <c r="R67" i="3"/>
  <c r="Q67" i="3"/>
  <c r="O67" i="3"/>
  <c r="N67" i="3"/>
  <c r="R66" i="3"/>
  <c r="Q66" i="3"/>
  <c r="O66" i="3"/>
  <c r="N66" i="3"/>
  <c r="R65" i="3"/>
  <c r="Q65" i="3"/>
  <c r="O65" i="3"/>
  <c r="N65" i="3"/>
  <c r="R64" i="3"/>
  <c r="Q64" i="3"/>
  <c r="O64" i="3"/>
  <c r="N64" i="3"/>
  <c r="R63" i="3"/>
  <c r="Q63" i="3"/>
  <c r="O63" i="3"/>
  <c r="N63" i="3"/>
  <c r="R62" i="3"/>
  <c r="Q62" i="3"/>
  <c r="O62" i="3"/>
  <c r="N62" i="3"/>
  <c r="R61" i="3"/>
  <c r="Q61" i="3"/>
  <c r="O61" i="3"/>
  <c r="N61" i="3"/>
  <c r="R60" i="3"/>
  <c r="Q60" i="3"/>
  <c r="O60" i="3"/>
  <c r="N60" i="3"/>
  <c r="R59" i="3"/>
  <c r="Q59" i="3"/>
  <c r="O59" i="3"/>
  <c r="N59" i="3"/>
  <c r="R58" i="3"/>
  <c r="Q58" i="3"/>
  <c r="O58" i="3"/>
  <c r="N58" i="3"/>
  <c r="R57" i="3"/>
  <c r="Q57" i="3"/>
  <c r="O57" i="3"/>
  <c r="N57" i="3"/>
  <c r="R56" i="3"/>
  <c r="Q56" i="3"/>
  <c r="O56" i="3"/>
  <c r="N56" i="3"/>
  <c r="R55" i="3"/>
  <c r="Q55" i="3"/>
  <c r="O55" i="3"/>
  <c r="N55" i="3"/>
  <c r="R54" i="3"/>
  <c r="Q54" i="3"/>
  <c r="O54" i="3"/>
  <c r="N54" i="3"/>
  <c r="Q53" i="3"/>
  <c r="O53" i="3"/>
  <c r="N53" i="3"/>
  <c r="R52" i="3"/>
  <c r="Q52" i="3"/>
  <c r="O52" i="3"/>
  <c r="N52" i="3"/>
  <c r="R51" i="3"/>
  <c r="Q51" i="3"/>
  <c r="O51" i="3"/>
  <c r="N51" i="3"/>
  <c r="R50" i="3"/>
  <c r="Q50" i="3"/>
  <c r="O50" i="3"/>
  <c r="N50" i="3"/>
  <c r="R49" i="3"/>
  <c r="Q49" i="3"/>
  <c r="O49" i="3"/>
  <c r="N49" i="3"/>
  <c r="R48" i="3"/>
  <c r="Q48" i="3"/>
  <c r="O48" i="3"/>
  <c r="N48" i="3"/>
  <c r="R47" i="3"/>
  <c r="Q47" i="3"/>
  <c r="O47" i="3"/>
  <c r="N47" i="3"/>
  <c r="R46" i="3"/>
  <c r="Q46" i="3"/>
  <c r="O46" i="3"/>
  <c r="N46" i="3"/>
  <c r="R45" i="3"/>
  <c r="Q45" i="3"/>
  <c r="O45" i="3"/>
  <c r="N45" i="3"/>
  <c r="R44" i="3"/>
  <c r="Q44" i="3"/>
  <c r="O44" i="3"/>
  <c r="N44" i="3"/>
  <c r="R43" i="3"/>
  <c r="Q43" i="3"/>
  <c r="O43" i="3"/>
  <c r="N43" i="3"/>
  <c r="R42" i="3"/>
  <c r="Q42" i="3"/>
  <c r="O42" i="3"/>
  <c r="N42" i="3"/>
  <c r="R41" i="3"/>
  <c r="Q41" i="3"/>
  <c r="O41" i="3"/>
  <c r="N41" i="3"/>
  <c r="R40" i="3"/>
  <c r="Q40" i="3"/>
  <c r="O40" i="3"/>
  <c r="R39" i="3"/>
  <c r="Q39" i="3"/>
  <c r="O39" i="3"/>
  <c r="N39" i="3"/>
  <c r="R38" i="3"/>
  <c r="Q38" i="3"/>
  <c r="O38" i="3"/>
  <c r="N38" i="3"/>
  <c r="R35" i="3"/>
  <c r="Q35" i="3"/>
  <c r="O35" i="3"/>
  <c r="N35" i="3"/>
  <c r="R34" i="3"/>
  <c r="Q34" i="3"/>
  <c r="O34" i="3"/>
  <c r="N34" i="3"/>
  <c r="R33" i="3"/>
  <c r="Q33" i="3"/>
  <c r="O33" i="3"/>
  <c r="N33" i="3"/>
  <c r="R32" i="3"/>
  <c r="Q32" i="3"/>
  <c r="O32" i="3"/>
  <c r="N32" i="3"/>
  <c r="R31" i="3"/>
  <c r="Q31" i="3"/>
  <c r="O31" i="3"/>
  <c r="N31" i="3"/>
  <c r="R30" i="3"/>
  <c r="Q30" i="3"/>
  <c r="O30" i="3"/>
  <c r="N30" i="3"/>
  <c r="R29" i="3"/>
  <c r="Q29" i="3"/>
  <c r="O29" i="3"/>
  <c r="N29" i="3"/>
  <c r="R28" i="3"/>
  <c r="O28" i="3"/>
  <c r="N28" i="3"/>
  <c r="R27" i="3"/>
  <c r="O27" i="3"/>
  <c r="N27" i="3"/>
  <c r="R25" i="3"/>
  <c r="Q25" i="3"/>
  <c r="O25" i="3"/>
  <c r="N25" i="3"/>
  <c r="R24" i="3"/>
  <c r="Q24" i="3"/>
  <c r="O24" i="3"/>
  <c r="N24" i="3"/>
  <c r="R23" i="3"/>
  <c r="Q23" i="3"/>
  <c r="O23" i="3"/>
  <c r="N23" i="3"/>
  <c r="R22" i="3"/>
  <c r="Q22" i="3"/>
  <c r="O22" i="3"/>
  <c r="N22" i="3"/>
  <c r="R21" i="3"/>
  <c r="Q21" i="3"/>
  <c r="O21" i="3"/>
  <c r="N21" i="3"/>
  <c r="R20" i="3"/>
  <c r="Q20" i="3"/>
  <c r="O20" i="3"/>
  <c r="N20" i="3"/>
  <c r="R19" i="3"/>
  <c r="Q19" i="3"/>
  <c r="O19" i="3"/>
  <c r="N19" i="3"/>
  <c r="R18" i="3"/>
  <c r="Q18" i="3"/>
  <c r="O18" i="3"/>
  <c r="N18" i="3"/>
  <c r="R17" i="3"/>
  <c r="Q17" i="3"/>
  <c r="O17" i="3"/>
  <c r="N17" i="3"/>
  <c r="R16" i="3"/>
  <c r="Q16" i="3"/>
  <c r="O16" i="3"/>
  <c r="N16" i="3"/>
  <c r="R15" i="3"/>
  <c r="O15" i="3"/>
  <c r="N15" i="3"/>
  <c r="R14" i="3"/>
  <c r="Q14" i="3"/>
  <c r="O14" i="3"/>
  <c r="N14" i="3"/>
  <c r="R13" i="3"/>
  <c r="Q13" i="3"/>
  <c r="O13" i="3"/>
  <c r="N13" i="3"/>
  <c r="R12" i="3"/>
  <c r="Q12" i="3"/>
  <c r="O12" i="3"/>
  <c r="N12" i="3"/>
  <c r="R11" i="3"/>
  <c r="Q11" i="3"/>
  <c r="O11" i="3"/>
  <c r="N11" i="3"/>
  <c r="R10" i="3"/>
  <c r="Q10" i="3"/>
  <c r="O10" i="3"/>
  <c r="N10" i="3"/>
  <c r="R9" i="3"/>
  <c r="Q9" i="3"/>
  <c r="O9" i="3"/>
  <c r="N9" i="3"/>
  <c r="R8" i="3"/>
  <c r="Q8" i="3"/>
  <c r="O8" i="3"/>
  <c r="N8" i="3"/>
  <c r="R7" i="3"/>
  <c r="Q7" i="3"/>
  <c r="O7" i="3"/>
  <c r="N7" i="3"/>
  <c r="Q100" i="3" l="1"/>
  <c r="N100" i="3"/>
  <c r="O100" i="3"/>
  <c r="R100" i="3"/>
  <c r="J4" i="38"/>
  <c r="R251" i="1"/>
  <c r="Q251" i="1"/>
  <c r="O251" i="1"/>
  <c r="N251" i="1"/>
  <c r="O248" i="1"/>
  <c r="R247" i="1"/>
  <c r="Q247" i="1"/>
  <c r="O247" i="1"/>
  <c r="R245" i="1"/>
  <c r="Q245" i="1"/>
  <c r="O245" i="1"/>
  <c r="N245" i="1"/>
  <c r="Q244" i="1"/>
  <c r="O244" i="1"/>
  <c r="N244" i="1"/>
  <c r="R243" i="1"/>
  <c r="Q243" i="1"/>
  <c r="O243" i="1"/>
  <c r="N243" i="1"/>
  <c r="R242" i="1"/>
  <c r="Q242" i="1"/>
  <c r="O242" i="1"/>
  <c r="N242" i="1"/>
  <c r="R241" i="1"/>
  <c r="Q241" i="1"/>
  <c r="O241" i="1"/>
  <c r="N241" i="1"/>
  <c r="R240" i="1"/>
  <c r="Q240" i="1"/>
  <c r="O240" i="1"/>
  <c r="N240" i="1"/>
  <c r="R239" i="1"/>
  <c r="Q239" i="1"/>
  <c r="O239" i="1"/>
  <c r="N239" i="1"/>
  <c r="R238" i="1"/>
  <c r="Q238" i="1"/>
  <c r="O238" i="1"/>
  <c r="N238" i="1"/>
  <c r="R237" i="1"/>
  <c r="Q237" i="1"/>
  <c r="O237" i="1"/>
  <c r="N237" i="1"/>
  <c r="R235" i="1"/>
  <c r="Q235" i="1"/>
  <c r="O235" i="1"/>
  <c r="R234" i="1"/>
  <c r="Q234" i="1"/>
  <c r="O234" i="1"/>
  <c r="N234" i="1"/>
  <c r="R233" i="1"/>
  <c r="Q233" i="1"/>
  <c r="O233" i="1"/>
  <c r="N233" i="1"/>
  <c r="R231" i="1"/>
  <c r="Q231" i="1"/>
  <c r="O231" i="1"/>
  <c r="N231" i="1"/>
  <c r="R226" i="1"/>
  <c r="Q226" i="1"/>
  <c r="O226" i="1"/>
  <c r="N226" i="1"/>
  <c r="R225" i="1"/>
  <c r="Q225" i="1"/>
  <c r="O225" i="1"/>
  <c r="N225" i="1"/>
  <c r="R224" i="1"/>
  <c r="Q224" i="1"/>
  <c r="O224" i="1"/>
  <c r="N224" i="1"/>
  <c r="Q222" i="1"/>
  <c r="O222" i="1"/>
  <c r="N222" i="1"/>
  <c r="R220" i="1"/>
  <c r="Q220" i="1"/>
  <c r="O220" i="1"/>
  <c r="N220" i="1"/>
  <c r="R218" i="1"/>
  <c r="Q218" i="1"/>
  <c r="O218" i="1"/>
  <c r="N218" i="1"/>
  <c r="R216" i="1"/>
  <c r="Q216" i="1"/>
  <c r="O216" i="1"/>
  <c r="N216" i="1"/>
  <c r="R215" i="1"/>
  <c r="Q215" i="1"/>
  <c r="O215" i="1"/>
  <c r="N215" i="1"/>
  <c r="R211" i="1"/>
  <c r="R210" i="1" s="1"/>
  <c r="Q211" i="1"/>
  <c r="Q210" i="1" s="1"/>
  <c r="O211" i="1"/>
  <c r="O210" i="1" s="1"/>
  <c r="N211" i="1"/>
  <c r="N210" i="1" s="1"/>
  <c r="R209" i="1"/>
  <c r="Q209" i="1"/>
  <c r="O209" i="1"/>
  <c r="N209" i="1"/>
  <c r="R207" i="1"/>
  <c r="Q207" i="1"/>
  <c r="O207" i="1"/>
  <c r="N207" i="1"/>
  <c r="R205" i="1"/>
  <c r="Q205" i="1"/>
  <c r="O205" i="1"/>
  <c r="N205" i="1"/>
  <c r="R204" i="1"/>
  <c r="Q204" i="1"/>
  <c r="O204" i="1"/>
  <c r="N204" i="1"/>
  <c r="R203" i="1"/>
  <c r="Q203" i="1"/>
  <c r="O203" i="1"/>
  <c r="N203" i="1"/>
  <c r="R202" i="1"/>
  <c r="Q202" i="1"/>
  <c r="O202" i="1"/>
  <c r="N202" i="1"/>
  <c r="R201" i="1"/>
  <c r="Q201" i="1"/>
  <c r="O201" i="1"/>
  <c r="N201" i="1"/>
  <c r="R200" i="1"/>
  <c r="Q200" i="1"/>
  <c r="O200" i="1"/>
  <c r="N200" i="1"/>
  <c r="R199" i="1"/>
  <c r="Q199" i="1"/>
  <c r="O199" i="1"/>
  <c r="N199" i="1"/>
  <c r="R198" i="1"/>
  <c r="Q198" i="1"/>
  <c r="O198" i="1"/>
  <c r="N198" i="1"/>
  <c r="R197" i="1"/>
  <c r="Q197" i="1"/>
  <c r="O197" i="1"/>
  <c r="N197" i="1"/>
  <c r="R196" i="1"/>
  <c r="Q196" i="1"/>
  <c r="O196" i="1"/>
  <c r="N196" i="1"/>
  <c r="R195" i="1"/>
  <c r="Q195" i="1"/>
  <c r="O195" i="1"/>
  <c r="N195" i="1"/>
  <c r="R194" i="1"/>
  <c r="Q194" i="1"/>
  <c r="O194" i="1"/>
  <c r="N194" i="1"/>
  <c r="R193" i="1"/>
  <c r="Q193" i="1"/>
  <c r="O193" i="1"/>
  <c r="N193" i="1"/>
  <c r="R192" i="1"/>
  <c r="Q192" i="1"/>
  <c r="O192" i="1"/>
  <c r="N192" i="1"/>
  <c r="R191" i="1"/>
  <c r="Q191" i="1"/>
  <c r="O191" i="1"/>
  <c r="N191" i="1"/>
  <c r="R190" i="1"/>
  <c r="Q190" i="1"/>
  <c r="O190" i="1"/>
  <c r="N190" i="1"/>
  <c r="R189" i="1"/>
  <c r="Q189" i="1"/>
  <c r="O189" i="1"/>
  <c r="N189" i="1"/>
  <c r="R188" i="1"/>
  <c r="Q188" i="1"/>
  <c r="O188" i="1"/>
  <c r="N188" i="1"/>
  <c r="R187" i="1"/>
  <c r="Q187" i="1"/>
  <c r="O187" i="1"/>
  <c r="N187" i="1"/>
  <c r="R186" i="1"/>
  <c r="Q186" i="1"/>
  <c r="O186" i="1"/>
  <c r="N186" i="1"/>
  <c r="R185" i="1"/>
  <c r="Q185" i="1"/>
  <c r="O185" i="1"/>
  <c r="N185" i="1"/>
  <c r="R184" i="1"/>
  <c r="Q184" i="1"/>
  <c r="O184" i="1"/>
  <c r="N184" i="1"/>
  <c r="R183" i="1"/>
  <c r="Q183" i="1"/>
  <c r="O183" i="1"/>
  <c r="N183" i="1"/>
  <c r="R182" i="1"/>
  <c r="Q182" i="1"/>
  <c r="O182" i="1"/>
  <c r="N182" i="1"/>
  <c r="R181" i="1"/>
  <c r="Q181" i="1"/>
  <c r="O181" i="1"/>
  <c r="N181" i="1"/>
  <c r="R180" i="1"/>
  <c r="Q180" i="1"/>
  <c r="O180" i="1"/>
  <c r="N180" i="1"/>
  <c r="R177" i="1"/>
  <c r="Q177" i="1"/>
  <c r="O177" i="1"/>
  <c r="N177" i="1"/>
  <c r="R176" i="1"/>
  <c r="Q176" i="1"/>
  <c r="O176" i="1"/>
  <c r="N176" i="1"/>
  <c r="R175" i="1"/>
  <c r="Q175" i="1"/>
  <c r="O175" i="1"/>
  <c r="N175" i="1"/>
  <c r="R174" i="1"/>
  <c r="Q174" i="1"/>
  <c r="O174" i="1"/>
  <c r="N174" i="1"/>
  <c r="R173" i="1"/>
  <c r="Q173" i="1"/>
  <c r="O173" i="1"/>
  <c r="N173" i="1"/>
  <c r="R172" i="1"/>
  <c r="Q172" i="1"/>
  <c r="O172" i="1"/>
  <c r="N172" i="1"/>
  <c r="R170" i="1"/>
  <c r="Q170" i="1"/>
  <c r="O170" i="1"/>
  <c r="N170" i="1"/>
  <c r="R169" i="1"/>
  <c r="Q169" i="1"/>
  <c r="O169" i="1"/>
  <c r="N169" i="1"/>
  <c r="R168" i="1"/>
  <c r="Q168" i="1"/>
  <c r="O168" i="1"/>
  <c r="N168" i="1"/>
  <c r="R167" i="1"/>
  <c r="Q167" i="1"/>
  <c r="O167" i="1"/>
  <c r="N167" i="1"/>
  <c r="R166" i="1"/>
  <c r="Q166" i="1"/>
  <c r="O166" i="1"/>
  <c r="N166" i="1"/>
  <c r="R165" i="1"/>
  <c r="Q165" i="1"/>
  <c r="O165" i="1"/>
  <c r="N165" i="1"/>
  <c r="R163" i="1"/>
  <c r="Q163" i="1"/>
  <c r="O163" i="1"/>
  <c r="N163" i="1"/>
  <c r="R162" i="1"/>
  <c r="Q162" i="1"/>
  <c r="O162" i="1"/>
  <c r="N162" i="1"/>
  <c r="R161" i="1"/>
  <c r="Q161" i="1"/>
  <c r="O161" i="1"/>
  <c r="N161" i="1"/>
  <c r="R160" i="1"/>
  <c r="Q160" i="1"/>
  <c r="O160" i="1"/>
  <c r="N160" i="1"/>
  <c r="R159" i="1"/>
  <c r="Q159" i="1"/>
  <c r="O159" i="1"/>
  <c r="N159" i="1"/>
  <c r="R158" i="1"/>
  <c r="Q158" i="1"/>
  <c r="O158" i="1"/>
  <c r="N158" i="1"/>
  <c r="R157" i="1"/>
  <c r="Q157" i="1"/>
  <c r="O157" i="1"/>
  <c r="N157" i="1"/>
  <c r="R156" i="1"/>
  <c r="Q156" i="1"/>
  <c r="O156" i="1"/>
  <c r="N156" i="1"/>
  <c r="R155" i="1"/>
  <c r="Q155" i="1"/>
  <c r="O155" i="1"/>
  <c r="N155" i="1"/>
  <c r="R154" i="1"/>
  <c r="Q154" i="1"/>
  <c r="O154" i="1"/>
  <c r="N154" i="1"/>
  <c r="R153" i="1"/>
  <c r="Q153" i="1"/>
  <c r="O153" i="1"/>
  <c r="N153" i="1"/>
  <c r="R152" i="1"/>
  <c r="Q152" i="1"/>
  <c r="O152" i="1"/>
  <c r="N152" i="1"/>
  <c r="R151" i="1"/>
  <c r="Q151" i="1"/>
  <c r="O151" i="1"/>
  <c r="N151" i="1"/>
  <c r="R150" i="1"/>
  <c r="Q150" i="1"/>
  <c r="O150" i="1"/>
  <c r="N150" i="1"/>
  <c r="R146" i="1"/>
  <c r="Q146" i="1"/>
  <c r="O146" i="1"/>
  <c r="N146" i="1"/>
  <c r="R145" i="1"/>
  <c r="Q145" i="1"/>
  <c r="O145" i="1"/>
  <c r="N145" i="1"/>
  <c r="R143" i="1"/>
  <c r="Q143" i="1"/>
  <c r="O143" i="1"/>
  <c r="N143" i="1"/>
  <c r="Q142" i="1"/>
  <c r="O142" i="1"/>
  <c r="N142" i="1"/>
  <c r="Q141" i="1"/>
  <c r="O141" i="1"/>
  <c r="N141" i="1"/>
  <c r="Q140" i="1"/>
  <c r="O140" i="1"/>
  <c r="N140" i="1"/>
  <c r="R139" i="1"/>
  <c r="Q139" i="1"/>
  <c r="O139" i="1"/>
  <c r="N139" i="1"/>
  <c r="R138" i="1"/>
  <c r="Q138" i="1"/>
  <c r="O138" i="1"/>
  <c r="N138" i="1"/>
  <c r="R137" i="1"/>
  <c r="Q137" i="1"/>
  <c r="O137" i="1"/>
  <c r="N137" i="1"/>
  <c r="R136" i="1"/>
  <c r="Q136" i="1"/>
  <c r="O136" i="1"/>
  <c r="N136" i="1"/>
  <c r="Q135" i="1"/>
  <c r="O135" i="1"/>
  <c r="N135" i="1"/>
  <c r="Q134" i="1"/>
  <c r="O134" i="1"/>
  <c r="R133" i="1"/>
  <c r="Q133" i="1"/>
  <c r="O133" i="1"/>
  <c r="N133" i="1"/>
  <c r="R132" i="1"/>
  <c r="Q132" i="1"/>
  <c r="O132" i="1"/>
  <c r="N132" i="1"/>
  <c r="R131" i="1"/>
  <c r="Q131" i="1"/>
  <c r="O131" i="1"/>
  <c r="N131" i="1"/>
  <c r="R130" i="1"/>
  <c r="Q130" i="1"/>
  <c r="O130" i="1"/>
  <c r="N130" i="1"/>
  <c r="R129" i="1"/>
  <c r="Q129" i="1"/>
  <c r="O129" i="1"/>
  <c r="N129" i="1"/>
  <c r="R128" i="1"/>
  <c r="Q128" i="1"/>
  <c r="O128" i="1"/>
  <c r="N128" i="1"/>
  <c r="R127" i="1"/>
  <c r="Q127" i="1"/>
  <c r="O127" i="1"/>
  <c r="N127" i="1"/>
  <c r="R126" i="1"/>
  <c r="Q126" i="1"/>
  <c r="O126" i="1"/>
  <c r="N126" i="1"/>
  <c r="R125" i="1"/>
  <c r="Q125" i="1"/>
  <c r="O125" i="1"/>
  <c r="N125" i="1"/>
  <c r="R124" i="1"/>
  <c r="Q124" i="1"/>
  <c r="O124" i="1"/>
  <c r="N124" i="1"/>
  <c r="R123" i="1"/>
  <c r="Q123" i="1"/>
  <c r="O123" i="1"/>
  <c r="N123" i="1"/>
  <c r="R122" i="1"/>
  <c r="Q122" i="1"/>
  <c r="O122" i="1"/>
  <c r="N122" i="1"/>
  <c r="R121" i="1"/>
  <c r="Q121" i="1"/>
  <c r="O121" i="1"/>
  <c r="N121" i="1"/>
  <c r="R120" i="1"/>
  <c r="Q120" i="1"/>
  <c r="O120" i="1"/>
  <c r="N120" i="1"/>
  <c r="R118" i="1"/>
  <c r="Q118" i="1"/>
  <c r="O118" i="1"/>
  <c r="N118" i="1"/>
  <c r="R117" i="1"/>
  <c r="Q117" i="1"/>
  <c r="O117" i="1"/>
  <c r="N117" i="1"/>
  <c r="R116" i="1"/>
  <c r="Q116" i="1"/>
  <c r="O116" i="1"/>
  <c r="N116" i="1"/>
  <c r="R115" i="1"/>
  <c r="Q115" i="1"/>
  <c r="O115" i="1"/>
  <c r="N115" i="1"/>
  <c r="R114" i="1"/>
  <c r="Q114" i="1"/>
  <c r="O114" i="1"/>
  <c r="N114" i="1"/>
  <c r="R113" i="1"/>
  <c r="Q113" i="1"/>
  <c r="O113" i="1"/>
  <c r="N113" i="1"/>
  <c r="R112" i="1"/>
  <c r="Q112" i="1"/>
  <c r="O112" i="1"/>
  <c r="N112" i="1"/>
  <c r="R111" i="1"/>
  <c r="Q111" i="1"/>
  <c r="O111" i="1"/>
  <c r="N111" i="1"/>
  <c r="R110" i="1"/>
  <c r="Q110" i="1"/>
  <c r="O110" i="1"/>
  <c r="N110" i="1"/>
  <c r="R109" i="1"/>
  <c r="Q109" i="1"/>
  <c r="O109" i="1"/>
  <c r="N109" i="1"/>
  <c r="R108" i="1"/>
  <c r="Q108" i="1"/>
  <c r="O108" i="1"/>
  <c r="N108" i="1"/>
  <c r="R107" i="1"/>
  <c r="Q107" i="1"/>
  <c r="O107" i="1"/>
  <c r="N107" i="1"/>
  <c r="R106" i="1"/>
  <c r="Q106" i="1"/>
  <c r="O106" i="1"/>
  <c r="N106" i="1"/>
  <c r="R105" i="1"/>
  <c r="Q105" i="1"/>
  <c r="O105" i="1"/>
  <c r="N105" i="1"/>
  <c r="R104" i="1"/>
  <c r="Q104" i="1"/>
  <c r="O104" i="1"/>
  <c r="N104" i="1"/>
  <c r="R103" i="1"/>
  <c r="Q103" i="1"/>
  <c r="O103" i="1"/>
  <c r="N103" i="1"/>
  <c r="R102" i="1"/>
  <c r="Q102" i="1"/>
  <c r="O102" i="1"/>
  <c r="N102" i="1"/>
  <c r="R101" i="1"/>
  <c r="Q101" i="1"/>
  <c r="O101" i="1"/>
  <c r="N101" i="1"/>
  <c r="R100" i="1"/>
  <c r="Q100" i="1"/>
  <c r="O100" i="1"/>
  <c r="N100" i="1"/>
  <c r="R99" i="1"/>
  <c r="Q99" i="1"/>
  <c r="O99" i="1"/>
  <c r="N99" i="1"/>
  <c r="R98" i="1"/>
  <c r="Q98" i="1"/>
  <c r="O98" i="1"/>
  <c r="N98" i="1"/>
  <c r="R97" i="1"/>
  <c r="Q97" i="1"/>
  <c r="O97" i="1"/>
  <c r="N97" i="1"/>
  <c r="R96" i="1"/>
  <c r="Q96" i="1"/>
  <c r="O96" i="1"/>
  <c r="N96" i="1"/>
  <c r="R95" i="1"/>
  <c r="Q95" i="1"/>
  <c r="O95" i="1"/>
  <c r="N95" i="1"/>
  <c r="R93" i="1"/>
  <c r="Q93" i="1"/>
  <c r="O93" i="1"/>
  <c r="N93" i="1"/>
  <c r="R92" i="1"/>
  <c r="Q92" i="1"/>
  <c r="O92" i="1"/>
  <c r="N92" i="1"/>
  <c r="R91" i="1"/>
  <c r="Q91" i="1"/>
  <c r="O91" i="1"/>
  <c r="N91" i="1"/>
  <c r="R89" i="1"/>
  <c r="Q89" i="1"/>
  <c r="O89" i="1"/>
  <c r="N89" i="1"/>
  <c r="R88" i="1"/>
  <c r="Q88" i="1"/>
  <c r="O88" i="1"/>
  <c r="N88" i="1"/>
  <c r="R87" i="1"/>
  <c r="Q87" i="1"/>
  <c r="O87" i="1"/>
  <c r="N87" i="1"/>
  <c r="R85" i="1"/>
  <c r="Q85" i="1"/>
  <c r="O85" i="1"/>
  <c r="N85" i="1"/>
  <c r="R83" i="1"/>
  <c r="Q83" i="1"/>
  <c r="O83" i="1"/>
  <c r="N83" i="1"/>
  <c r="R82" i="1"/>
  <c r="Q82" i="1"/>
  <c r="O82" i="1"/>
  <c r="N82" i="1"/>
  <c r="R81" i="1"/>
  <c r="Q81" i="1"/>
  <c r="O81" i="1"/>
  <c r="N81" i="1"/>
  <c r="R80" i="1"/>
  <c r="Q80" i="1"/>
  <c r="O80" i="1"/>
  <c r="N80" i="1"/>
  <c r="R79" i="1"/>
  <c r="Q79" i="1"/>
  <c r="O79" i="1"/>
  <c r="N79" i="1"/>
  <c r="R78" i="1"/>
  <c r="Q78" i="1"/>
  <c r="O78" i="1"/>
  <c r="N78" i="1"/>
  <c r="R77" i="1"/>
  <c r="Q77" i="1"/>
  <c r="O77" i="1"/>
  <c r="N77" i="1"/>
  <c r="R76" i="1"/>
  <c r="Q76" i="1"/>
  <c r="O76" i="1"/>
  <c r="N76" i="1"/>
  <c r="R73" i="1"/>
  <c r="Q73" i="1"/>
  <c r="O73" i="1"/>
  <c r="N73" i="1"/>
  <c r="R72" i="1"/>
  <c r="Q72" i="1"/>
  <c r="O72" i="1"/>
  <c r="N72" i="1"/>
  <c r="R71" i="1"/>
  <c r="Q71" i="1"/>
  <c r="O71" i="1"/>
  <c r="N71" i="1"/>
  <c r="R70" i="1"/>
  <c r="Q70" i="1"/>
  <c r="O70" i="1"/>
  <c r="N70" i="1"/>
  <c r="R69" i="1"/>
  <c r="Q69" i="1"/>
  <c r="O69" i="1"/>
  <c r="N69" i="1"/>
  <c r="R68" i="1"/>
  <c r="Q68" i="1"/>
  <c r="O68" i="1"/>
  <c r="N68" i="1"/>
  <c r="R67" i="1"/>
  <c r="Q67" i="1"/>
  <c r="O67" i="1"/>
  <c r="N67" i="1"/>
  <c r="R66" i="1"/>
  <c r="Q66" i="1"/>
  <c r="O66" i="1"/>
  <c r="N66" i="1"/>
  <c r="R65" i="1"/>
  <c r="Q65" i="1"/>
  <c r="O65" i="1"/>
  <c r="N65" i="1"/>
  <c r="R64" i="1"/>
  <c r="Q64" i="1"/>
  <c r="O64" i="1"/>
  <c r="N64" i="1"/>
  <c r="R63" i="1"/>
  <c r="Q63" i="1"/>
  <c r="O63" i="1"/>
  <c r="N63" i="1"/>
  <c r="R62" i="1"/>
  <c r="Q62" i="1"/>
  <c r="O62" i="1"/>
  <c r="N62" i="1"/>
  <c r="R61" i="1"/>
  <c r="Q61" i="1"/>
  <c r="O61" i="1"/>
  <c r="N61" i="1"/>
  <c r="R60" i="1"/>
  <c r="Q60" i="1"/>
  <c r="O60" i="1"/>
  <c r="N60" i="1"/>
  <c r="R59" i="1"/>
  <c r="Q59" i="1"/>
  <c r="O59" i="1"/>
  <c r="N59" i="1"/>
  <c r="R58" i="1"/>
  <c r="Q58" i="1"/>
  <c r="O58" i="1"/>
  <c r="N58" i="1"/>
  <c r="R56" i="1"/>
  <c r="Q56" i="1"/>
  <c r="O56" i="1"/>
  <c r="N56" i="1"/>
  <c r="R55" i="1"/>
  <c r="Q55" i="1"/>
  <c r="O55" i="1"/>
  <c r="N55" i="1"/>
  <c r="R54" i="1"/>
  <c r="Q54" i="1"/>
  <c r="O54" i="1"/>
  <c r="N54" i="1"/>
  <c r="R53" i="1"/>
  <c r="Q53" i="1"/>
  <c r="O53" i="1"/>
  <c r="N53" i="1"/>
  <c r="R51" i="1"/>
  <c r="Q51" i="1"/>
  <c r="O51" i="1"/>
  <c r="N51" i="1"/>
  <c r="R50" i="1"/>
  <c r="Q50" i="1"/>
  <c r="O50" i="1"/>
  <c r="N50" i="1"/>
  <c r="R49" i="1"/>
  <c r="Q49" i="1"/>
  <c r="O49" i="1"/>
  <c r="N49" i="1"/>
  <c r="R48" i="1"/>
  <c r="Q48" i="1"/>
  <c r="O48" i="1"/>
  <c r="N48" i="1"/>
  <c r="R47" i="1"/>
  <c r="Q47" i="1"/>
  <c r="O47" i="1"/>
  <c r="N47" i="1"/>
  <c r="R46" i="1"/>
  <c r="Q46" i="1"/>
  <c r="O46" i="1"/>
  <c r="N46" i="1"/>
  <c r="R45" i="1"/>
  <c r="O45" i="1"/>
  <c r="N45" i="1"/>
  <c r="R44" i="1"/>
  <c r="Q44" i="1"/>
  <c r="O44" i="1"/>
  <c r="N44" i="1"/>
  <c r="R43" i="1"/>
  <c r="O43" i="1"/>
  <c r="N43" i="1"/>
  <c r="R41" i="1"/>
  <c r="Q41" i="1"/>
  <c r="O41" i="1"/>
  <c r="N41" i="1"/>
  <c r="R40" i="1"/>
  <c r="Q40" i="1"/>
  <c r="O40" i="1"/>
  <c r="N40" i="1"/>
  <c r="R39" i="1"/>
  <c r="Q39" i="1"/>
  <c r="O39" i="1"/>
  <c r="N39" i="1"/>
  <c r="R14" i="1"/>
  <c r="R13" i="1" s="1"/>
  <c r="Q14" i="1"/>
  <c r="Q13" i="1" s="1"/>
  <c r="O14" i="1"/>
  <c r="O13" i="1" s="1"/>
  <c r="N14" i="1"/>
  <c r="N13" i="1" s="1"/>
  <c r="R37" i="1"/>
  <c r="Q37" i="1"/>
  <c r="O37" i="1"/>
  <c r="N37" i="1"/>
  <c r="R36" i="1"/>
  <c r="Q36" i="1"/>
  <c r="O36" i="1"/>
  <c r="N36" i="1"/>
  <c r="R35" i="1"/>
  <c r="Q35" i="1"/>
  <c r="O35" i="1"/>
  <c r="N35" i="1"/>
  <c r="R33" i="1"/>
  <c r="Q33" i="1"/>
  <c r="O33" i="1"/>
  <c r="N33" i="1"/>
  <c r="R31" i="1"/>
  <c r="Q31" i="1"/>
  <c r="O31" i="1"/>
  <c r="N31" i="1"/>
  <c r="R30" i="1"/>
  <c r="Q30" i="1"/>
  <c r="O30" i="1"/>
  <c r="N30" i="1"/>
  <c r="R29" i="1"/>
  <c r="Q29" i="1"/>
  <c r="O29" i="1"/>
  <c r="N29" i="1"/>
  <c r="R28" i="1"/>
  <c r="Q28" i="1"/>
  <c r="O28" i="1"/>
  <c r="N28" i="1"/>
  <c r="R27" i="1"/>
  <c r="Q27" i="1"/>
  <c r="O27" i="1"/>
  <c r="N27" i="1"/>
  <c r="R26" i="1"/>
  <c r="Q26" i="1"/>
  <c r="O26" i="1"/>
  <c r="N26" i="1"/>
  <c r="R25" i="1"/>
  <c r="Q25" i="1"/>
  <c r="O25" i="1"/>
  <c r="N25" i="1"/>
  <c r="R23" i="1"/>
  <c r="Q23" i="1"/>
  <c r="O23" i="1"/>
  <c r="N23" i="1"/>
  <c r="R22" i="1"/>
  <c r="Q22" i="1"/>
  <c r="O22" i="1"/>
  <c r="N22" i="1"/>
  <c r="R21" i="1"/>
  <c r="Q21" i="1"/>
  <c r="O21" i="1"/>
  <c r="N21" i="1"/>
  <c r="R20" i="1"/>
  <c r="Q20" i="1"/>
  <c r="O20" i="1"/>
  <c r="N20" i="1"/>
  <c r="R19" i="1"/>
  <c r="Q19" i="1"/>
  <c r="O19" i="1"/>
  <c r="N19" i="1"/>
  <c r="R18" i="1"/>
  <c r="Q18" i="1"/>
  <c r="O18" i="1"/>
  <c r="N18" i="1"/>
  <c r="R17" i="1"/>
  <c r="Q17" i="1"/>
  <c r="O17" i="1"/>
  <c r="N17" i="1"/>
  <c r="R16" i="1"/>
  <c r="Q16" i="1"/>
  <c r="O16" i="1"/>
  <c r="N16" i="1"/>
  <c r="R12" i="1"/>
  <c r="Q12" i="1"/>
  <c r="O12" i="1"/>
  <c r="N12" i="1"/>
  <c r="R11" i="1"/>
  <c r="Q11" i="1"/>
  <c r="O11" i="1"/>
  <c r="N11" i="1"/>
  <c r="R10" i="1"/>
  <c r="Q10" i="1"/>
  <c r="O10" i="1"/>
  <c r="N10" i="1"/>
  <c r="R9" i="1"/>
  <c r="Q9" i="1"/>
  <c r="O9" i="1"/>
  <c r="N9" i="1"/>
  <c r="U12" i="1"/>
  <c r="S12" i="1"/>
  <c r="U11" i="1"/>
  <c r="S11" i="1"/>
  <c r="U10" i="1"/>
  <c r="S10" i="1"/>
  <c r="P10" i="1"/>
  <c r="U9" i="1"/>
  <c r="S9" i="1"/>
  <c r="P9" i="1"/>
  <c r="O38" i="1" l="1"/>
  <c r="N38" i="1"/>
  <c r="Q38" i="1"/>
  <c r="R38" i="1"/>
  <c r="O223" i="1"/>
  <c r="N223" i="1"/>
  <c r="Q223" i="1"/>
  <c r="R223" i="1"/>
  <c r="N171" i="1"/>
  <c r="O171" i="1"/>
  <c r="R171" i="1"/>
  <c r="Q171" i="1"/>
  <c r="R126" i="3"/>
  <c r="E33" i="24"/>
  <c r="R53" i="3"/>
  <c r="E32" i="24"/>
  <c r="U142" i="1"/>
  <c r="S142" i="1"/>
  <c r="P142" i="1"/>
  <c r="L142" i="1"/>
  <c r="U19" i="10" l="1"/>
  <c r="DP27" i="11"/>
  <c r="DO27" i="11"/>
  <c r="DN27" i="11"/>
  <c r="DK17" i="11"/>
  <c r="R222" i="1"/>
  <c r="V43" i="8"/>
  <c r="V44" i="8" s="1"/>
  <c r="V4" i="5"/>
  <c r="R108" i="3" l="1"/>
  <c r="E34" i="24"/>
  <c r="V47" i="8"/>
  <c r="V48" i="8" s="1"/>
  <c r="R140" i="1"/>
  <c r="N248" i="1"/>
  <c r="N235" i="1"/>
  <c r="N134" i="1"/>
  <c r="N247" i="1" l="1"/>
  <c r="L64" i="31"/>
  <c r="P64" i="31" s="1"/>
  <c r="N26" i="4" l="1"/>
  <c r="N27" i="4" s="1"/>
  <c r="N28" i="4" s="1"/>
  <c r="U52" i="3" l="1"/>
  <c r="S52" i="3"/>
  <c r="P52" i="3"/>
  <c r="U117" i="1"/>
  <c r="S117" i="1"/>
  <c r="P117" i="1"/>
  <c r="U116" i="1"/>
  <c r="S116" i="1"/>
  <c r="P116" i="1"/>
  <c r="V52" i="3" l="1"/>
  <c r="V116" i="1"/>
  <c r="V117" i="1"/>
  <c r="Y10" i="12" l="1"/>
  <c r="Z10" i="12"/>
  <c r="L4" i="22" l="1"/>
  <c r="G82" i="30" l="1"/>
  <c r="H76" i="30"/>
  <c r="H74" i="30"/>
  <c r="H60" i="30"/>
  <c r="H54" i="30"/>
  <c r="F52" i="30"/>
  <c r="F51" i="30"/>
  <c r="F50" i="30"/>
  <c r="F44" i="30"/>
  <c r="H39" i="30"/>
  <c r="F37" i="30"/>
  <c r="F19" i="30"/>
  <c r="H8" i="30"/>
  <c r="O29" i="19"/>
  <c r="N29" i="19"/>
  <c r="M29" i="19"/>
  <c r="L29" i="19"/>
  <c r="K29" i="19"/>
  <c r="J29" i="19"/>
  <c r="I29" i="19"/>
  <c r="H29" i="19"/>
  <c r="F29" i="19"/>
  <c r="L17" i="19"/>
  <c r="I15" i="19"/>
  <c r="H15" i="19"/>
  <c r="J14" i="19"/>
  <c r="G15" i="19"/>
  <c r="J11" i="19"/>
  <c r="J10" i="19"/>
  <c r="K7" i="19"/>
  <c r="N12" i="15"/>
  <c r="J12" i="15"/>
  <c r="I12" i="15"/>
  <c r="H12" i="15"/>
  <c r="G12" i="15"/>
  <c r="Q11" i="15"/>
  <c r="P11" i="15"/>
  <c r="L11" i="15"/>
  <c r="K14" i="19" s="1"/>
  <c r="K11" i="15"/>
  <c r="Q10" i="15"/>
  <c r="P10" i="15"/>
  <c r="L10" i="15"/>
  <c r="K10" i="15"/>
  <c r="Q9" i="15"/>
  <c r="O9" i="15"/>
  <c r="P9" i="15" s="1"/>
  <c r="L9" i="15"/>
  <c r="K12" i="19" s="1"/>
  <c r="Q8" i="15"/>
  <c r="P8" i="15"/>
  <c r="L8" i="15"/>
  <c r="K11" i="19" s="1"/>
  <c r="K8" i="15"/>
  <c r="Q7" i="15"/>
  <c r="P7" i="15"/>
  <c r="L7" i="15"/>
  <c r="K10" i="19" s="1"/>
  <c r="K7" i="15"/>
  <c r="Q6" i="15"/>
  <c r="P6" i="15"/>
  <c r="L6" i="15"/>
  <c r="P5" i="15"/>
  <c r="R5" i="15" s="1"/>
  <c r="Q14" i="16"/>
  <c r="Q15" i="16" s="1"/>
  <c r="AC12" i="16"/>
  <c r="AD11" i="16"/>
  <c r="AE11" i="16" s="1"/>
  <c r="AF11" i="16" s="1"/>
  <c r="W11" i="16"/>
  <c r="AD10" i="16"/>
  <c r="W10" i="16"/>
  <c r="X10" i="16" s="1"/>
  <c r="Y10" i="16" s="1"/>
  <c r="AD8" i="16"/>
  <c r="W8" i="16"/>
  <c r="AD7" i="16"/>
  <c r="AE7" i="16" s="1"/>
  <c r="AF7" i="16" s="1"/>
  <c r="W7" i="16"/>
  <c r="AB12" i="21"/>
  <c r="AA12" i="21"/>
  <c r="Z12" i="21"/>
  <c r="Y12" i="21"/>
  <c r="X12" i="21"/>
  <c r="W12" i="21"/>
  <c r="V12" i="21"/>
  <c r="U12" i="21"/>
  <c r="T12" i="21"/>
  <c r="S12" i="21"/>
  <c r="P12" i="21"/>
  <c r="N12" i="21"/>
  <c r="K12" i="21"/>
  <c r="J12" i="21"/>
  <c r="I12" i="21"/>
  <c r="H12" i="21"/>
  <c r="G12" i="21"/>
  <c r="M11" i="21"/>
  <c r="M10" i="21"/>
  <c r="Q10" i="21" s="1"/>
  <c r="AC10" i="21" s="1"/>
  <c r="M9" i="21"/>
  <c r="M8" i="21"/>
  <c r="Q8" i="21" s="1"/>
  <c r="AC8" i="21" s="1"/>
  <c r="M7" i="21"/>
  <c r="Q6" i="21"/>
  <c r="E30" i="14"/>
  <c r="J16" i="14" s="1"/>
  <c r="G16" i="14" s="1"/>
  <c r="H2" i="14"/>
  <c r="K4" i="13"/>
  <c r="J4" i="13"/>
  <c r="I4" i="13"/>
  <c r="H4" i="13"/>
  <c r="G4" i="13"/>
  <c r="AG43" i="12"/>
  <c r="AH38" i="12"/>
  <c r="AM15" i="12" s="1"/>
  <c r="AG36" i="12"/>
  <c r="AG32" i="12"/>
  <c r="AH33" i="12" s="1"/>
  <c r="AG29" i="12"/>
  <c r="AH30" i="12" s="1"/>
  <c r="AB28" i="12"/>
  <c r="AG27" i="12"/>
  <c r="AB27" i="12"/>
  <c r="AB26" i="12"/>
  <c r="AB25" i="12"/>
  <c r="AB24" i="12"/>
  <c r="AG22" i="12"/>
  <c r="AG25" i="12" s="1"/>
  <c r="AH21" i="12"/>
  <c r="Z20" i="12"/>
  <c r="Y20" i="12"/>
  <c r="V20" i="12"/>
  <c r="AB20" i="12" s="1"/>
  <c r="J20" i="12"/>
  <c r="Z19" i="12"/>
  <c r="Y19" i="12"/>
  <c r="Z18" i="12"/>
  <c r="Y18" i="12"/>
  <c r="J18" i="12"/>
  <c r="Z17" i="12"/>
  <c r="Y17" i="12"/>
  <c r="AM14" i="12"/>
  <c r="W10" i="12"/>
  <c r="Z9" i="12"/>
  <c r="Y9" i="12"/>
  <c r="Z8" i="12"/>
  <c r="Y8" i="12"/>
  <c r="Z7" i="12"/>
  <c r="Y7" i="12"/>
  <c r="Y6" i="12"/>
  <c r="M4" i="12"/>
  <c r="L4" i="12"/>
  <c r="K4" i="12"/>
  <c r="E18" i="43"/>
  <c r="V21" i="35"/>
  <c r="U21" i="35"/>
  <c r="T21" i="35"/>
  <c r="Q21" i="35"/>
  <c r="L21" i="35"/>
  <c r="K21" i="35"/>
  <c r="J21" i="35"/>
  <c r="I21" i="35"/>
  <c r="G21" i="35"/>
  <c r="AF20" i="35"/>
  <c r="AE20" i="35"/>
  <c r="AD20" i="35"/>
  <c r="AC20" i="35"/>
  <c r="AA20" i="35"/>
  <c r="M20" i="35"/>
  <c r="O20" i="35" s="1"/>
  <c r="AF19" i="35"/>
  <c r="AE19" i="35"/>
  <c r="AD19" i="35"/>
  <c r="AA19" i="35"/>
  <c r="M19" i="35"/>
  <c r="R19" i="35" s="1"/>
  <c r="AF18" i="35"/>
  <c r="AE18" i="35"/>
  <c r="AD18" i="35"/>
  <c r="AC18" i="35"/>
  <c r="AA18" i="35"/>
  <c r="H18" i="35"/>
  <c r="H21" i="35" s="1"/>
  <c r="AF17" i="35"/>
  <c r="AE17" i="35"/>
  <c r="AD17" i="35"/>
  <c r="AC17" i="35"/>
  <c r="AA17" i="35"/>
  <c r="M17" i="35"/>
  <c r="O17" i="35" s="1"/>
  <c r="AE16" i="35"/>
  <c r="AD16" i="35"/>
  <c r="AC16" i="35"/>
  <c r="AA16" i="35"/>
  <c r="M16" i="35"/>
  <c r="O16" i="35" s="1"/>
  <c r="AG15" i="35"/>
  <c r="W15" i="35"/>
  <c r="M15" i="35"/>
  <c r="M10" i="35"/>
  <c r="O10" i="35" s="1"/>
  <c r="M9" i="35"/>
  <c r="O9" i="35" s="1"/>
  <c r="M8" i="35"/>
  <c r="O8" i="35" s="1"/>
  <c r="AA7" i="35"/>
  <c r="Q7" i="35"/>
  <c r="M7" i="35"/>
  <c r="O7" i="35" s="1"/>
  <c r="G7" i="35"/>
  <c r="M6" i="35"/>
  <c r="R6" i="35" s="1"/>
  <c r="W6" i="35" s="1"/>
  <c r="BT51" i="11"/>
  <c r="BS51" i="11"/>
  <c r="BR51" i="11"/>
  <c r="BU50" i="11"/>
  <c r="BU51" i="11" s="1"/>
  <c r="BY48" i="11"/>
  <c r="BY50" i="11" s="1"/>
  <c r="BX48" i="11"/>
  <c r="BZ44" i="11"/>
  <c r="BY44" i="11"/>
  <c r="BZ43" i="11"/>
  <c r="CB39" i="11"/>
  <c r="CB38" i="11"/>
  <c r="BY37" i="11"/>
  <c r="BY40" i="11" s="1"/>
  <c r="BX31" i="11"/>
  <c r="CL30" i="11"/>
  <c r="BX30" i="11"/>
  <c r="BY20" i="11" s="1"/>
  <c r="CN27" i="11"/>
  <c r="CM27" i="11"/>
  <c r="CL27" i="11"/>
  <c r="W27" i="11"/>
  <c r="V27" i="11"/>
  <c r="U27" i="11"/>
  <c r="R27" i="11"/>
  <c r="L27" i="11"/>
  <c r="K27" i="11"/>
  <c r="J27" i="11"/>
  <c r="I27" i="11"/>
  <c r="G27" i="11"/>
  <c r="CO26" i="11"/>
  <c r="CA26" i="11"/>
  <c r="BZ26" i="11"/>
  <c r="BY26" i="11"/>
  <c r="BX26" i="11"/>
  <c r="BV26" i="11"/>
  <c r="CJ26" i="11" s="1"/>
  <c r="BU26" i="11"/>
  <c r="CK25" i="11"/>
  <c r="CJ25" i="11"/>
  <c r="BW25" i="11"/>
  <c r="BU25" i="11" s="1"/>
  <c r="AH25" i="11"/>
  <c r="BD25" i="11" s="1"/>
  <c r="AG25" i="11"/>
  <c r="BC25" i="11" s="1"/>
  <c r="AF25" i="11"/>
  <c r="BB25" i="11" s="1"/>
  <c r="AC25" i="11"/>
  <c r="AY25" i="11" s="1"/>
  <c r="M25" i="11"/>
  <c r="S25" i="11" s="1"/>
  <c r="AH24" i="11"/>
  <c r="AS24" i="11" s="1"/>
  <c r="CA24" i="11" s="1"/>
  <c r="AG24" i="11"/>
  <c r="BC24" i="11" s="1"/>
  <c r="AF24" i="11"/>
  <c r="BB24" i="11" s="1"/>
  <c r="AE24" i="11"/>
  <c r="AP24" i="11" s="1"/>
  <c r="BX24" i="11" s="1"/>
  <c r="AC24" i="11"/>
  <c r="AY24" i="11" s="1"/>
  <c r="H24" i="11"/>
  <c r="H27" i="11" s="1"/>
  <c r="AH22" i="11"/>
  <c r="AS22" i="11" s="1"/>
  <c r="CA22" i="11" s="1"/>
  <c r="AG22" i="11"/>
  <c r="BC22" i="11" s="1"/>
  <c r="AF22" i="11"/>
  <c r="BB22" i="11" s="1"/>
  <c r="AE22" i="11"/>
  <c r="AP22" i="11" s="1"/>
  <c r="BX22" i="11" s="1"/>
  <c r="AC22" i="11"/>
  <c r="AN22" i="11" s="1"/>
  <c r="M22" i="11"/>
  <c r="S22" i="11" s="1"/>
  <c r="AH21" i="11"/>
  <c r="AG21" i="11"/>
  <c r="AR21" i="11" s="1"/>
  <c r="BZ21" i="11" s="1"/>
  <c r="AF21" i="11"/>
  <c r="BB21" i="11" s="1"/>
  <c r="AE21" i="11"/>
  <c r="AP21" i="11" s="1"/>
  <c r="BX21" i="11" s="1"/>
  <c r="AC21" i="11"/>
  <c r="M21" i="11"/>
  <c r="O21" i="11" s="1"/>
  <c r="BB20" i="11"/>
  <c r="AQ20" i="11"/>
  <c r="AG20" i="11"/>
  <c r="BC20" i="11" s="1"/>
  <c r="AF20" i="11"/>
  <c r="AE20" i="11"/>
  <c r="BA20" i="11" s="1"/>
  <c r="AC20" i="11"/>
  <c r="AY20" i="11" s="1"/>
  <c r="M20" i="11"/>
  <c r="AO20" i="11" s="1"/>
  <c r="BP18" i="11"/>
  <c r="BE18" i="11"/>
  <c r="AT18" i="11"/>
  <c r="AI18" i="11"/>
  <c r="CI17" i="11"/>
  <c r="BU17" i="11"/>
  <c r="BJ17" i="11"/>
  <c r="CJ13" i="11"/>
  <c r="CI13" i="11"/>
  <c r="BW13" i="11"/>
  <c r="BW26" i="11" s="1"/>
  <c r="CR12" i="11"/>
  <c r="CD12" i="11"/>
  <c r="CD25" i="11" s="1"/>
  <c r="BU12" i="11"/>
  <c r="CB12" i="11" s="1"/>
  <c r="BJ12" i="11"/>
  <c r="M12" i="11"/>
  <c r="O12" i="11" s="1"/>
  <c r="BU11" i="11"/>
  <c r="CI11" i="11" s="1"/>
  <c r="BJ11" i="11"/>
  <c r="Q11" i="11"/>
  <c r="M11" i="11"/>
  <c r="AO11" i="11" s="1"/>
  <c r="AT11" i="11" s="1"/>
  <c r="BU9" i="11"/>
  <c r="CI9" i="11" s="1"/>
  <c r="BJ9" i="11"/>
  <c r="M9" i="11"/>
  <c r="S9" i="11" s="1"/>
  <c r="X9" i="11" s="1"/>
  <c r="BU8" i="11"/>
  <c r="CI8" i="11" s="1"/>
  <c r="BJ8" i="11"/>
  <c r="Q8" i="11"/>
  <c r="M8" i="11"/>
  <c r="S8" i="11" s="1"/>
  <c r="X8" i="11" s="1"/>
  <c r="BU7" i="11"/>
  <c r="CI7" i="11" s="1"/>
  <c r="BJ7" i="11"/>
  <c r="M7" i="11"/>
  <c r="H20" i="34"/>
  <c r="H19" i="34"/>
  <c r="F12" i="34"/>
  <c r="H12" i="34" s="1"/>
  <c r="I10" i="34"/>
  <c r="J10" i="34" s="1"/>
  <c r="H9" i="34"/>
  <c r="H18" i="34" s="1"/>
  <c r="H31" i="10"/>
  <c r="H30" i="10"/>
  <c r="H25" i="10"/>
  <c r="H24" i="10"/>
  <c r="T19" i="10"/>
  <c r="N7" i="9" s="1"/>
  <c r="S19" i="10"/>
  <c r="R19" i="10"/>
  <c r="F13" i="10"/>
  <c r="I12" i="10" s="1"/>
  <c r="I11" i="10"/>
  <c r="H10" i="10"/>
  <c r="H23" i="10" s="1"/>
  <c r="F26" i="9"/>
  <c r="F27" i="9" s="1"/>
  <c r="J24" i="9"/>
  <c r="I24" i="9"/>
  <c r="G24" i="9"/>
  <c r="F24" i="9"/>
  <c r="M4" i="9"/>
  <c r="L4" i="9"/>
  <c r="H83" i="8"/>
  <c r="H84" i="8" s="1"/>
  <c r="H82" i="8"/>
  <c r="J82" i="8" s="1"/>
  <c r="J81" i="8"/>
  <c r="I81" i="8"/>
  <c r="H73" i="8"/>
  <c r="H77" i="8" s="1"/>
  <c r="G73" i="8"/>
  <c r="G77" i="8" s="1"/>
  <c r="F73" i="8"/>
  <c r="F77" i="8" s="1"/>
  <c r="J14" i="8"/>
  <c r="J19" i="8" s="1"/>
  <c r="J18" i="8" s="1"/>
  <c r="I14" i="8"/>
  <c r="I19" i="8" s="1"/>
  <c r="I18" i="8" s="1"/>
  <c r="I25" i="8" s="1"/>
  <c r="I26" i="8" s="1"/>
  <c r="H14" i="8"/>
  <c r="H19" i="8" s="1"/>
  <c r="H18" i="8" s="1"/>
  <c r="G14" i="8"/>
  <c r="G19" i="8" s="1"/>
  <c r="G18" i="8" s="1"/>
  <c r="F14" i="8"/>
  <c r="F19" i="8" s="1"/>
  <c r="F66" i="8"/>
  <c r="H61" i="8"/>
  <c r="G61" i="8"/>
  <c r="F61" i="8"/>
  <c r="H60" i="8"/>
  <c r="H63" i="8" s="1"/>
  <c r="H64" i="8" s="1"/>
  <c r="G60" i="8"/>
  <c r="G63" i="8" s="1"/>
  <c r="G64" i="8" s="1"/>
  <c r="F60" i="8"/>
  <c r="F63" i="8" s="1"/>
  <c r="H59" i="8"/>
  <c r="G59" i="8"/>
  <c r="F59" i="8"/>
  <c r="F46" i="8"/>
  <c r="N43" i="8"/>
  <c r="N44" i="8" s="1"/>
  <c r="N47" i="8" s="1"/>
  <c r="N48" i="8" s="1"/>
  <c r="J43" i="8"/>
  <c r="J44" i="8" s="1"/>
  <c r="I43" i="8"/>
  <c r="I44" i="8" s="1"/>
  <c r="H43" i="8"/>
  <c r="H44" i="8" s="1"/>
  <c r="G41" i="8"/>
  <c r="G43" i="8" s="1"/>
  <c r="G44" i="8" s="1"/>
  <c r="F41" i="8"/>
  <c r="F43" i="8" s="1"/>
  <c r="J39" i="8"/>
  <c r="H37" i="8"/>
  <c r="J37" i="8" s="1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E57" i="42"/>
  <c r="G57" i="42" s="1"/>
  <c r="G53" i="42"/>
  <c r="N48" i="42"/>
  <c r="M48" i="42"/>
  <c r="J47" i="42"/>
  <c r="N47" i="42" s="1"/>
  <c r="N39" i="42"/>
  <c r="N38" i="42"/>
  <c r="G29" i="42"/>
  <c r="E25" i="42"/>
  <c r="G25" i="42" s="1"/>
  <c r="G31" i="42" s="1"/>
  <c r="E17" i="42"/>
  <c r="G18" i="42" s="1"/>
  <c r="G19" i="42" s="1"/>
  <c r="E9" i="42"/>
  <c r="E27" i="42" s="1"/>
  <c r="G27" i="42" s="1"/>
  <c r="F4" i="5"/>
  <c r="N4" i="5"/>
  <c r="M4" i="5"/>
  <c r="L4" i="5"/>
  <c r="K4" i="5"/>
  <c r="J4" i="5"/>
  <c r="I4" i="5"/>
  <c r="H4" i="5"/>
  <c r="G4" i="5"/>
  <c r="F27" i="4"/>
  <c r="F28" i="4" s="1"/>
  <c r="F26" i="4"/>
  <c r="G23" i="4"/>
  <c r="H23" i="4" s="1"/>
  <c r="G22" i="4"/>
  <c r="H22" i="4" s="1"/>
  <c r="K22" i="4" s="1"/>
  <c r="G21" i="4"/>
  <c r="H21" i="4" s="1"/>
  <c r="G20" i="4"/>
  <c r="H20" i="4" s="1"/>
  <c r="G19" i="4"/>
  <c r="H19" i="4" s="1"/>
  <c r="I19" i="4" s="1"/>
  <c r="G18" i="4"/>
  <c r="F16" i="4"/>
  <c r="G15" i="4"/>
  <c r="F13" i="4"/>
  <c r="G13" i="4" s="1"/>
  <c r="H13" i="4" s="1"/>
  <c r="G12" i="4"/>
  <c r="H12" i="4" s="1"/>
  <c r="K12" i="4" s="1"/>
  <c r="F11" i="4"/>
  <c r="G10" i="4"/>
  <c r="F8" i="4"/>
  <c r="G7" i="4"/>
  <c r="M4" i="4"/>
  <c r="L167" i="44"/>
  <c r="I166" i="44"/>
  <c r="L164" i="44"/>
  <c r="I163" i="44"/>
  <c r="G161" i="44"/>
  <c r="G4" i="44" s="1"/>
  <c r="I160" i="44"/>
  <c r="K158" i="44"/>
  <c r="I157" i="44"/>
  <c r="K155" i="44"/>
  <c r="J154" i="44"/>
  <c r="L153" i="44"/>
  <c r="L152" i="44"/>
  <c r="I151" i="44"/>
  <c r="K149" i="44"/>
  <c r="J148" i="44"/>
  <c r="K147" i="44"/>
  <c r="K146" i="44"/>
  <c r="I145" i="44"/>
  <c r="J143" i="44"/>
  <c r="K142" i="44"/>
  <c r="K141" i="44"/>
  <c r="I140" i="44"/>
  <c r="J138" i="44"/>
  <c r="I137" i="44"/>
  <c r="K136" i="44"/>
  <c r="I135" i="44"/>
  <c r="I134" i="44"/>
  <c r="K133" i="44"/>
  <c r="K130" i="44"/>
  <c r="L129" i="44"/>
  <c r="I128" i="44"/>
  <c r="K127" i="44"/>
  <c r="E124" i="44"/>
  <c r="D124" i="44"/>
  <c r="E123" i="44"/>
  <c r="D123" i="44"/>
  <c r="E122" i="44"/>
  <c r="D122" i="44"/>
  <c r="E121" i="44"/>
  <c r="D121" i="44"/>
  <c r="E119" i="44"/>
  <c r="D119" i="44"/>
  <c r="E118" i="44"/>
  <c r="D118" i="44"/>
  <c r="D117" i="44"/>
  <c r="E116" i="44"/>
  <c r="D116" i="44"/>
  <c r="E115" i="44"/>
  <c r="D115" i="44"/>
  <c r="E114" i="44"/>
  <c r="D114" i="44"/>
  <c r="E113" i="44"/>
  <c r="D113" i="44"/>
  <c r="D112" i="44"/>
  <c r="K110" i="44"/>
  <c r="E110" i="44"/>
  <c r="D110" i="44"/>
  <c r="L109" i="44"/>
  <c r="E109" i="44"/>
  <c r="D109" i="44"/>
  <c r="C109" i="44"/>
  <c r="C110" i="44" s="1"/>
  <c r="D108" i="44"/>
  <c r="L106" i="44"/>
  <c r="E106" i="44"/>
  <c r="D106" i="44"/>
  <c r="K105" i="44"/>
  <c r="E105" i="44"/>
  <c r="D105" i="44"/>
  <c r="L104" i="44"/>
  <c r="E104" i="44"/>
  <c r="D104" i="44"/>
  <c r="I103" i="44"/>
  <c r="E103" i="44"/>
  <c r="D103" i="44"/>
  <c r="C103" i="44"/>
  <c r="C104" i="44" s="1"/>
  <c r="C105" i="44" s="1"/>
  <c r="C106" i="44" s="1"/>
  <c r="D102" i="44"/>
  <c r="L100" i="44"/>
  <c r="E100" i="44"/>
  <c r="D100" i="44"/>
  <c r="K99" i="44"/>
  <c r="E99" i="44"/>
  <c r="D99" i="44"/>
  <c r="L98" i="44"/>
  <c r="E98" i="44"/>
  <c r="D98" i="44"/>
  <c r="I97" i="44"/>
  <c r="E97" i="44"/>
  <c r="D97" i="44"/>
  <c r="C97" i="44"/>
  <c r="C98" i="44" s="1"/>
  <c r="C99" i="44" s="1"/>
  <c r="C100" i="44" s="1"/>
  <c r="D96" i="44"/>
  <c r="L94" i="44"/>
  <c r="E94" i="44"/>
  <c r="D94" i="44"/>
  <c r="K93" i="44"/>
  <c r="E93" i="44"/>
  <c r="D93" i="44"/>
  <c r="L92" i="44"/>
  <c r="E92" i="44"/>
  <c r="D92" i="44"/>
  <c r="I91" i="44"/>
  <c r="E91" i="44"/>
  <c r="D91" i="44"/>
  <c r="C91" i="44"/>
  <c r="C92" i="44" s="1"/>
  <c r="C93" i="44" s="1"/>
  <c r="C94" i="44" s="1"/>
  <c r="D90" i="44"/>
  <c r="H88" i="44"/>
  <c r="E88" i="44"/>
  <c r="D88" i="44"/>
  <c r="H87" i="44"/>
  <c r="E87" i="44"/>
  <c r="D87" i="44"/>
  <c r="H77" i="44"/>
  <c r="E77" i="44"/>
  <c r="D77" i="44"/>
  <c r="H76" i="44"/>
  <c r="E76" i="44"/>
  <c r="D76" i="44"/>
  <c r="H75" i="44"/>
  <c r="E75" i="44"/>
  <c r="D75" i="44"/>
  <c r="H74" i="44"/>
  <c r="E74" i="44"/>
  <c r="D74" i="44"/>
  <c r="I61" i="44"/>
  <c r="I59" i="44"/>
  <c r="H57" i="44"/>
  <c r="E57" i="44"/>
  <c r="D57" i="44"/>
  <c r="H56" i="44"/>
  <c r="E56" i="44"/>
  <c r="D56" i="44"/>
  <c r="I55" i="44"/>
  <c r="H55" i="44"/>
  <c r="E55" i="44"/>
  <c r="D55" i="44"/>
  <c r="H54" i="44"/>
  <c r="E54" i="44"/>
  <c r="D54" i="44"/>
  <c r="H53" i="44"/>
  <c r="E53" i="44"/>
  <c r="D53" i="44"/>
  <c r="H52" i="44"/>
  <c r="E52" i="44"/>
  <c r="D52" i="44"/>
  <c r="I51" i="44"/>
  <c r="H51" i="44"/>
  <c r="E51" i="44"/>
  <c r="D51" i="44"/>
  <c r="H50" i="44"/>
  <c r="E50" i="44"/>
  <c r="D50" i="44"/>
  <c r="I49" i="44"/>
  <c r="H49" i="44"/>
  <c r="E49" i="44"/>
  <c r="D49" i="44"/>
  <c r="I47" i="44"/>
  <c r="I43" i="44"/>
  <c r="H42" i="44"/>
  <c r="E42" i="44"/>
  <c r="D42" i="44"/>
  <c r="I41" i="44"/>
  <c r="H41" i="44"/>
  <c r="E41" i="44"/>
  <c r="D41" i="44"/>
  <c r="H40" i="44"/>
  <c r="E40" i="44"/>
  <c r="D40" i="44"/>
  <c r="I39" i="44"/>
  <c r="H39" i="44"/>
  <c r="E39" i="44"/>
  <c r="D39" i="44"/>
  <c r="C39" i="44"/>
  <c r="C40" i="44" s="1"/>
  <c r="C41" i="44" s="1"/>
  <c r="C42" i="44" s="1"/>
  <c r="C43" i="44" s="1"/>
  <c r="C44" i="44" s="1"/>
  <c r="C45" i="44" s="1"/>
  <c r="C46" i="44" s="1"/>
  <c r="C47" i="44" s="1"/>
  <c r="C48" i="44" s="1"/>
  <c r="C49" i="44" s="1"/>
  <c r="C50" i="44" s="1"/>
  <c r="C51" i="44" s="1"/>
  <c r="C52" i="44" s="1"/>
  <c r="C53" i="44" s="1"/>
  <c r="C54" i="44" s="1"/>
  <c r="C55" i="44" s="1"/>
  <c r="C56" i="44" s="1"/>
  <c r="C57" i="44" s="1"/>
  <c r="C58" i="44" s="1"/>
  <c r="C59" i="44" s="1"/>
  <c r="C60" i="44" s="1"/>
  <c r="C61" i="44" s="1"/>
  <c r="C62" i="44" s="1"/>
  <c r="C64" i="44" s="1"/>
  <c r="C65" i="44" s="1"/>
  <c r="C66" i="44" s="1"/>
  <c r="C67" i="44" s="1"/>
  <c r="C68" i="44" s="1"/>
  <c r="C69" i="44" s="1"/>
  <c r="C70" i="44" s="1"/>
  <c r="C71" i="44" s="1"/>
  <c r="C72" i="44" s="1"/>
  <c r="C73" i="44" s="1"/>
  <c r="C74" i="44" s="1"/>
  <c r="C75" i="44" s="1"/>
  <c r="C76" i="44" s="1"/>
  <c r="C77" i="44" s="1"/>
  <c r="C78" i="44" s="1"/>
  <c r="C79" i="44" s="1"/>
  <c r="C80" i="44" s="1"/>
  <c r="C81" i="44" s="1"/>
  <c r="C83" i="44" s="1"/>
  <c r="C84" i="44" s="1"/>
  <c r="C85" i="44" s="1"/>
  <c r="C86" i="44" s="1"/>
  <c r="C87" i="44" s="1"/>
  <c r="C88" i="44" s="1"/>
  <c r="L35" i="44"/>
  <c r="E35" i="44"/>
  <c r="D35" i="44"/>
  <c r="L34" i="44"/>
  <c r="E34" i="44"/>
  <c r="D34" i="44"/>
  <c r="L33" i="44"/>
  <c r="E33" i="44"/>
  <c r="D33" i="44"/>
  <c r="L32" i="44"/>
  <c r="E32" i="44"/>
  <c r="D32" i="44"/>
  <c r="L31" i="44"/>
  <c r="E31" i="44"/>
  <c r="D31" i="44"/>
  <c r="L30" i="44"/>
  <c r="E30" i="44"/>
  <c r="D30" i="44"/>
  <c r="L29" i="44"/>
  <c r="E29" i="44"/>
  <c r="D29" i="44"/>
  <c r="L28" i="44"/>
  <c r="E28" i="44"/>
  <c r="D28" i="44"/>
  <c r="L27" i="44"/>
  <c r="E27" i="44"/>
  <c r="D27" i="44"/>
  <c r="K26" i="44"/>
  <c r="E26" i="44"/>
  <c r="D26" i="44"/>
  <c r="D25" i="44"/>
  <c r="K23" i="44"/>
  <c r="E23" i="44"/>
  <c r="D23" i="44"/>
  <c r="K22" i="44"/>
  <c r="E22" i="44"/>
  <c r="D22" i="44"/>
  <c r="K21" i="44"/>
  <c r="E21" i="44"/>
  <c r="D21" i="44"/>
  <c r="K20" i="44"/>
  <c r="E20" i="44"/>
  <c r="D20" i="44"/>
  <c r="K19" i="44"/>
  <c r="E19" i="44"/>
  <c r="D19" i="44"/>
  <c r="K18" i="44"/>
  <c r="E18" i="44"/>
  <c r="D18" i="44"/>
  <c r="D17" i="44"/>
  <c r="K16" i="44"/>
  <c r="E16" i="44"/>
  <c r="D16" i="44"/>
  <c r="K15" i="44"/>
  <c r="E15" i="44"/>
  <c r="D15" i="44"/>
  <c r="D14" i="44"/>
  <c r="K13" i="44"/>
  <c r="E13" i="44"/>
  <c r="D13" i="44"/>
  <c r="K12" i="44"/>
  <c r="E12" i="44"/>
  <c r="D12" i="44"/>
  <c r="K11" i="44"/>
  <c r="E11" i="44"/>
  <c r="D11" i="44"/>
  <c r="K10" i="44"/>
  <c r="E10" i="44"/>
  <c r="D10" i="44"/>
  <c r="D9" i="44"/>
  <c r="K8" i="44"/>
  <c r="E8" i="44"/>
  <c r="D8" i="44"/>
  <c r="I7" i="44"/>
  <c r="E7" i="44"/>
  <c r="D7" i="44"/>
  <c r="D6" i="44"/>
  <c r="F4" i="44"/>
  <c r="L1" i="44"/>
  <c r="K1" i="44"/>
  <c r="J1" i="44"/>
  <c r="I1" i="44"/>
  <c r="M313" i="31"/>
  <c r="M312" i="31"/>
  <c r="K240" i="31"/>
  <c r="K126" i="31"/>
  <c r="M126" i="31" s="1"/>
  <c r="K124" i="31"/>
  <c r="M124" i="31" s="1"/>
  <c r="K67" i="31"/>
  <c r="L67" i="31" s="1"/>
  <c r="P67" i="31" s="1"/>
  <c r="M64" i="31"/>
  <c r="M3" i="31"/>
  <c r="F98" i="25"/>
  <c r="F77" i="30" s="1"/>
  <c r="L97" i="25"/>
  <c r="F83" i="25"/>
  <c r="F77" i="25"/>
  <c r="L76" i="25"/>
  <c r="F75" i="25"/>
  <c r="L67" i="25"/>
  <c r="F55" i="25"/>
  <c r="L50" i="25"/>
  <c r="F32" i="25"/>
  <c r="J17" i="39"/>
  <c r="I14" i="39"/>
  <c r="K14" i="39" s="1"/>
  <c r="H11" i="39"/>
  <c r="G11" i="39"/>
  <c r="F11" i="39"/>
  <c r="E11" i="39"/>
  <c r="K10" i="39"/>
  <c r="G7" i="39"/>
  <c r="F7" i="39"/>
  <c r="E7" i="39"/>
  <c r="AD27" i="33"/>
  <c r="AD18" i="33"/>
  <c r="AD10" i="33"/>
  <c r="AD8" i="33"/>
  <c r="Q8" i="33"/>
  <c r="Q10" i="33" s="1"/>
  <c r="W45" i="26"/>
  <c r="Y44" i="26"/>
  <c r="Y43" i="26"/>
  <c r="N37" i="26"/>
  <c r="N42" i="26" s="1"/>
  <c r="Y37" i="26"/>
  <c r="Y35" i="26"/>
  <c r="Y29" i="26"/>
  <c r="N29" i="26"/>
  <c r="Y23" i="26"/>
  <c r="N23" i="26"/>
  <c r="Y21" i="26"/>
  <c r="Y14" i="26"/>
  <c r="N14" i="26"/>
  <c r="N7" i="26"/>
  <c r="F134" i="24"/>
  <c r="M133" i="24"/>
  <c r="G133" i="24"/>
  <c r="G131" i="24"/>
  <c r="J131" i="24" s="1"/>
  <c r="M131" i="24" s="1"/>
  <c r="E126" i="24"/>
  <c r="G126" i="24" s="1"/>
  <c r="J126" i="24" s="1"/>
  <c r="AB72" i="48" s="1"/>
  <c r="E124" i="24"/>
  <c r="G124" i="24" s="1"/>
  <c r="J124" i="24" s="1"/>
  <c r="F119" i="24"/>
  <c r="M118" i="24"/>
  <c r="G118" i="24"/>
  <c r="E117" i="24"/>
  <c r="G117" i="24" s="1"/>
  <c r="G116" i="24"/>
  <c r="G115" i="24"/>
  <c r="E114" i="24"/>
  <c r="G114" i="24" s="1"/>
  <c r="J114" i="24" s="1"/>
  <c r="J113" i="24"/>
  <c r="M113" i="24" s="1"/>
  <c r="E113" i="24"/>
  <c r="J112" i="24"/>
  <c r="M112" i="24" s="1"/>
  <c r="Q258" i="23" s="1"/>
  <c r="E112" i="24"/>
  <c r="E108" i="24"/>
  <c r="G107" i="24"/>
  <c r="F104" i="24"/>
  <c r="G104" i="24" s="1"/>
  <c r="G103" i="24"/>
  <c r="F95" i="24"/>
  <c r="G94" i="24"/>
  <c r="G93" i="24"/>
  <c r="F60" i="24"/>
  <c r="G59" i="24"/>
  <c r="J59" i="24" s="1"/>
  <c r="M59" i="24" s="1"/>
  <c r="E58" i="24"/>
  <c r="G58" i="24" s="1"/>
  <c r="J58" i="24" s="1"/>
  <c r="M58" i="24" s="1"/>
  <c r="G57" i="24"/>
  <c r="J57" i="24" s="1"/>
  <c r="M57" i="24" s="1"/>
  <c r="O22" i="23" s="1"/>
  <c r="E55" i="24"/>
  <c r="G55" i="24" s="1"/>
  <c r="J55" i="24" s="1"/>
  <c r="M55" i="24" s="1"/>
  <c r="E54" i="24"/>
  <c r="G54" i="24" s="1"/>
  <c r="J54" i="24" s="1"/>
  <c r="M54" i="24" s="1"/>
  <c r="E53" i="24"/>
  <c r="G53" i="24" s="1"/>
  <c r="J53" i="24" s="1"/>
  <c r="M53" i="24" s="1"/>
  <c r="F49" i="24"/>
  <c r="G48" i="24"/>
  <c r="G47" i="24"/>
  <c r="G46" i="24"/>
  <c r="M45" i="24"/>
  <c r="G45" i="24"/>
  <c r="G44" i="24"/>
  <c r="J44" i="24" s="1"/>
  <c r="O15" i="23"/>
  <c r="F38" i="24"/>
  <c r="G37" i="24"/>
  <c r="G36" i="24"/>
  <c r="G35" i="24"/>
  <c r="G31" i="24"/>
  <c r="J31" i="24" s="1"/>
  <c r="M31" i="24" s="1"/>
  <c r="O11" i="23" s="1"/>
  <c r="G25" i="24"/>
  <c r="J25" i="24" s="1"/>
  <c r="M25" i="24" s="1"/>
  <c r="G24" i="24"/>
  <c r="J24" i="24" s="1"/>
  <c r="M24" i="24" s="1"/>
  <c r="J22" i="24"/>
  <c r="N345" i="23" s="1"/>
  <c r="G21" i="24"/>
  <c r="J21" i="24" s="1"/>
  <c r="M21" i="24" s="1"/>
  <c r="N299" i="23" s="1"/>
  <c r="G20" i="24"/>
  <c r="J20" i="24" s="1"/>
  <c r="M20" i="24" s="1"/>
  <c r="N200" i="23" s="1"/>
  <c r="E14" i="24"/>
  <c r="J13" i="24"/>
  <c r="M13" i="24" s="1"/>
  <c r="N258" i="23" s="1"/>
  <c r="J11" i="24"/>
  <c r="F10" i="24"/>
  <c r="G10" i="24" s="1"/>
  <c r="J10" i="24" s="1"/>
  <c r="J9" i="24"/>
  <c r="J8" i="24"/>
  <c r="F7" i="24"/>
  <c r="G7" i="24" s="1"/>
  <c r="F6" i="24"/>
  <c r="G6" i="24" s="1"/>
  <c r="J6" i="24" s="1"/>
  <c r="K365" i="23"/>
  <c r="T362" i="23"/>
  <c r="M362" i="23"/>
  <c r="T361" i="23"/>
  <c r="M361" i="23"/>
  <c r="T360" i="23"/>
  <c r="M360" i="23"/>
  <c r="R358" i="23"/>
  <c r="Q358" i="23"/>
  <c r="P358" i="23"/>
  <c r="R355" i="23"/>
  <c r="R354" i="23" s="1"/>
  <c r="R353" i="23" s="1"/>
  <c r="Q355" i="23"/>
  <c r="Q354" i="23" s="1"/>
  <c r="Q353" i="23" s="1"/>
  <c r="P355" i="23"/>
  <c r="P354" i="23" s="1"/>
  <c r="P353" i="23" s="1"/>
  <c r="O355" i="23"/>
  <c r="O354" i="23" s="1"/>
  <c r="O353" i="23" s="1"/>
  <c r="R352" i="23"/>
  <c r="Q352" i="23"/>
  <c r="Q351" i="23" s="1"/>
  <c r="Q350" i="23" s="1"/>
  <c r="P352" i="23"/>
  <c r="O352" i="23"/>
  <c r="R348" i="23"/>
  <c r="Q348" i="23"/>
  <c r="P348" i="23"/>
  <c r="O348" i="23"/>
  <c r="N348" i="23"/>
  <c r="R345" i="23"/>
  <c r="Q345" i="23"/>
  <c r="O345" i="23"/>
  <c r="R342" i="23"/>
  <c r="Q342" i="23"/>
  <c r="P342" i="23"/>
  <c r="O342" i="23"/>
  <c r="N342" i="23"/>
  <c r="R341" i="23"/>
  <c r="Q341" i="23"/>
  <c r="P341" i="23"/>
  <c r="O341" i="23"/>
  <c r="N341" i="23"/>
  <c r="R340" i="23"/>
  <c r="Q340" i="23"/>
  <c r="P340" i="23"/>
  <c r="O340" i="23"/>
  <c r="N340" i="23"/>
  <c r="R339" i="23"/>
  <c r="Q339" i="23"/>
  <c r="P339" i="23"/>
  <c r="O339" i="23"/>
  <c r="N339" i="23"/>
  <c r="R338" i="23"/>
  <c r="Q338" i="23"/>
  <c r="P338" i="23"/>
  <c r="O338" i="23"/>
  <c r="N338" i="23"/>
  <c r="R337" i="23"/>
  <c r="Q337" i="23"/>
  <c r="P337" i="23"/>
  <c r="O337" i="23"/>
  <c r="N337" i="23"/>
  <c r="R336" i="23"/>
  <c r="Q336" i="23"/>
  <c r="P336" i="23"/>
  <c r="O336" i="23"/>
  <c r="N336" i="23"/>
  <c r="R335" i="23"/>
  <c r="Q335" i="23"/>
  <c r="P335" i="23"/>
  <c r="O335" i="23"/>
  <c r="N335" i="23"/>
  <c r="R334" i="23"/>
  <c r="Q334" i="23"/>
  <c r="P334" i="23"/>
  <c r="O334" i="23"/>
  <c r="N334" i="23"/>
  <c r="R333" i="23"/>
  <c r="Q333" i="23"/>
  <c r="P333" i="23"/>
  <c r="O333" i="23"/>
  <c r="N333" i="23"/>
  <c r="R332" i="23"/>
  <c r="Q332" i="23"/>
  <c r="P332" i="23"/>
  <c r="O332" i="23"/>
  <c r="N332" i="23"/>
  <c r="R331" i="23"/>
  <c r="Q331" i="23"/>
  <c r="P331" i="23"/>
  <c r="O331" i="23"/>
  <c r="N331" i="23"/>
  <c r="R330" i="23"/>
  <c r="Q330" i="23"/>
  <c r="P330" i="23"/>
  <c r="O330" i="23"/>
  <c r="N330" i="23"/>
  <c r="R329" i="23"/>
  <c r="Q329" i="23"/>
  <c r="P329" i="23"/>
  <c r="O329" i="23"/>
  <c r="N329" i="23"/>
  <c r="R328" i="23"/>
  <c r="Q328" i="23"/>
  <c r="P328" i="23"/>
  <c r="O328" i="23"/>
  <c r="N328" i="23"/>
  <c r="R327" i="23"/>
  <c r="P327" i="23"/>
  <c r="O327" i="23"/>
  <c r="N327" i="23"/>
  <c r="R326" i="23"/>
  <c r="Q326" i="23"/>
  <c r="P326" i="23"/>
  <c r="O326" i="23"/>
  <c r="N326" i="23"/>
  <c r="R325" i="23"/>
  <c r="Q325" i="23"/>
  <c r="P325" i="23"/>
  <c r="O325" i="23"/>
  <c r="N325" i="23"/>
  <c r="R324" i="23"/>
  <c r="Q324" i="23"/>
  <c r="O324" i="23"/>
  <c r="N324" i="23"/>
  <c r="R322" i="23"/>
  <c r="Q322" i="23"/>
  <c r="P322" i="23"/>
  <c r="O322" i="23"/>
  <c r="N322" i="23"/>
  <c r="R321" i="23"/>
  <c r="Q321" i="23"/>
  <c r="P321" i="23"/>
  <c r="O321" i="23"/>
  <c r="N321" i="23"/>
  <c r="R320" i="23"/>
  <c r="Q320" i="23"/>
  <c r="P320" i="23"/>
  <c r="O320" i="23"/>
  <c r="N320" i="23"/>
  <c r="R319" i="23"/>
  <c r="Q319" i="23"/>
  <c r="P319" i="23"/>
  <c r="O319" i="23"/>
  <c r="N319" i="23"/>
  <c r="R318" i="23"/>
  <c r="Q318" i="23"/>
  <c r="P318" i="23"/>
  <c r="O318" i="23"/>
  <c r="N318" i="23"/>
  <c r="R317" i="23"/>
  <c r="Q317" i="23"/>
  <c r="P317" i="23"/>
  <c r="O317" i="23"/>
  <c r="N317" i="23"/>
  <c r="R316" i="23"/>
  <c r="Q316" i="23"/>
  <c r="O316" i="23"/>
  <c r="N316" i="23"/>
  <c r="R315" i="23"/>
  <c r="P315" i="23"/>
  <c r="O315" i="23"/>
  <c r="R314" i="23"/>
  <c r="Q314" i="23"/>
  <c r="P314" i="23"/>
  <c r="O314" i="23"/>
  <c r="N314" i="23"/>
  <c r="R313" i="23"/>
  <c r="Q313" i="23"/>
  <c r="P313" i="23"/>
  <c r="O313" i="23"/>
  <c r="N313" i="23"/>
  <c r="R312" i="23"/>
  <c r="Q312" i="23"/>
  <c r="P312" i="23"/>
  <c r="O312" i="23"/>
  <c r="N312" i="23"/>
  <c r="R311" i="23"/>
  <c r="Q311" i="23"/>
  <c r="P311" i="23"/>
  <c r="O311" i="23"/>
  <c r="N311" i="23"/>
  <c r="R310" i="23"/>
  <c r="Q310" i="23"/>
  <c r="P310" i="23"/>
  <c r="O310" i="23"/>
  <c r="N310" i="23"/>
  <c r="R309" i="23"/>
  <c r="Q309" i="23"/>
  <c r="P309" i="23"/>
  <c r="O309" i="23"/>
  <c r="N309" i="23"/>
  <c r="R308" i="23"/>
  <c r="Q308" i="23"/>
  <c r="P308" i="23"/>
  <c r="O308" i="23"/>
  <c r="N308" i="23"/>
  <c r="R307" i="23"/>
  <c r="Q307" i="23"/>
  <c r="P307" i="23"/>
  <c r="O307" i="23"/>
  <c r="N307" i="23"/>
  <c r="R306" i="23"/>
  <c r="Q306" i="23"/>
  <c r="P306" i="23"/>
  <c r="O306" i="23"/>
  <c r="N306" i="23"/>
  <c r="R305" i="23"/>
  <c r="Q305" i="23"/>
  <c r="P305" i="23"/>
  <c r="O305" i="23"/>
  <c r="N305" i="23"/>
  <c r="R304" i="23"/>
  <c r="Q304" i="23"/>
  <c r="O304" i="23"/>
  <c r="N304" i="23"/>
  <c r="R303" i="23"/>
  <c r="Q303" i="23"/>
  <c r="P303" i="23"/>
  <c r="O303" i="23"/>
  <c r="N303" i="23"/>
  <c r="R302" i="23"/>
  <c r="Q302" i="23"/>
  <c r="P302" i="23"/>
  <c r="O302" i="23"/>
  <c r="N302" i="23"/>
  <c r="R299" i="23"/>
  <c r="Q299" i="23"/>
  <c r="P299" i="23"/>
  <c r="O299" i="23"/>
  <c r="R298" i="23"/>
  <c r="Q298" i="23"/>
  <c r="P298" i="23"/>
  <c r="O298" i="23"/>
  <c r="N298" i="23"/>
  <c r="R297" i="23"/>
  <c r="Q297" i="23"/>
  <c r="P297" i="23"/>
  <c r="O297" i="23"/>
  <c r="N297" i="23"/>
  <c r="R296" i="23"/>
  <c r="Q296" i="23"/>
  <c r="P296" i="23"/>
  <c r="O296" i="23"/>
  <c r="N296" i="23"/>
  <c r="R295" i="23"/>
  <c r="Q295" i="23"/>
  <c r="P295" i="23"/>
  <c r="O295" i="23"/>
  <c r="N295" i="23"/>
  <c r="R294" i="23"/>
  <c r="Q294" i="23"/>
  <c r="P294" i="23"/>
  <c r="O294" i="23"/>
  <c r="N294" i="23"/>
  <c r="R293" i="23"/>
  <c r="Q293" i="23"/>
  <c r="P293" i="23"/>
  <c r="O293" i="23"/>
  <c r="N293" i="23"/>
  <c r="R292" i="23"/>
  <c r="Q292" i="23"/>
  <c r="P292" i="23"/>
  <c r="O292" i="23"/>
  <c r="N292" i="23"/>
  <c r="R291" i="23"/>
  <c r="Q291" i="23"/>
  <c r="P291" i="23"/>
  <c r="O291" i="23"/>
  <c r="N291" i="23"/>
  <c r="R290" i="23"/>
  <c r="Q290" i="23"/>
  <c r="P290" i="23"/>
  <c r="O290" i="23"/>
  <c r="N290" i="23"/>
  <c r="R289" i="23"/>
  <c r="Q289" i="23"/>
  <c r="P289" i="23"/>
  <c r="O289" i="23"/>
  <c r="N289" i="23"/>
  <c r="R288" i="23"/>
  <c r="Q288" i="23"/>
  <c r="P288" i="23"/>
  <c r="O288" i="23"/>
  <c r="N288" i="23"/>
  <c r="R287" i="23"/>
  <c r="Q287" i="23"/>
  <c r="P287" i="23"/>
  <c r="O287" i="23"/>
  <c r="N287" i="23"/>
  <c r="R286" i="23"/>
  <c r="Q286" i="23"/>
  <c r="P286" i="23"/>
  <c r="O286" i="23"/>
  <c r="N286" i="23"/>
  <c r="R285" i="23"/>
  <c r="Q285" i="23"/>
  <c r="P285" i="23"/>
  <c r="O285" i="23"/>
  <c r="N285" i="23"/>
  <c r="R284" i="23"/>
  <c r="Q284" i="23"/>
  <c r="P284" i="23"/>
  <c r="O284" i="23"/>
  <c r="N284" i="23"/>
  <c r="R283" i="23"/>
  <c r="Q283" i="23"/>
  <c r="P283" i="23"/>
  <c r="O283" i="23"/>
  <c r="N283" i="23"/>
  <c r="R282" i="23"/>
  <c r="Q282" i="23"/>
  <c r="P282" i="23"/>
  <c r="O282" i="23"/>
  <c r="N282" i="23"/>
  <c r="R281" i="23"/>
  <c r="Q281" i="23"/>
  <c r="P281" i="23"/>
  <c r="O281" i="23"/>
  <c r="N281" i="23"/>
  <c r="R280" i="23"/>
  <c r="Q280" i="23"/>
  <c r="P280" i="23"/>
  <c r="O280" i="23"/>
  <c r="N280" i="23"/>
  <c r="R279" i="23"/>
  <c r="Q279" i="23"/>
  <c r="P279" i="23"/>
  <c r="O279" i="23"/>
  <c r="N279" i="23"/>
  <c r="R278" i="23"/>
  <c r="Q278" i="23"/>
  <c r="P278" i="23"/>
  <c r="O278" i="23"/>
  <c r="N278" i="23"/>
  <c r="R277" i="23"/>
  <c r="Q277" i="23"/>
  <c r="P277" i="23"/>
  <c r="O277" i="23"/>
  <c r="N277" i="23"/>
  <c r="R276" i="23"/>
  <c r="Q276" i="23"/>
  <c r="P276" i="23"/>
  <c r="O276" i="23"/>
  <c r="N276" i="23"/>
  <c r="R275" i="23"/>
  <c r="Q275" i="23"/>
  <c r="P275" i="23"/>
  <c r="O275" i="23"/>
  <c r="N275" i="23"/>
  <c r="R274" i="23"/>
  <c r="Q274" i="23"/>
  <c r="P274" i="23"/>
  <c r="O274" i="23"/>
  <c r="N274" i="23"/>
  <c r="R273" i="23"/>
  <c r="Q273" i="23"/>
  <c r="P273" i="23"/>
  <c r="O273" i="23"/>
  <c r="N273" i="23"/>
  <c r="R272" i="23"/>
  <c r="Q272" i="23"/>
  <c r="P272" i="23"/>
  <c r="O272" i="23"/>
  <c r="N272" i="23"/>
  <c r="R271" i="23"/>
  <c r="Q271" i="23"/>
  <c r="P271" i="23"/>
  <c r="O271" i="23"/>
  <c r="N271" i="23"/>
  <c r="R270" i="23"/>
  <c r="Q270" i="23"/>
  <c r="P270" i="23"/>
  <c r="O270" i="23"/>
  <c r="N270" i="23"/>
  <c r="R269" i="23"/>
  <c r="Q269" i="23"/>
  <c r="P269" i="23"/>
  <c r="O269" i="23"/>
  <c r="N269" i="23"/>
  <c r="R268" i="23"/>
  <c r="Q268" i="23"/>
  <c r="P268" i="23"/>
  <c r="O268" i="23"/>
  <c r="N268" i="23"/>
  <c r="R267" i="23"/>
  <c r="Q267" i="23"/>
  <c r="P267" i="23"/>
  <c r="O267" i="23"/>
  <c r="N267" i="23"/>
  <c r="R266" i="23"/>
  <c r="Q266" i="23"/>
  <c r="P266" i="23"/>
  <c r="O266" i="23"/>
  <c r="N266" i="23"/>
  <c r="R265" i="23"/>
  <c r="Q265" i="23"/>
  <c r="P265" i="23"/>
  <c r="O265" i="23"/>
  <c r="N265" i="23"/>
  <c r="R264" i="23"/>
  <c r="Q264" i="23"/>
  <c r="P264" i="23"/>
  <c r="O264" i="23"/>
  <c r="N264" i="23"/>
  <c r="R263" i="23"/>
  <c r="Q263" i="23"/>
  <c r="P263" i="23"/>
  <c r="O263" i="23"/>
  <c r="N263" i="23"/>
  <c r="R262" i="23"/>
  <c r="Q262" i="23"/>
  <c r="P262" i="23"/>
  <c r="O262" i="23"/>
  <c r="N262" i="23"/>
  <c r="R261" i="23"/>
  <c r="Q261" i="23"/>
  <c r="P261" i="23"/>
  <c r="O261" i="23"/>
  <c r="N261" i="23"/>
  <c r="R260" i="23"/>
  <c r="Q260" i="23"/>
  <c r="P260" i="23"/>
  <c r="O260" i="23"/>
  <c r="N260" i="23"/>
  <c r="R259" i="23"/>
  <c r="Q259" i="23"/>
  <c r="P259" i="23"/>
  <c r="O259" i="23"/>
  <c r="N259" i="23"/>
  <c r="R258" i="23"/>
  <c r="P258" i="23"/>
  <c r="O258" i="23"/>
  <c r="Q257" i="23"/>
  <c r="P257" i="23"/>
  <c r="O257" i="23"/>
  <c r="N257" i="23"/>
  <c r="R256" i="23"/>
  <c r="O256" i="23"/>
  <c r="N256" i="23"/>
  <c r="R255" i="23"/>
  <c r="Q255" i="23"/>
  <c r="P255" i="23"/>
  <c r="O255" i="23"/>
  <c r="N255" i="23"/>
  <c r="R254" i="23"/>
  <c r="Q254" i="23"/>
  <c r="P254" i="23"/>
  <c r="O254" i="23"/>
  <c r="N254" i="23"/>
  <c r="R253" i="23"/>
  <c r="Q253" i="23"/>
  <c r="P253" i="23"/>
  <c r="O253" i="23"/>
  <c r="N253" i="23"/>
  <c r="R252" i="23"/>
  <c r="Q252" i="23"/>
  <c r="P252" i="23"/>
  <c r="O252" i="23"/>
  <c r="N252" i="23"/>
  <c r="S251" i="23"/>
  <c r="R250" i="23"/>
  <c r="Q250" i="23"/>
  <c r="P250" i="23"/>
  <c r="O250" i="23"/>
  <c r="N250" i="23"/>
  <c r="R249" i="23"/>
  <c r="Q249" i="23"/>
  <c r="P249" i="23"/>
  <c r="O249" i="23"/>
  <c r="N249" i="23"/>
  <c r="R248" i="23"/>
  <c r="Q248" i="23"/>
  <c r="P248" i="23"/>
  <c r="O248" i="23"/>
  <c r="N248" i="23"/>
  <c r="R247" i="23"/>
  <c r="Q247" i="23"/>
  <c r="P247" i="23"/>
  <c r="O247" i="23"/>
  <c r="N247" i="23"/>
  <c r="R246" i="23"/>
  <c r="Q246" i="23"/>
  <c r="P246" i="23"/>
  <c r="O246" i="23"/>
  <c r="N246" i="23"/>
  <c r="R245" i="23"/>
  <c r="Q245" i="23"/>
  <c r="P245" i="23"/>
  <c r="O245" i="23"/>
  <c r="N245" i="23"/>
  <c r="R244" i="23"/>
  <c r="Q244" i="23"/>
  <c r="P244" i="23"/>
  <c r="O244" i="23"/>
  <c r="N244" i="23"/>
  <c r="R243" i="23"/>
  <c r="Q243" i="23"/>
  <c r="O243" i="23"/>
  <c r="N243" i="23"/>
  <c r="R241" i="23"/>
  <c r="P241" i="23"/>
  <c r="O241" i="23"/>
  <c r="N241" i="23"/>
  <c r="R240" i="23"/>
  <c r="Q240" i="23"/>
  <c r="P240" i="23"/>
  <c r="O240" i="23"/>
  <c r="N240" i="23"/>
  <c r="R239" i="23"/>
  <c r="Q239" i="23"/>
  <c r="P239" i="23"/>
  <c r="O239" i="23"/>
  <c r="N239" i="23"/>
  <c r="R238" i="23"/>
  <c r="Q238" i="23"/>
  <c r="P238" i="23"/>
  <c r="O238" i="23"/>
  <c r="N238" i="23"/>
  <c r="R237" i="23"/>
  <c r="Q237" i="23"/>
  <c r="P237" i="23"/>
  <c r="O237" i="23"/>
  <c r="N237" i="23"/>
  <c r="R236" i="23"/>
  <c r="Q236" i="23"/>
  <c r="P236" i="23"/>
  <c r="O236" i="23"/>
  <c r="N236" i="23"/>
  <c r="R235" i="23"/>
  <c r="Q235" i="23"/>
  <c r="P235" i="23"/>
  <c r="O235" i="23"/>
  <c r="N235" i="23"/>
  <c r="R234" i="23"/>
  <c r="Q234" i="23"/>
  <c r="P234" i="23"/>
  <c r="O234" i="23"/>
  <c r="N234" i="23"/>
  <c r="R233" i="23"/>
  <c r="Q233" i="23"/>
  <c r="P233" i="23"/>
  <c r="O233" i="23"/>
  <c r="N233" i="23"/>
  <c r="R232" i="23"/>
  <c r="Q232" i="23"/>
  <c r="P232" i="23"/>
  <c r="O232" i="23"/>
  <c r="N232" i="23"/>
  <c r="R231" i="23"/>
  <c r="Q231" i="23"/>
  <c r="P231" i="23"/>
  <c r="O231" i="23"/>
  <c r="N231" i="23"/>
  <c r="R230" i="23"/>
  <c r="Q230" i="23"/>
  <c r="P230" i="23"/>
  <c r="O230" i="23"/>
  <c r="N230" i="23"/>
  <c r="R229" i="23"/>
  <c r="Q229" i="23"/>
  <c r="P229" i="23"/>
  <c r="O229" i="23"/>
  <c r="N229" i="23"/>
  <c r="R228" i="23"/>
  <c r="Q228" i="23"/>
  <c r="P228" i="23"/>
  <c r="O228" i="23"/>
  <c r="N228" i="23"/>
  <c r="R227" i="23"/>
  <c r="Q227" i="23"/>
  <c r="P227" i="23"/>
  <c r="O227" i="23"/>
  <c r="N227" i="23"/>
  <c r="R226" i="23"/>
  <c r="Q226" i="23"/>
  <c r="P226" i="23"/>
  <c r="O226" i="23"/>
  <c r="N226" i="23"/>
  <c r="R225" i="23"/>
  <c r="Q225" i="23"/>
  <c r="P225" i="23"/>
  <c r="O225" i="23"/>
  <c r="N225" i="23"/>
  <c r="R224" i="23"/>
  <c r="Q224" i="23"/>
  <c r="P224" i="23"/>
  <c r="O224" i="23"/>
  <c r="N224" i="23"/>
  <c r="R223" i="23"/>
  <c r="Q223" i="23"/>
  <c r="P223" i="23"/>
  <c r="O223" i="23"/>
  <c r="N223" i="23"/>
  <c r="R222" i="23"/>
  <c r="Q222" i="23"/>
  <c r="P222" i="23"/>
  <c r="O222" i="23"/>
  <c r="N222" i="23"/>
  <c r="R221" i="23"/>
  <c r="Q221" i="23"/>
  <c r="P221" i="23"/>
  <c r="O221" i="23"/>
  <c r="N221" i="23"/>
  <c r="R220" i="23"/>
  <c r="Q220" i="23"/>
  <c r="P220" i="23"/>
  <c r="O220" i="23"/>
  <c r="N220" i="23"/>
  <c r="R219" i="23"/>
  <c r="Q219" i="23"/>
  <c r="P219" i="23"/>
  <c r="O219" i="23"/>
  <c r="N219" i="23"/>
  <c r="R218" i="23"/>
  <c r="Q218" i="23"/>
  <c r="P218" i="23"/>
  <c r="O218" i="23"/>
  <c r="N218" i="23"/>
  <c r="R217" i="23"/>
  <c r="Q217" i="23"/>
  <c r="P217" i="23"/>
  <c r="O217" i="23"/>
  <c r="N217" i="23"/>
  <c r="R216" i="23"/>
  <c r="Q216" i="23"/>
  <c r="P216" i="23"/>
  <c r="O216" i="23"/>
  <c r="N216" i="23"/>
  <c r="R215" i="23"/>
  <c r="Q215" i="23"/>
  <c r="P215" i="23"/>
  <c r="O215" i="23"/>
  <c r="N215" i="23"/>
  <c r="R214" i="23"/>
  <c r="Q214" i="23"/>
  <c r="P214" i="23"/>
  <c r="O214" i="23"/>
  <c r="N214" i="23"/>
  <c r="R213" i="23"/>
  <c r="Q213" i="23"/>
  <c r="P213" i="23"/>
  <c r="O213" i="23"/>
  <c r="N213" i="23"/>
  <c r="R212" i="23"/>
  <c r="Q212" i="23"/>
  <c r="P212" i="23"/>
  <c r="O212" i="23"/>
  <c r="N212" i="23"/>
  <c r="R211" i="23"/>
  <c r="Q211" i="23"/>
  <c r="P211" i="23"/>
  <c r="O211" i="23"/>
  <c r="N211" i="23"/>
  <c r="R210" i="23"/>
  <c r="Q210" i="23"/>
  <c r="P210" i="23"/>
  <c r="O210" i="23"/>
  <c r="N210" i="23"/>
  <c r="R209" i="23"/>
  <c r="Q209" i="23"/>
  <c r="P209" i="23"/>
  <c r="O209" i="23"/>
  <c r="N209" i="23"/>
  <c r="R208" i="23"/>
  <c r="Q208" i="23"/>
  <c r="P208" i="23"/>
  <c r="O208" i="23"/>
  <c r="N208" i="23"/>
  <c r="R207" i="23"/>
  <c r="Q207" i="23"/>
  <c r="P207" i="23"/>
  <c r="O207" i="23"/>
  <c r="N207" i="23"/>
  <c r="R206" i="23"/>
  <c r="Q206" i="23"/>
  <c r="P206" i="23"/>
  <c r="O206" i="23"/>
  <c r="N206" i="23"/>
  <c r="R205" i="23"/>
  <c r="Q205" i="23"/>
  <c r="P205" i="23"/>
  <c r="O205" i="23"/>
  <c r="N205" i="23"/>
  <c r="R204" i="23"/>
  <c r="Q204" i="23"/>
  <c r="P204" i="23"/>
  <c r="O204" i="23"/>
  <c r="N204" i="23"/>
  <c r="R203" i="23"/>
  <c r="Q203" i="23"/>
  <c r="P203" i="23"/>
  <c r="O203" i="23"/>
  <c r="N203" i="23"/>
  <c r="R202" i="23"/>
  <c r="Q202" i="23"/>
  <c r="P202" i="23"/>
  <c r="O202" i="23"/>
  <c r="N202" i="23"/>
  <c r="R201" i="23"/>
  <c r="Q201" i="23"/>
  <c r="P201" i="23"/>
  <c r="O201" i="23"/>
  <c r="N201" i="23"/>
  <c r="R200" i="23"/>
  <c r="Q200" i="23"/>
  <c r="P200" i="23"/>
  <c r="O200" i="23"/>
  <c r="R199" i="23"/>
  <c r="Q199" i="23"/>
  <c r="P199" i="23"/>
  <c r="O199" i="23"/>
  <c r="N199" i="23"/>
  <c r="R198" i="23"/>
  <c r="Q198" i="23"/>
  <c r="P198" i="23"/>
  <c r="O198" i="23"/>
  <c r="N198" i="23"/>
  <c r="R197" i="23"/>
  <c r="Q197" i="23"/>
  <c r="P197" i="23"/>
  <c r="O197" i="23"/>
  <c r="N197" i="23"/>
  <c r="R196" i="23"/>
  <c r="Q196" i="23"/>
  <c r="P196" i="23"/>
  <c r="O196" i="23"/>
  <c r="N196" i="23"/>
  <c r="R195" i="23"/>
  <c r="Q195" i="23"/>
  <c r="P195" i="23"/>
  <c r="O195" i="23"/>
  <c r="N195" i="23"/>
  <c r="R194" i="23"/>
  <c r="Q194" i="23"/>
  <c r="P194" i="23"/>
  <c r="O194" i="23"/>
  <c r="N194" i="23"/>
  <c r="R193" i="23"/>
  <c r="Q193" i="23"/>
  <c r="P193" i="23"/>
  <c r="O193" i="23"/>
  <c r="N193" i="23"/>
  <c r="R192" i="23"/>
  <c r="Q192" i="23"/>
  <c r="P192" i="23"/>
  <c r="O192" i="23"/>
  <c r="N192" i="23"/>
  <c r="R191" i="23"/>
  <c r="Q191" i="23"/>
  <c r="P191" i="23"/>
  <c r="O191" i="23"/>
  <c r="N191" i="23"/>
  <c r="R190" i="23"/>
  <c r="Q190" i="23"/>
  <c r="P190" i="23"/>
  <c r="O190" i="23"/>
  <c r="N190" i="23"/>
  <c r="R189" i="23"/>
  <c r="Q189" i="23"/>
  <c r="P189" i="23"/>
  <c r="O189" i="23"/>
  <c r="N189" i="23"/>
  <c r="R188" i="23"/>
  <c r="Q188" i="23"/>
  <c r="P188" i="23"/>
  <c r="O188" i="23"/>
  <c r="N188" i="23"/>
  <c r="R187" i="23"/>
  <c r="Q187" i="23"/>
  <c r="P187" i="23"/>
  <c r="O187" i="23"/>
  <c r="N187" i="23"/>
  <c r="R186" i="23"/>
  <c r="Q186" i="23"/>
  <c r="P186" i="23"/>
  <c r="O186" i="23"/>
  <c r="N186" i="23"/>
  <c r="R185" i="23"/>
  <c r="Q185" i="23"/>
  <c r="O185" i="23"/>
  <c r="N185" i="23"/>
  <c r="Q182" i="23"/>
  <c r="P182" i="23"/>
  <c r="O182" i="23"/>
  <c r="N182" i="23"/>
  <c r="Q181" i="23"/>
  <c r="P181" i="23"/>
  <c r="O181" i="23"/>
  <c r="N181" i="23"/>
  <c r="R180" i="23"/>
  <c r="Q180" i="23"/>
  <c r="O180" i="23"/>
  <c r="N180" i="23"/>
  <c r="R179" i="23"/>
  <c r="Q179" i="23"/>
  <c r="O179" i="23"/>
  <c r="N179" i="23"/>
  <c r="R178" i="23"/>
  <c r="Q178" i="23"/>
  <c r="P178" i="23"/>
  <c r="O178" i="23"/>
  <c r="N178" i="23"/>
  <c r="R176" i="23"/>
  <c r="Q176" i="23"/>
  <c r="P176" i="23"/>
  <c r="O176" i="23"/>
  <c r="N176" i="23"/>
  <c r="R175" i="23"/>
  <c r="Q175" i="23"/>
  <c r="O175" i="23"/>
  <c r="N175" i="23"/>
  <c r="R174" i="23"/>
  <c r="Q174" i="23"/>
  <c r="P174" i="23"/>
  <c r="O174" i="23"/>
  <c r="N174" i="23"/>
  <c r="R173" i="23"/>
  <c r="Q173" i="23"/>
  <c r="P173" i="23"/>
  <c r="O173" i="23"/>
  <c r="N173" i="23"/>
  <c r="R172" i="23"/>
  <c r="Q172" i="23"/>
  <c r="P172" i="23"/>
  <c r="O172" i="23"/>
  <c r="N172" i="23"/>
  <c r="R171" i="23"/>
  <c r="Q171" i="23"/>
  <c r="P171" i="23"/>
  <c r="O171" i="23"/>
  <c r="N171" i="23"/>
  <c r="R170" i="23"/>
  <c r="Q170" i="23"/>
  <c r="P170" i="23"/>
  <c r="O170" i="23"/>
  <c r="N170" i="23"/>
  <c r="R169" i="23"/>
  <c r="Q169" i="23"/>
  <c r="P169" i="23"/>
  <c r="O169" i="23"/>
  <c r="N169" i="23"/>
  <c r="R168" i="23"/>
  <c r="Q168" i="23"/>
  <c r="P168" i="23"/>
  <c r="O168" i="23"/>
  <c r="N168" i="23"/>
  <c r="R167" i="23"/>
  <c r="Q167" i="23"/>
  <c r="P167" i="23"/>
  <c r="O167" i="23"/>
  <c r="N167" i="23"/>
  <c r="R166" i="23"/>
  <c r="Q166" i="23"/>
  <c r="P166" i="23"/>
  <c r="O166" i="23"/>
  <c r="N166" i="23"/>
  <c r="R165" i="23"/>
  <c r="Q165" i="23"/>
  <c r="P165" i="23"/>
  <c r="O165" i="23"/>
  <c r="N165" i="23"/>
  <c r="R164" i="23"/>
  <c r="Q164" i="23"/>
  <c r="P164" i="23"/>
  <c r="O164" i="23"/>
  <c r="N164" i="23"/>
  <c r="R163" i="23"/>
  <c r="Q163" i="23"/>
  <c r="P163" i="23"/>
  <c r="O163" i="23"/>
  <c r="N163" i="23"/>
  <c r="R162" i="23"/>
  <c r="Q162" i="23"/>
  <c r="P162" i="23"/>
  <c r="O162" i="23"/>
  <c r="N162" i="23"/>
  <c r="R161" i="23"/>
  <c r="Q161" i="23"/>
  <c r="P161" i="23"/>
  <c r="O161" i="23"/>
  <c r="N161" i="23"/>
  <c r="R160" i="23"/>
  <c r="Q160" i="23"/>
  <c r="P160" i="23"/>
  <c r="O160" i="23"/>
  <c r="N160" i="23"/>
  <c r="R159" i="23"/>
  <c r="Q159" i="23"/>
  <c r="P159" i="23"/>
  <c r="O159" i="23"/>
  <c r="N159" i="23"/>
  <c r="R158" i="23"/>
  <c r="Q158" i="23"/>
  <c r="P158" i="23"/>
  <c r="O158" i="23"/>
  <c r="N158" i="23"/>
  <c r="R157" i="23"/>
  <c r="Q157" i="23"/>
  <c r="P157" i="23"/>
  <c r="O157" i="23"/>
  <c r="N157" i="23"/>
  <c r="R156" i="23"/>
  <c r="Q156" i="23"/>
  <c r="P156" i="23"/>
  <c r="O156" i="23"/>
  <c r="N156" i="23"/>
  <c r="R155" i="23"/>
  <c r="Q155" i="23"/>
  <c r="P155" i="23"/>
  <c r="O155" i="23"/>
  <c r="N155" i="23"/>
  <c r="R154" i="23"/>
  <c r="Q154" i="23"/>
  <c r="P154" i="23"/>
  <c r="O154" i="23"/>
  <c r="N154" i="23"/>
  <c r="R153" i="23"/>
  <c r="Q153" i="23"/>
  <c r="P153" i="23"/>
  <c r="O153" i="23"/>
  <c r="N153" i="23"/>
  <c r="Q152" i="23"/>
  <c r="P152" i="23"/>
  <c r="O152" i="23"/>
  <c r="N152" i="23"/>
  <c r="R151" i="23"/>
  <c r="Q151" i="23"/>
  <c r="O151" i="23"/>
  <c r="N151" i="23"/>
  <c r="R150" i="23"/>
  <c r="Q150" i="23"/>
  <c r="O150" i="23"/>
  <c r="N150" i="23"/>
  <c r="R149" i="23"/>
  <c r="Q149" i="23"/>
  <c r="P149" i="23"/>
  <c r="O149" i="23"/>
  <c r="N149" i="23"/>
  <c r="R148" i="23"/>
  <c r="Q148" i="23"/>
  <c r="P148" i="23"/>
  <c r="O148" i="23"/>
  <c r="N148" i="23"/>
  <c r="R147" i="23"/>
  <c r="Q147" i="23"/>
  <c r="O147" i="23"/>
  <c r="N147" i="23"/>
  <c r="R146" i="23"/>
  <c r="Q146" i="23"/>
  <c r="O146" i="23"/>
  <c r="N146" i="23"/>
  <c r="R145" i="23"/>
  <c r="Q145" i="23"/>
  <c r="P145" i="23"/>
  <c r="O145" i="23"/>
  <c r="N145" i="23"/>
  <c r="R144" i="23"/>
  <c r="Q144" i="23"/>
  <c r="P144" i="23"/>
  <c r="O144" i="23"/>
  <c r="N144" i="23"/>
  <c r="Q143" i="23"/>
  <c r="P143" i="23"/>
  <c r="O143" i="23"/>
  <c r="N143" i="23"/>
  <c r="R142" i="23"/>
  <c r="Q142" i="23"/>
  <c r="P142" i="23"/>
  <c r="O142" i="23"/>
  <c r="N142" i="23"/>
  <c r="R141" i="23"/>
  <c r="Q141" i="23"/>
  <c r="P141" i="23"/>
  <c r="O141" i="23"/>
  <c r="N141" i="23"/>
  <c r="R140" i="23"/>
  <c r="Q140" i="23"/>
  <c r="P140" i="23"/>
  <c r="O140" i="23"/>
  <c r="N140" i="23"/>
  <c r="R139" i="23"/>
  <c r="Q139" i="23"/>
  <c r="P139" i="23"/>
  <c r="O139" i="23"/>
  <c r="N139" i="23"/>
  <c r="R138" i="23"/>
  <c r="Q138" i="23"/>
  <c r="P138" i="23"/>
  <c r="O138" i="23"/>
  <c r="N138" i="23"/>
  <c r="R137" i="23"/>
  <c r="Q137" i="23"/>
  <c r="P137" i="23"/>
  <c r="N137" i="23"/>
  <c r="Q136" i="23"/>
  <c r="P136" i="23"/>
  <c r="O136" i="23"/>
  <c r="N136" i="23"/>
  <c r="R135" i="23"/>
  <c r="Q135" i="23"/>
  <c r="P135" i="23"/>
  <c r="O135" i="23"/>
  <c r="N135" i="23"/>
  <c r="R134" i="23"/>
  <c r="Q134" i="23"/>
  <c r="P134" i="23"/>
  <c r="O134" i="23"/>
  <c r="N134" i="23"/>
  <c r="R133" i="23"/>
  <c r="Q133" i="23"/>
  <c r="P133" i="23"/>
  <c r="O133" i="23"/>
  <c r="N133" i="23"/>
  <c r="R132" i="23"/>
  <c r="Q132" i="23"/>
  <c r="P132" i="23"/>
  <c r="O132" i="23"/>
  <c r="N132" i="23"/>
  <c r="R131" i="23"/>
  <c r="Q131" i="23"/>
  <c r="O131" i="23"/>
  <c r="N131" i="23"/>
  <c r="R130" i="23"/>
  <c r="Q130" i="23"/>
  <c r="O130" i="23"/>
  <c r="N130" i="23"/>
  <c r="Q129" i="23"/>
  <c r="O129" i="23"/>
  <c r="N129" i="23"/>
  <c r="Q128" i="23"/>
  <c r="O128" i="23"/>
  <c r="N128" i="23"/>
  <c r="R126" i="23"/>
  <c r="Q126" i="23"/>
  <c r="P126" i="23"/>
  <c r="O126" i="23"/>
  <c r="N126" i="23"/>
  <c r="R124" i="23"/>
  <c r="Q124" i="23"/>
  <c r="P124" i="23"/>
  <c r="O124" i="23"/>
  <c r="N124" i="23"/>
  <c r="R123" i="23"/>
  <c r="Q123" i="23"/>
  <c r="P123" i="23"/>
  <c r="O123" i="23"/>
  <c r="N123" i="23"/>
  <c r="R122" i="23"/>
  <c r="Q122" i="23"/>
  <c r="P122" i="23"/>
  <c r="O122" i="23"/>
  <c r="N122" i="23"/>
  <c r="R121" i="23"/>
  <c r="Q121" i="23"/>
  <c r="P121" i="23"/>
  <c r="O121" i="23"/>
  <c r="N121" i="23"/>
  <c r="R120" i="23"/>
  <c r="Q120" i="23"/>
  <c r="P120" i="23"/>
  <c r="O120" i="23"/>
  <c r="N120" i="23"/>
  <c r="R119" i="23"/>
  <c r="Q119" i="23"/>
  <c r="P119" i="23"/>
  <c r="O119" i="23"/>
  <c r="N119" i="23"/>
  <c r="R118" i="23"/>
  <c r="Q118" i="23"/>
  <c r="P118" i="23"/>
  <c r="O118" i="23"/>
  <c r="N118" i="23"/>
  <c r="R117" i="23"/>
  <c r="Q117" i="23"/>
  <c r="P117" i="23"/>
  <c r="O117" i="23"/>
  <c r="N117" i="23"/>
  <c r="R116" i="23"/>
  <c r="Q116" i="23"/>
  <c r="P116" i="23"/>
  <c r="O116" i="23"/>
  <c r="N116" i="23"/>
  <c r="R115" i="23"/>
  <c r="Q115" i="23"/>
  <c r="P115" i="23"/>
  <c r="O115" i="23"/>
  <c r="N115" i="23"/>
  <c r="R114" i="23"/>
  <c r="Q114" i="23"/>
  <c r="P114" i="23"/>
  <c r="O114" i="23"/>
  <c r="N114" i="23"/>
  <c r="R113" i="23"/>
  <c r="Q113" i="23"/>
  <c r="P113" i="23"/>
  <c r="O113" i="23"/>
  <c r="N113" i="23"/>
  <c r="R112" i="23"/>
  <c r="Q112" i="23"/>
  <c r="P112" i="23"/>
  <c r="O112" i="23"/>
  <c r="N112" i="23"/>
  <c r="R111" i="23"/>
  <c r="Q111" i="23"/>
  <c r="O111" i="23"/>
  <c r="N111" i="23"/>
  <c r="R110" i="23"/>
  <c r="Q110" i="23"/>
  <c r="P110" i="23"/>
  <c r="O110" i="23"/>
  <c r="N110" i="23"/>
  <c r="R109" i="23"/>
  <c r="Q109" i="23"/>
  <c r="P109" i="23"/>
  <c r="O109" i="23"/>
  <c r="N109" i="23"/>
  <c r="R108" i="23"/>
  <c r="Q108" i="23"/>
  <c r="P108" i="23"/>
  <c r="O108" i="23"/>
  <c r="N108" i="23"/>
  <c r="R107" i="23"/>
  <c r="Q107" i="23"/>
  <c r="P107" i="23"/>
  <c r="O107" i="23"/>
  <c r="N107" i="23"/>
  <c r="R106" i="23"/>
  <c r="Q106" i="23"/>
  <c r="P106" i="23"/>
  <c r="O106" i="23"/>
  <c r="N106" i="23"/>
  <c r="R105" i="23"/>
  <c r="Q105" i="23"/>
  <c r="P105" i="23"/>
  <c r="O105" i="23"/>
  <c r="N105" i="23"/>
  <c r="R104" i="23"/>
  <c r="Q104" i="23"/>
  <c r="P104" i="23"/>
  <c r="O104" i="23"/>
  <c r="N104" i="23"/>
  <c r="R103" i="23"/>
  <c r="Q103" i="23"/>
  <c r="P103" i="23"/>
  <c r="O103" i="23"/>
  <c r="N103" i="23"/>
  <c r="R102" i="23"/>
  <c r="Q102" i="23"/>
  <c r="P102" i="23"/>
  <c r="O102" i="23"/>
  <c r="N102" i="23"/>
  <c r="R101" i="23"/>
  <c r="Q101" i="23"/>
  <c r="P101" i="23"/>
  <c r="O101" i="23"/>
  <c r="N101" i="23"/>
  <c r="R100" i="23"/>
  <c r="Q100" i="23"/>
  <c r="P100" i="23"/>
  <c r="O100" i="23"/>
  <c r="N100" i="23"/>
  <c r="R99" i="23"/>
  <c r="Q99" i="23"/>
  <c r="P99" i="23"/>
  <c r="O99" i="23"/>
  <c r="N99" i="23"/>
  <c r="R98" i="23"/>
  <c r="Q98" i="23"/>
  <c r="P98" i="23"/>
  <c r="O98" i="23"/>
  <c r="N98" i="23"/>
  <c r="R97" i="23"/>
  <c r="Q97" i="23"/>
  <c r="P97" i="23"/>
  <c r="O97" i="23"/>
  <c r="N97" i="23"/>
  <c r="R96" i="23"/>
  <c r="Q96" i="23"/>
  <c r="P96" i="23"/>
  <c r="O96" i="23"/>
  <c r="N96" i="23"/>
  <c r="R95" i="23"/>
  <c r="Q95" i="23"/>
  <c r="P95" i="23"/>
  <c r="O95" i="23"/>
  <c r="N95" i="23"/>
  <c r="R94" i="23"/>
  <c r="Q94" i="23"/>
  <c r="P94" i="23"/>
  <c r="O94" i="23"/>
  <c r="N94" i="23"/>
  <c r="R93" i="23"/>
  <c r="Q93" i="23"/>
  <c r="P93" i="23"/>
  <c r="O93" i="23"/>
  <c r="N93" i="23"/>
  <c r="R92" i="23"/>
  <c r="Q92" i="23"/>
  <c r="P92" i="23"/>
  <c r="O92" i="23"/>
  <c r="N92" i="23"/>
  <c r="R91" i="23"/>
  <c r="Q91" i="23"/>
  <c r="P91" i="23"/>
  <c r="O91" i="23"/>
  <c r="N91" i="23"/>
  <c r="R90" i="23"/>
  <c r="Q90" i="23"/>
  <c r="P90" i="23"/>
  <c r="O90" i="23"/>
  <c r="N90" i="23"/>
  <c r="R89" i="23"/>
  <c r="Q89" i="23"/>
  <c r="P89" i="23"/>
  <c r="O89" i="23"/>
  <c r="N89" i="23"/>
  <c r="R88" i="23"/>
  <c r="Q88" i="23"/>
  <c r="P88" i="23"/>
  <c r="O88" i="23"/>
  <c r="N88" i="23"/>
  <c r="R87" i="23"/>
  <c r="Q87" i="23"/>
  <c r="P87" i="23"/>
  <c r="O87" i="23"/>
  <c r="N87" i="23"/>
  <c r="R86" i="23"/>
  <c r="Q86" i="23"/>
  <c r="P86" i="23"/>
  <c r="O86" i="23"/>
  <c r="N86" i="23"/>
  <c r="R85" i="23"/>
  <c r="Q85" i="23"/>
  <c r="P85" i="23"/>
  <c r="O85" i="23"/>
  <c r="N85" i="23"/>
  <c r="R84" i="23"/>
  <c r="Q84" i="23"/>
  <c r="P84" i="23"/>
  <c r="O84" i="23"/>
  <c r="N84" i="23"/>
  <c r="R83" i="23"/>
  <c r="Q83" i="23"/>
  <c r="P83" i="23"/>
  <c r="N83" i="23"/>
  <c r="R82" i="23"/>
  <c r="Q82" i="23"/>
  <c r="P82" i="23"/>
  <c r="N82" i="23"/>
  <c r="P81" i="23"/>
  <c r="N81" i="23"/>
  <c r="R80" i="23"/>
  <c r="Q80" i="23"/>
  <c r="P80" i="23"/>
  <c r="O80" i="23"/>
  <c r="N80" i="23"/>
  <c r="R79" i="23"/>
  <c r="Q79" i="23"/>
  <c r="P79" i="23"/>
  <c r="O79" i="23"/>
  <c r="N79" i="23"/>
  <c r="R78" i="23"/>
  <c r="Q78" i="23"/>
  <c r="P78" i="23"/>
  <c r="O78" i="23"/>
  <c r="N78" i="23"/>
  <c r="R77" i="23"/>
  <c r="Q77" i="23"/>
  <c r="P77" i="23"/>
  <c r="O77" i="23"/>
  <c r="N77" i="23"/>
  <c r="R76" i="23"/>
  <c r="Q76" i="23"/>
  <c r="P76" i="23"/>
  <c r="O76" i="23"/>
  <c r="N76" i="23"/>
  <c r="R74" i="23"/>
  <c r="Q74" i="23"/>
  <c r="P74" i="23"/>
  <c r="O74" i="23"/>
  <c r="N74" i="23"/>
  <c r="Q73" i="23"/>
  <c r="P73" i="23"/>
  <c r="O73" i="23"/>
  <c r="N73" i="23"/>
  <c r="R72" i="23"/>
  <c r="Q72" i="23"/>
  <c r="P72" i="23"/>
  <c r="O72" i="23"/>
  <c r="N72" i="23"/>
  <c r="R71" i="23"/>
  <c r="Q71" i="23"/>
  <c r="P71" i="23"/>
  <c r="O71" i="23"/>
  <c r="N71" i="23"/>
  <c r="R70" i="23"/>
  <c r="Q70" i="23"/>
  <c r="P70" i="23"/>
  <c r="O70" i="23"/>
  <c r="N70" i="23"/>
  <c r="R69" i="23"/>
  <c r="Q69" i="23"/>
  <c r="P69" i="23"/>
  <c r="O69" i="23"/>
  <c r="N69" i="23"/>
  <c r="R68" i="23"/>
  <c r="Q68" i="23"/>
  <c r="P68" i="23"/>
  <c r="O68" i="23"/>
  <c r="N68" i="23"/>
  <c r="R67" i="23"/>
  <c r="Q67" i="23"/>
  <c r="P67" i="23"/>
  <c r="O67" i="23"/>
  <c r="N67" i="23"/>
  <c r="R66" i="23"/>
  <c r="Q66" i="23"/>
  <c r="P66" i="23"/>
  <c r="O66" i="23"/>
  <c r="N66" i="23"/>
  <c r="R65" i="23"/>
  <c r="Q65" i="23"/>
  <c r="P65" i="23"/>
  <c r="O65" i="23"/>
  <c r="N65" i="23"/>
  <c r="R64" i="23"/>
  <c r="Q64" i="23"/>
  <c r="P64" i="23"/>
  <c r="O64" i="23"/>
  <c r="N64" i="23"/>
  <c r="R63" i="23"/>
  <c r="Q63" i="23"/>
  <c r="P63" i="23"/>
  <c r="N63" i="23"/>
  <c r="R62" i="23"/>
  <c r="Q62" i="23"/>
  <c r="O62" i="23"/>
  <c r="N62" i="23"/>
  <c r="R61" i="23"/>
  <c r="Q61" i="23"/>
  <c r="P61" i="23"/>
  <c r="O61" i="23"/>
  <c r="N61" i="23"/>
  <c r="R60" i="23"/>
  <c r="Q60" i="23"/>
  <c r="P60" i="23"/>
  <c r="O60" i="23"/>
  <c r="N60" i="23"/>
  <c r="R59" i="23"/>
  <c r="Q59" i="23"/>
  <c r="P59" i="23"/>
  <c r="O59" i="23"/>
  <c r="N59" i="23"/>
  <c r="R58" i="23"/>
  <c r="Q58" i="23"/>
  <c r="P58" i="23"/>
  <c r="O58" i="23"/>
  <c r="N58" i="23"/>
  <c r="R57" i="23"/>
  <c r="Q57" i="23"/>
  <c r="P57" i="23"/>
  <c r="O57" i="23"/>
  <c r="N57" i="23"/>
  <c r="R56" i="23"/>
  <c r="Q56" i="23"/>
  <c r="P56" i="23"/>
  <c r="O56" i="23"/>
  <c r="N56" i="23"/>
  <c r="R55" i="23"/>
  <c r="Q55" i="23"/>
  <c r="P55" i="23"/>
  <c r="O55" i="23"/>
  <c r="N55" i="23"/>
  <c r="R54" i="23"/>
  <c r="Q54" i="23"/>
  <c r="P54" i="23"/>
  <c r="O54" i="23"/>
  <c r="N54" i="23"/>
  <c r="R53" i="23"/>
  <c r="Q53" i="23"/>
  <c r="P53" i="23"/>
  <c r="O53" i="23"/>
  <c r="N53" i="23"/>
  <c r="R52" i="23"/>
  <c r="Q52" i="23"/>
  <c r="P52" i="23"/>
  <c r="O52" i="23"/>
  <c r="N52" i="23"/>
  <c r="R51" i="23"/>
  <c r="Q51" i="23"/>
  <c r="P51" i="23"/>
  <c r="O51" i="23"/>
  <c r="N51" i="23"/>
  <c r="R50" i="23"/>
  <c r="Q50" i="23"/>
  <c r="P50" i="23"/>
  <c r="O50" i="23"/>
  <c r="N50" i="23"/>
  <c r="R49" i="23"/>
  <c r="Q49" i="23"/>
  <c r="P49" i="23"/>
  <c r="O49" i="23"/>
  <c r="N49" i="23"/>
  <c r="R48" i="23"/>
  <c r="Q48" i="23"/>
  <c r="P48" i="23"/>
  <c r="O48" i="23"/>
  <c r="N48" i="23"/>
  <c r="R47" i="23"/>
  <c r="Q47" i="23"/>
  <c r="O47" i="23"/>
  <c r="N47" i="23"/>
  <c r="R46" i="23"/>
  <c r="Q46" i="23"/>
  <c r="P46" i="23"/>
  <c r="O46" i="23"/>
  <c r="N46" i="23"/>
  <c r="R45" i="23"/>
  <c r="Q45" i="23"/>
  <c r="P45" i="23"/>
  <c r="O45" i="23"/>
  <c r="N45" i="23"/>
  <c r="R44" i="23"/>
  <c r="Q44" i="23"/>
  <c r="P44" i="23"/>
  <c r="O44" i="23"/>
  <c r="N44" i="23"/>
  <c r="R43" i="23"/>
  <c r="Q43" i="23"/>
  <c r="P43" i="23"/>
  <c r="O43" i="23"/>
  <c r="N43" i="23"/>
  <c r="R42" i="23"/>
  <c r="Q42" i="23"/>
  <c r="P42" i="23"/>
  <c r="O42" i="23"/>
  <c r="N42" i="23"/>
  <c r="R41" i="23"/>
  <c r="Q41" i="23"/>
  <c r="P41" i="23"/>
  <c r="O41" i="23"/>
  <c r="N41" i="23"/>
  <c r="R40" i="23"/>
  <c r="Q40" i="23"/>
  <c r="P40" i="23"/>
  <c r="O40" i="23"/>
  <c r="N40" i="23"/>
  <c r="R39" i="23"/>
  <c r="Q39" i="23"/>
  <c r="P39" i="23"/>
  <c r="O39" i="23"/>
  <c r="N39" i="23"/>
  <c r="R38" i="23"/>
  <c r="Q38" i="23"/>
  <c r="P38" i="23"/>
  <c r="O38" i="23"/>
  <c r="N38" i="23"/>
  <c r="R37" i="23"/>
  <c r="Q37" i="23"/>
  <c r="P37" i="23"/>
  <c r="O37" i="23"/>
  <c r="N37" i="23"/>
  <c r="R36" i="23"/>
  <c r="Q36" i="23"/>
  <c r="P36" i="23"/>
  <c r="O36" i="23"/>
  <c r="N36" i="23"/>
  <c r="R35" i="23"/>
  <c r="Q35" i="23"/>
  <c r="P35" i="23"/>
  <c r="O35" i="23"/>
  <c r="N35" i="23"/>
  <c r="R34" i="23"/>
  <c r="Q34" i="23"/>
  <c r="P34" i="23"/>
  <c r="N34" i="23"/>
  <c r="R33" i="23"/>
  <c r="Q33" i="23"/>
  <c r="P33" i="23"/>
  <c r="O33" i="23"/>
  <c r="N33" i="23"/>
  <c r="R32" i="23"/>
  <c r="Q32" i="23"/>
  <c r="P32" i="23"/>
  <c r="O32" i="23"/>
  <c r="N32" i="23"/>
  <c r="R31" i="23"/>
  <c r="Q31" i="23"/>
  <c r="P31" i="23"/>
  <c r="O31" i="23"/>
  <c r="N31" i="23"/>
  <c r="R30" i="23"/>
  <c r="Q30" i="23"/>
  <c r="P30" i="23"/>
  <c r="O30" i="23"/>
  <c r="N30" i="23"/>
  <c r="R29" i="23"/>
  <c r="Q29" i="23"/>
  <c r="P29" i="23"/>
  <c r="O29" i="23"/>
  <c r="N29" i="23"/>
  <c r="R28" i="23"/>
  <c r="Q28" i="23"/>
  <c r="P28" i="23"/>
  <c r="O28" i="23"/>
  <c r="N28" i="23"/>
  <c r="R27" i="23"/>
  <c r="Q27" i="23"/>
  <c r="P27" i="23"/>
  <c r="O27" i="23"/>
  <c r="N27" i="23"/>
  <c r="R26" i="23"/>
  <c r="Q26" i="23"/>
  <c r="P26" i="23"/>
  <c r="O26" i="23"/>
  <c r="N26" i="23"/>
  <c r="R25" i="23"/>
  <c r="Q25" i="23"/>
  <c r="P25" i="23"/>
  <c r="O25" i="23"/>
  <c r="N25" i="23"/>
  <c r="R24" i="23"/>
  <c r="Q24" i="23"/>
  <c r="P24" i="23"/>
  <c r="O24" i="23"/>
  <c r="N24" i="23"/>
  <c r="Q23" i="23"/>
  <c r="P23" i="23"/>
  <c r="N23" i="23"/>
  <c r="R22" i="23"/>
  <c r="Q22" i="23"/>
  <c r="P22" i="23"/>
  <c r="N22" i="23"/>
  <c r="Q21" i="23"/>
  <c r="P21" i="23"/>
  <c r="N21" i="23"/>
  <c r="R20" i="23"/>
  <c r="Q20" i="23"/>
  <c r="P20" i="23"/>
  <c r="O20" i="23"/>
  <c r="N20" i="23"/>
  <c r="R19" i="23"/>
  <c r="Q19" i="23"/>
  <c r="P19" i="23"/>
  <c r="O19" i="23"/>
  <c r="N19" i="23"/>
  <c r="R18" i="23"/>
  <c r="Q18" i="23"/>
  <c r="P18" i="23"/>
  <c r="O18" i="23"/>
  <c r="N18" i="23"/>
  <c r="R17" i="23"/>
  <c r="Q17" i="23"/>
  <c r="P17" i="23"/>
  <c r="O17" i="23"/>
  <c r="N17" i="23"/>
  <c r="R16" i="23"/>
  <c r="Q16" i="23"/>
  <c r="P16" i="23"/>
  <c r="O16" i="23"/>
  <c r="N16" i="23"/>
  <c r="Q15" i="23"/>
  <c r="P15" i="23"/>
  <c r="N15" i="23"/>
  <c r="R14" i="23"/>
  <c r="Q14" i="23"/>
  <c r="P14" i="23"/>
  <c r="O14" i="23"/>
  <c r="N14" i="23"/>
  <c r="R13" i="23"/>
  <c r="Q13" i="23"/>
  <c r="P13" i="23"/>
  <c r="N13" i="23"/>
  <c r="R11" i="23"/>
  <c r="Q11" i="23"/>
  <c r="P11" i="23"/>
  <c r="N11" i="23"/>
  <c r="N9" i="23"/>
  <c r="H28" i="38"/>
  <c r="I24" i="38"/>
  <c r="H24" i="38"/>
  <c r="I14" i="38"/>
  <c r="H14" i="38"/>
  <c r="I10" i="38"/>
  <c r="H10" i="38"/>
  <c r="I8" i="38"/>
  <c r="H8" i="38"/>
  <c r="L129" i="3"/>
  <c r="U126" i="3"/>
  <c r="S126" i="3"/>
  <c r="U123" i="3"/>
  <c r="S123" i="3"/>
  <c r="P123" i="3"/>
  <c r="U122" i="3"/>
  <c r="S122" i="3"/>
  <c r="U120" i="3"/>
  <c r="S120" i="3"/>
  <c r="U119" i="3"/>
  <c r="S119" i="3"/>
  <c r="L119" i="3"/>
  <c r="L379" i="48" s="1"/>
  <c r="U118" i="3"/>
  <c r="S118" i="3"/>
  <c r="U116" i="3"/>
  <c r="S116" i="3"/>
  <c r="P116" i="3"/>
  <c r="U115" i="3"/>
  <c r="S115" i="3"/>
  <c r="U114" i="3"/>
  <c r="S114" i="3"/>
  <c r="P114" i="3"/>
  <c r="U113" i="3"/>
  <c r="S113" i="3"/>
  <c r="U112" i="3"/>
  <c r="S112" i="3"/>
  <c r="U111" i="3"/>
  <c r="S111" i="3"/>
  <c r="U110" i="3"/>
  <c r="S110" i="3"/>
  <c r="U109" i="3"/>
  <c r="S109" i="3"/>
  <c r="J370" i="23"/>
  <c r="U108" i="3"/>
  <c r="S108" i="3"/>
  <c r="J372" i="23"/>
  <c r="U105" i="3"/>
  <c r="S105" i="3"/>
  <c r="U104" i="3"/>
  <c r="S104" i="3"/>
  <c r="P104" i="3"/>
  <c r="L104" i="3"/>
  <c r="J381" i="23"/>
  <c r="U102" i="3"/>
  <c r="S102" i="3"/>
  <c r="J380" i="23"/>
  <c r="U99" i="3"/>
  <c r="S99" i="3"/>
  <c r="U97" i="3"/>
  <c r="S97" i="3"/>
  <c r="U96" i="3"/>
  <c r="S96" i="3"/>
  <c r="U95" i="3"/>
  <c r="S95" i="3"/>
  <c r="U94" i="3"/>
  <c r="S94" i="3"/>
  <c r="U93" i="3"/>
  <c r="S93" i="3"/>
  <c r="U92" i="3"/>
  <c r="S92" i="3"/>
  <c r="U91" i="3"/>
  <c r="S91" i="3"/>
  <c r="U90" i="3"/>
  <c r="S90" i="3"/>
  <c r="U89" i="3"/>
  <c r="S89" i="3"/>
  <c r="U88" i="3"/>
  <c r="S88" i="3"/>
  <c r="U86" i="3"/>
  <c r="S86" i="3"/>
  <c r="U84" i="3"/>
  <c r="S84" i="3"/>
  <c r="J378" i="23"/>
  <c r="U83" i="3"/>
  <c r="S83" i="3"/>
  <c r="U82" i="3"/>
  <c r="S82" i="3"/>
  <c r="J376" i="23"/>
  <c r="U81" i="3"/>
  <c r="S81" i="3"/>
  <c r="U80" i="3"/>
  <c r="S80" i="3"/>
  <c r="U79" i="3"/>
  <c r="S79" i="3"/>
  <c r="U78" i="3"/>
  <c r="S78" i="3"/>
  <c r="U77" i="3"/>
  <c r="S77" i="3"/>
  <c r="U74" i="3"/>
  <c r="S74" i="3"/>
  <c r="U73" i="3"/>
  <c r="S73" i="3"/>
  <c r="U72" i="3"/>
  <c r="S72" i="3"/>
  <c r="U71" i="3"/>
  <c r="S71" i="3"/>
  <c r="U70" i="3"/>
  <c r="S70" i="3"/>
  <c r="U69" i="3"/>
  <c r="S69" i="3"/>
  <c r="U68" i="3"/>
  <c r="S68" i="3"/>
  <c r="U67" i="3"/>
  <c r="S67" i="3"/>
  <c r="U66" i="3"/>
  <c r="S66" i="3"/>
  <c r="U65" i="3"/>
  <c r="S65" i="3"/>
  <c r="U64" i="3"/>
  <c r="S64" i="3"/>
  <c r="U63" i="3"/>
  <c r="S63" i="3"/>
  <c r="U62" i="3"/>
  <c r="S62" i="3"/>
  <c r="U61" i="3"/>
  <c r="S61" i="3"/>
  <c r="U60" i="3"/>
  <c r="S60" i="3"/>
  <c r="U59" i="3"/>
  <c r="S59" i="3"/>
  <c r="U58" i="3"/>
  <c r="S58" i="3"/>
  <c r="U57" i="3"/>
  <c r="S57" i="3"/>
  <c r="U56" i="3"/>
  <c r="S56" i="3"/>
  <c r="L56" i="3"/>
  <c r="U55" i="3"/>
  <c r="S55" i="3"/>
  <c r="L55" i="3"/>
  <c r="U54" i="3"/>
  <c r="S54" i="3"/>
  <c r="U53" i="3"/>
  <c r="S53" i="3"/>
  <c r="U51" i="3"/>
  <c r="S51" i="3"/>
  <c r="P51" i="3"/>
  <c r="U50" i="3"/>
  <c r="S50" i="3"/>
  <c r="U49" i="3"/>
  <c r="S49" i="3"/>
  <c r="U48" i="3"/>
  <c r="S48" i="3"/>
  <c r="P48" i="3"/>
  <c r="U47" i="3"/>
  <c r="S47" i="3"/>
  <c r="P47" i="3"/>
  <c r="U46" i="3"/>
  <c r="S46" i="3"/>
  <c r="U45" i="3"/>
  <c r="S45" i="3"/>
  <c r="U44" i="3"/>
  <c r="S44" i="3"/>
  <c r="U43" i="3"/>
  <c r="S43" i="3"/>
  <c r="U42" i="3"/>
  <c r="S42" i="3"/>
  <c r="U41" i="3"/>
  <c r="S41" i="3"/>
  <c r="U40" i="3"/>
  <c r="U39" i="3"/>
  <c r="S39" i="3"/>
  <c r="U38" i="3"/>
  <c r="S38" i="3"/>
  <c r="U35" i="3"/>
  <c r="S35" i="3"/>
  <c r="U34" i="3"/>
  <c r="S34" i="3"/>
  <c r="U33" i="3"/>
  <c r="S33" i="3"/>
  <c r="U32" i="3"/>
  <c r="S32" i="3"/>
  <c r="U31" i="3"/>
  <c r="S31" i="3"/>
  <c r="U30" i="3"/>
  <c r="S30" i="3"/>
  <c r="U29" i="3"/>
  <c r="S29" i="3"/>
  <c r="U28" i="3"/>
  <c r="U27" i="3"/>
  <c r="U25" i="3"/>
  <c r="S25" i="3"/>
  <c r="U24" i="3"/>
  <c r="S24" i="3"/>
  <c r="U23" i="3"/>
  <c r="S23" i="3"/>
  <c r="U22" i="3"/>
  <c r="S22" i="3"/>
  <c r="U21" i="3"/>
  <c r="S21" i="3"/>
  <c r="U20" i="3"/>
  <c r="S20" i="3"/>
  <c r="U19" i="3"/>
  <c r="S19" i="3"/>
  <c r="U18" i="3"/>
  <c r="S18" i="3"/>
  <c r="U17" i="3"/>
  <c r="S17" i="3"/>
  <c r="U16" i="3"/>
  <c r="S16" i="3"/>
  <c r="U14" i="3"/>
  <c r="S14" i="3"/>
  <c r="U13" i="3"/>
  <c r="U12" i="3"/>
  <c r="S12" i="3"/>
  <c r="U11" i="3"/>
  <c r="S11" i="3"/>
  <c r="P11" i="3"/>
  <c r="U10" i="3"/>
  <c r="S10" i="3"/>
  <c r="U9" i="3"/>
  <c r="S9" i="3"/>
  <c r="U8" i="3"/>
  <c r="S8" i="3"/>
  <c r="U7" i="3"/>
  <c r="U251" i="1"/>
  <c r="U250" i="1" s="1"/>
  <c r="T251" i="1"/>
  <c r="T250" i="1" s="1"/>
  <c r="R250" i="1"/>
  <c r="Q250" i="1"/>
  <c r="O250" i="1"/>
  <c r="N250" i="1"/>
  <c r="L251" i="1"/>
  <c r="L250" i="1" s="1"/>
  <c r="S250" i="1"/>
  <c r="U248" i="1"/>
  <c r="S248" i="1"/>
  <c r="S247" i="1"/>
  <c r="U245" i="1"/>
  <c r="S245" i="1"/>
  <c r="P245" i="1"/>
  <c r="S244" i="1"/>
  <c r="P244" i="1"/>
  <c r="U243" i="1"/>
  <c r="S243" i="1"/>
  <c r="P243" i="1"/>
  <c r="U242" i="1"/>
  <c r="S242" i="1"/>
  <c r="P242" i="1"/>
  <c r="S241" i="1"/>
  <c r="S240" i="1"/>
  <c r="S239" i="1"/>
  <c r="P239" i="1"/>
  <c r="S238" i="1"/>
  <c r="S237" i="1"/>
  <c r="S235" i="1"/>
  <c r="S234" i="1"/>
  <c r="S233" i="1"/>
  <c r="T230" i="1"/>
  <c r="S231" i="1"/>
  <c r="S230" i="1" s="1"/>
  <c r="R230" i="1"/>
  <c r="Q230" i="1"/>
  <c r="O230" i="1"/>
  <c r="N230" i="1"/>
  <c r="U226" i="1"/>
  <c r="S226" i="1"/>
  <c r="P226" i="1"/>
  <c r="U225" i="1"/>
  <c r="S225" i="1"/>
  <c r="P225" i="1"/>
  <c r="U224" i="1"/>
  <c r="S224" i="1"/>
  <c r="P224" i="1"/>
  <c r="U222" i="1"/>
  <c r="U221" i="1" s="1"/>
  <c r="T221" i="1"/>
  <c r="S222" i="1"/>
  <c r="S221" i="1" s="1"/>
  <c r="Q221" i="1"/>
  <c r="P222" i="1"/>
  <c r="P221" i="1" s="1"/>
  <c r="O221" i="1"/>
  <c r="U220" i="1"/>
  <c r="U219" i="1" s="1"/>
  <c r="T219" i="1"/>
  <c r="S220" i="1"/>
  <c r="S219" i="1" s="1"/>
  <c r="R219" i="1"/>
  <c r="Q219" i="1"/>
  <c r="O219" i="1"/>
  <c r="N219" i="1"/>
  <c r="U218" i="1"/>
  <c r="U217" i="1" s="1"/>
  <c r="T217" i="1"/>
  <c r="S218" i="1"/>
  <c r="S217" i="1" s="1"/>
  <c r="R217" i="1"/>
  <c r="Q217" i="1"/>
  <c r="O217" i="1"/>
  <c r="U216" i="1"/>
  <c r="S216" i="1"/>
  <c r="U215" i="1"/>
  <c r="S215" i="1"/>
  <c r="U211" i="1"/>
  <c r="U210" i="1" s="1"/>
  <c r="T210" i="1"/>
  <c r="P211" i="1"/>
  <c r="P210" i="1" s="1"/>
  <c r="L211" i="1"/>
  <c r="V45" i="12" s="1"/>
  <c r="V49" i="12" s="1"/>
  <c r="U209" i="1"/>
  <c r="U208" i="1" s="1"/>
  <c r="T208" i="1"/>
  <c r="S209" i="1"/>
  <c r="S208" i="1" s="1"/>
  <c r="R208" i="1"/>
  <c r="Q208" i="1"/>
  <c r="O208" i="1"/>
  <c r="N208" i="1"/>
  <c r="U207" i="1"/>
  <c r="S207" i="1"/>
  <c r="U205" i="1"/>
  <c r="S205" i="1"/>
  <c r="U204" i="1"/>
  <c r="P204" i="1"/>
  <c r="U203" i="1"/>
  <c r="U202" i="1"/>
  <c r="S202" i="1"/>
  <c r="U201" i="1"/>
  <c r="S201" i="1"/>
  <c r="U200" i="1"/>
  <c r="S200" i="1"/>
  <c r="U199" i="1"/>
  <c r="S199" i="1"/>
  <c r="U198" i="1"/>
  <c r="S198" i="1"/>
  <c r="U197" i="1"/>
  <c r="S197" i="1"/>
  <c r="U196" i="1"/>
  <c r="S196" i="1"/>
  <c r="U195" i="1"/>
  <c r="S195" i="1"/>
  <c r="U194" i="1"/>
  <c r="S194" i="1"/>
  <c r="U193" i="1"/>
  <c r="S193" i="1"/>
  <c r="P193" i="1"/>
  <c r="U192" i="1"/>
  <c r="S192" i="1"/>
  <c r="P192" i="1"/>
  <c r="U191" i="1"/>
  <c r="S191" i="1"/>
  <c r="U190" i="1"/>
  <c r="S190" i="1"/>
  <c r="U189" i="1"/>
  <c r="S189" i="1"/>
  <c r="U188" i="1"/>
  <c r="S188" i="1"/>
  <c r="P188" i="1"/>
  <c r="U187" i="1"/>
  <c r="S187" i="1"/>
  <c r="P187" i="1"/>
  <c r="U186" i="1"/>
  <c r="S186" i="1"/>
  <c r="P186" i="1"/>
  <c r="U185" i="1"/>
  <c r="S185" i="1"/>
  <c r="U184" i="1"/>
  <c r="S184" i="1"/>
  <c r="U183" i="1"/>
  <c r="S183" i="1"/>
  <c r="U182" i="1"/>
  <c r="S182" i="1"/>
  <c r="U181" i="1"/>
  <c r="S181" i="1"/>
  <c r="U180" i="1"/>
  <c r="S180" i="1"/>
  <c r="U177" i="1"/>
  <c r="S177" i="1"/>
  <c r="U176" i="1"/>
  <c r="S176" i="1"/>
  <c r="U175" i="1"/>
  <c r="S175" i="1"/>
  <c r="U174" i="1"/>
  <c r="S174" i="1"/>
  <c r="U173" i="1"/>
  <c r="S173" i="1"/>
  <c r="U172" i="1"/>
  <c r="S172" i="1"/>
  <c r="U170" i="1"/>
  <c r="S170" i="1"/>
  <c r="U169" i="1"/>
  <c r="S169" i="1"/>
  <c r="P169" i="1"/>
  <c r="U168" i="1"/>
  <c r="S168" i="1"/>
  <c r="U167" i="1"/>
  <c r="S167" i="1"/>
  <c r="U166" i="1"/>
  <c r="S166" i="1"/>
  <c r="U165" i="1"/>
  <c r="S165" i="1"/>
  <c r="U163" i="1"/>
  <c r="S163" i="1"/>
  <c r="U162" i="1"/>
  <c r="S162" i="1"/>
  <c r="U161" i="1"/>
  <c r="S161" i="1"/>
  <c r="U160" i="1"/>
  <c r="S160" i="1"/>
  <c r="U159" i="1"/>
  <c r="S159" i="1"/>
  <c r="U158" i="1"/>
  <c r="S158" i="1"/>
  <c r="U157" i="1"/>
  <c r="S157" i="1"/>
  <c r="U156" i="1"/>
  <c r="S156" i="1"/>
  <c r="P156" i="1"/>
  <c r="U155" i="1"/>
  <c r="S155" i="1"/>
  <c r="U154" i="1"/>
  <c r="S154" i="1"/>
  <c r="U153" i="1"/>
  <c r="S153" i="1"/>
  <c r="U152" i="1"/>
  <c r="S152" i="1"/>
  <c r="U151" i="1"/>
  <c r="S151" i="1"/>
  <c r="U150" i="1"/>
  <c r="S150" i="1"/>
  <c r="U146" i="1"/>
  <c r="S146" i="1"/>
  <c r="P146" i="1"/>
  <c r="U145" i="1"/>
  <c r="S145" i="1"/>
  <c r="U143" i="1"/>
  <c r="S143" i="1"/>
  <c r="P143" i="1"/>
  <c r="U141" i="1"/>
  <c r="S141" i="1"/>
  <c r="P141" i="1"/>
  <c r="L141" i="1"/>
  <c r="U140" i="1"/>
  <c r="S140" i="1"/>
  <c r="P140" i="1"/>
  <c r="U139" i="1"/>
  <c r="S139" i="1"/>
  <c r="U138" i="1"/>
  <c r="S138" i="1"/>
  <c r="U137" i="1"/>
  <c r="S137" i="1"/>
  <c r="U136" i="1"/>
  <c r="S136" i="1"/>
  <c r="U135" i="1"/>
  <c r="S135" i="1"/>
  <c r="U134" i="1"/>
  <c r="S134" i="1"/>
  <c r="U133" i="1"/>
  <c r="S133" i="1"/>
  <c r="P133" i="1"/>
  <c r="U132" i="1"/>
  <c r="S132" i="1"/>
  <c r="U131" i="1"/>
  <c r="S131" i="1"/>
  <c r="U130" i="1"/>
  <c r="S130" i="1"/>
  <c r="U129" i="1"/>
  <c r="S129" i="1"/>
  <c r="U128" i="1"/>
  <c r="S128" i="1"/>
  <c r="U127" i="1"/>
  <c r="S127" i="1"/>
  <c r="U126" i="1"/>
  <c r="S126" i="1"/>
  <c r="U125" i="1"/>
  <c r="S125" i="1"/>
  <c r="U124" i="1"/>
  <c r="S124" i="1"/>
  <c r="U123" i="1"/>
  <c r="S123" i="1"/>
  <c r="U122" i="1"/>
  <c r="S122" i="1"/>
  <c r="U121" i="1"/>
  <c r="S121" i="1"/>
  <c r="U120" i="1"/>
  <c r="S120" i="1"/>
  <c r="U118" i="1"/>
  <c r="S118" i="1"/>
  <c r="P118" i="1"/>
  <c r="U115" i="1"/>
  <c r="S115" i="1"/>
  <c r="U114" i="1"/>
  <c r="S114" i="1"/>
  <c r="U113" i="1"/>
  <c r="S113" i="1"/>
  <c r="U112" i="1"/>
  <c r="S112" i="1"/>
  <c r="U111" i="1"/>
  <c r="S111" i="1"/>
  <c r="U110" i="1"/>
  <c r="S110" i="1"/>
  <c r="U109" i="1"/>
  <c r="S109" i="1"/>
  <c r="U108" i="1"/>
  <c r="S108" i="1"/>
  <c r="U107" i="1"/>
  <c r="S107" i="1"/>
  <c r="U106" i="1"/>
  <c r="S106" i="1"/>
  <c r="U105" i="1"/>
  <c r="S105" i="1"/>
  <c r="U104" i="1"/>
  <c r="S104" i="1"/>
  <c r="U103" i="1"/>
  <c r="S103" i="1"/>
  <c r="U102" i="1"/>
  <c r="S102" i="1"/>
  <c r="U101" i="1"/>
  <c r="S101" i="1"/>
  <c r="U100" i="1"/>
  <c r="S100" i="1"/>
  <c r="U99" i="1"/>
  <c r="S99" i="1"/>
  <c r="U98" i="1"/>
  <c r="S98" i="1"/>
  <c r="U97" i="1"/>
  <c r="S97" i="1"/>
  <c r="U96" i="1"/>
  <c r="S96" i="1"/>
  <c r="U95" i="1"/>
  <c r="S95" i="1"/>
  <c r="U93" i="1"/>
  <c r="S93" i="1"/>
  <c r="U92" i="1"/>
  <c r="S92" i="1"/>
  <c r="P92" i="1"/>
  <c r="U91" i="1"/>
  <c r="S91" i="1"/>
  <c r="U89" i="1"/>
  <c r="S89" i="1"/>
  <c r="U88" i="1"/>
  <c r="S88" i="1"/>
  <c r="U87" i="1"/>
  <c r="S87" i="1"/>
  <c r="U85" i="1"/>
  <c r="S85" i="1"/>
  <c r="U83" i="1"/>
  <c r="S83" i="1"/>
  <c r="U82" i="1"/>
  <c r="S82" i="1"/>
  <c r="U81" i="1"/>
  <c r="S81" i="1"/>
  <c r="U80" i="1"/>
  <c r="S80" i="1"/>
  <c r="P80" i="1"/>
  <c r="L80" i="1"/>
  <c r="U79" i="1"/>
  <c r="S79" i="1"/>
  <c r="P79" i="1"/>
  <c r="U78" i="1"/>
  <c r="P78" i="1"/>
  <c r="U77" i="1"/>
  <c r="S77" i="1"/>
  <c r="U76" i="1"/>
  <c r="S76" i="1"/>
  <c r="U73" i="1"/>
  <c r="U72" i="1"/>
  <c r="U71" i="1"/>
  <c r="S71" i="1"/>
  <c r="P71" i="1"/>
  <c r="U70" i="1"/>
  <c r="S70" i="1"/>
  <c r="P70" i="1"/>
  <c r="U69" i="1"/>
  <c r="S69" i="1"/>
  <c r="U68" i="1"/>
  <c r="S68" i="1"/>
  <c r="U67" i="1"/>
  <c r="S67" i="1"/>
  <c r="P67" i="1"/>
  <c r="U66" i="1"/>
  <c r="S66" i="1"/>
  <c r="U65" i="1"/>
  <c r="S65" i="1"/>
  <c r="U64" i="1"/>
  <c r="S64" i="1"/>
  <c r="U63" i="1"/>
  <c r="S63" i="1"/>
  <c r="U62" i="1"/>
  <c r="S62" i="1"/>
  <c r="U61" i="1"/>
  <c r="S61" i="1"/>
  <c r="U60" i="1"/>
  <c r="S60" i="1"/>
  <c r="U59" i="1"/>
  <c r="S59" i="1"/>
  <c r="U58" i="1"/>
  <c r="S58" i="1"/>
  <c r="U56" i="1"/>
  <c r="U55" i="1"/>
  <c r="U54" i="1"/>
  <c r="U53" i="1"/>
  <c r="U51" i="1"/>
  <c r="S51" i="1"/>
  <c r="U50" i="1"/>
  <c r="S50" i="1"/>
  <c r="U49" i="1"/>
  <c r="S49" i="1"/>
  <c r="U48" i="1"/>
  <c r="S48" i="1"/>
  <c r="U47" i="1"/>
  <c r="S47" i="1"/>
  <c r="U46" i="1"/>
  <c r="S46" i="1"/>
  <c r="U45" i="1"/>
  <c r="U44" i="1"/>
  <c r="S44" i="1"/>
  <c r="U43" i="1"/>
  <c r="U41" i="1"/>
  <c r="S41" i="1"/>
  <c r="U40" i="1"/>
  <c r="S40" i="1"/>
  <c r="U39" i="1"/>
  <c r="S39" i="1"/>
  <c r="U14" i="1"/>
  <c r="U13" i="1" s="1"/>
  <c r="S14" i="1"/>
  <c r="S13" i="1" s="1"/>
  <c r="U37" i="1"/>
  <c r="S37" i="1"/>
  <c r="P37" i="1"/>
  <c r="U36" i="1"/>
  <c r="S36" i="1"/>
  <c r="U35" i="1"/>
  <c r="S35" i="1"/>
  <c r="U33" i="1"/>
  <c r="S33" i="1"/>
  <c r="U31" i="1"/>
  <c r="S31" i="1"/>
  <c r="P31" i="1"/>
  <c r="U30" i="1"/>
  <c r="S30" i="1"/>
  <c r="U29" i="1"/>
  <c r="S29" i="1"/>
  <c r="P29" i="1"/>
  <c r="U28" i="1"/>
  <c r="S28" i="1"/>
  <c r="U27" i="1"/>
  <c r="U26" i="1"/>
  <c r="U25" i="1"/>
  <c r="S25" i="1"/>
  <c r="U23" i="1"/>
  <c r="S23" i="1"/>
  <c r="U22" i="1"/>
  <c r="S22" i="1"/>
  <c r="U21" i="1"/>
  <c r="S21" i="1"/>
  <c r="U20" i="1"/>
  <c r="S20" i="1"/>
  <c r="U19" i="1"/>
  <c r="S19" i="1"/>
  <c r="U18" i="1"/>
  <c r="U17" i="1"/>
  <c r="S17" i="1"/>
  <c r="U16" i="1"/>
  <c r="S16" i="1"/>
  <c r="I27" i="17"/>
  <c r="I80" i="17" s="1"/>
  <c r="I79" i="17" s="1"/>
  <c r="H27" i="17"/>
  <c r="H80" i="17" s="1"/>
  <c r="H79" i="17" s="1"/>
  <c r="F27" i="17"/>
  <c r="F26" i="17" s="1"/>
  <c r="I24" i="17"/>
  <c r="I77" i="17" s="1"/>
  <c r="H24" i="17"/>
  <c r="H77" i="17" s="1"/>
  <c r="I23" i="17"/>
  <c r="I76" i="17" s="1"/>
  <c r="H23" i="17"/>
  <c r="H76" i="17" s="1"/>
  <c r="I21" i="17"/>
  <c r="I74" i="17" s="1"/>
  <c r="H21" i="17"/>
  <c r="H74" i="17" s="1"/>
  <c r="I20" i="17"/>
  <c r="I73" i="17" s="1"/>
  <c r="H20" i="17"/>
  <c r="H73" i="17" s="1"/>
  <c r="I19" i="17"/>
  <c r="I72" i="17" s="1"/>
  <c r="H19" i="17"/>
  <c r="H72" i="17" s="1"/>
  <c r="I18" i="17"/>
  <c r="H18" i="17"/>
  <c r="H71" i="17" s="1"/>
  <c r="I17" i="17"/>
  <c r="I70" i="17" s="1"/>
  <c r="H17" i="17"/>
  <c r="H70" i="17" s="1"/>
  <c r="I16" i="17"/>
  <c r="I69" i="17" s="1"/>
  <c r="H16" i="17"/>
  <c r="H69" i="17" s="1"/>
  <c r="I15" i="17"/>
  <c r="I68" i="17" s="1"/>
  <c r="H15" i="17"/>
  <c r="H68" i="17" s="1"/>
  <c r="I14" i="17"/>
  <c r="I67" i="17" s="1"/>
  <c r="H14" i="17"/>
  <c r="H67" i="17" s="1"/>
  <c r="I12" i="17"/>
  <c r="I65" i="17" s="1"/>
  <c r="H12" i="17"/>
  <c r="H65" i="17" s="1"/>
  <c r="I11" i="17"/>
  <c r="I64" i="17" s="1"/>
  <c r="H11" i="17"/>
  <c r="H64" i="17" s="1"/>
  <c r="I10" i="17"/>
  <c r="H10" i="17"/>
  <c r="H63" i="17" s="1"/>
  <c r="I8" i="17"/>
  <c r="I61" i="17" s="1"/>
  <c r="I60" i="17" s="1"/>
  <c r="H8" i="17"/>
  <c r="H7" i="17" s="1"/>
  <c r="O351" i="23" l="1"/>
  <c r="O350" i="23" s="1"/>
  <c r="L210" i="1"/>
  <c r="H6" i="30"/>
  <c r="I5" i="30" s="1"/>
  <c r="I73" i="30"/>
  <c r="S100" i="3"/>
  <c r="U100" i="3"/>
  <c r="R17" i="35"/>
  <c r="AB17" i="35" s="1"/>
  <c r="I53" i="30"/>
  <c r="L379" i="23"/>
  <c r="P351" i="23"/>
  <c r="P350" i="23" s="1"/>
  <c r="R351" i="23"/>
  <c r="R350" i="23" s="1"/>
  <c r="M12" i="21"/>
  <c r="K9" i="19"/>
  <c r="K8" i="19"/>
  <c r="Q9" i="21"/>
  <c r="AC9" i="21" s="1"/>
  <c r="U38" i="1"/>
  <c r="S38" i="1"/>
  <c r="AB240" i="48"/>
  <c r="L207" i="55" s="1"/>
  <c r="P207" i="55" s="1"/>
  <c r="O81" i="23"/>
  <c r="R257" i="23"/>
  <c r="O82" i="23"/>
  <c r="S82" i="23" s="1"/>
  <c r="U82" i="23" s="1"/>
  <c r="AB81" i="48"/>
  <c r="L74" i="55" s="1"/>
  <c r="P74" i="55" s="1"/>
  <c r="O83" i="23"/>
  <c r="S83" i="23" s="1"/>
  <c r="U83" i="23" s="1"/>
  <c r="AB82" i="48"/>
  <c r="L75" i="55" s="1"/>
  <c r="P75" i="55" s="1"/>
  <c r="O23" i="23"/>
  <c r="H4" i="44"/>
  <c r="S7" i="11"/>
  <c r="X7" i="11" s="1"/>
  <c r="AD7" i="11" s="1"/>
  <c r="AI7" i="11" s="1"/>
  <c r="AK7" i="11" s="1"/>
  <c r="M14" i="11"/>
  <c r="L58" i="45"/>
  <c r="M58" i="45" s="1"/>
  <c r="L56" i="45"/>
  <c r="M56" i="45" s="1"/>
  <c r="G11" i="4"/>
  <c r="H11" i="4" s="1"/>
  <c r="K11" i="4" s="1"/>
  <c r="F14" i="4"/>
  <c r="H15" i="4"/>
  <c r="I15" i="4" s="1"/>
  <c r="G26" i="9"/>
  <c r="G27" i="9" s="1"/>
  <c r="G16" i="4"/>
  <c r="H16" i="4" s="1"/>
  <c r="K16" i="4" s="1"/>
  <c r="F17" i="4"/>
  <c r="G8" i="4"/>
  <c r="H8" i="4" s="1"/>
  <c r="I8" i="4" s="1"/>
  <c r="J8" i="4" s="1"/>
  <c r="K8" i="4" s="1"/>
  <c r="L8" i="4" s="1"/>
  <c r="N8" i="4" s="1"/>
  <c r="F9" i="4"/>
  <c r="H18" i="4"/>
  <c r="I18" i="4" s="1"/>
  <c r="G24" i="4"/>
  <c r="H10" i="4"/>
  <c r="U223" i="1"/>
  <c r="P223" i="1"/>
  <c r="S223" i="1"/>
  <c r="T223" i="1"/>
  <c r="I83" i="8"/>
  <c r="M7" i="15"/>
  <c r="AA21" i="35"/>
  <c r="T171" i="1"/>
  <c r="U171" i="1"/>
  <c r="S171" i="1"/>
  <c r="M10" i="34"/>
  <c r="R20" i="35"/>
  <c r="W20" i="35" s="1"/>
  <c r="Y20" i="35" s="1"/>
  <c r="F4" i="13"/>
  <c r="R6" i="15"/>
  <c r="L66" i="25"/>
  <c r="L4" i="44"/>
  <c r="I19" i="34"/>
  <c r="AB16" i="35"/>
  <c r="R11" i="15"/>
  <c r="S11" i="15" s="1"/>
  <c r="U11" i="15" s="1"/>
  <c r="Q28" i="19" s="1"/>
  <c r="N10" i="19"/>
  <c r="G24" i="19" s="1"/>
  <c r="P24" i="19" s="1"/>
  <c r="R7" i="15"/>
  <c r="P345" i="23"/>
  <c r="F15" i="39"/>
  <c r="V11" i="12"/>
  <c r="AA11" i="12" s="1"/>
  <c r="CR25" i="11"/>
  <c r="R10" i="15"/>
  <c r="V10" i="12"/>
  <c r="J83" i="8"/>
  <c r="M11" i="10"/>
  <c r="M30" i="10" s="1"/>
  <c r="S20" i="11"/>
  <c r="S21" i="11"/>
  <c r="AD21" i="11" s="1"/>
  <c r="AO21" i="11" s="1"/>
  <c r="CI25" i="11"/>
  <c r="AO8" i="11"/>
  <c r="AT8" i="11" s="1"/>
  <c r="BV8" i="11" s="1"/>
  <c r="S12" i="11"/>
  <c r="X12" i="11" s="1"/>
  <c r="AD12" i="11" s="1"/>
  <c r="AI12" i="11" s="1"/>
  <c r="AK12" i="11" s="1"/>
  <c r="O20" i="11"/>
  <c r="BZ46" i="11"/>
  <c r="CI26" i="11"/>
  <c r="L240" i="31"/>
  <c r="E15" i="39"/>
  <c r="R16" i="35"/>
  <c r="W16" i="35" s="1"/>
  <c r="M22" i="35"/>
  <c r="P256" i="23"/>
  <c r="M24" i="11"/>
  <c r="S24" i="11" s="1"/>
  <c r="X24" i="11" s="1"/>
  <c r="Z24" i="11" s="1"/>
  <c r="I7" i="38"/>
  <c r="I6" i="38" s="1"/>
  <c r="I4" i="38" s="1"/>
  <c r="AE21" i="35"/>
  <c r="AM13" i="12"/>
  <c r="M10" i="15"/>
  <c r="M8" i="15"/>
  <c r="L6" i="25"/>
  <c r="L5" i="25" s="1"/>
  <c r="I11" i="34"/>
  <c r="J11" i="34" s="1"/>
  <c r="J12" i="34" s="1"/>
  <c r="J21" i="34" s="1"/>
  <c r="N14" i="19"/>
  <c r="G28" i="19" s="1"/>
  <c r="P28" i="19" s="1"/>
  <c r="N35" i="26"/>
  <c r="R8" i="15"/>
  <c r="F108" i="24"/>
  <c r="G15" i="39"/>
  <c r="AG17" i="35"/>
  <c r="AI17" i="35" s="1"/>
  <c r="K13" i="4"/>
  <c r="I13" i="4"/>
  <c r="L19" i="4"/>
  <c r="N19" i="4" s="1"/>
  <c r="J19" i="4"/>
  <c r="P316" i="23"/>
  <c r="S316" i="23" s="1"/>
  <c r="U316" i="23" s="1"/>
  <c r="Q241" i="23"/>
  <c r="M114" i="24"/>
  <c r="Q327" i="23" s="1"/>
  <c r="S327" i="23" s="1"/>
  <c r="U327" i="23" s="1"/>
  <c r="L91" i="25"/>
  <c r="L12" i="15"/>
  <c r="N315" i="23"/>
  <c r="H7" i="4"/>
  <c r="K19" i="4"/>
  <c r="AD20" i="11"/>
  <c r="AX20" i="11" s="1"/>
  <c r="R8" i="35"/>
  <c r="W8" i="35" s="1"/>
  <c r="AB8" i="35" s="1"/>
  <c r="AG8" i="35" s="1"/>
  <c r="AI8" i="35" s="1"/>
  <c r="AF21" i="35"/>
  <c r="AM17" i="12"/>
  <c r="U241" i="1"/>
  <c r="O11" i="21"/>
  <c r="O12" i="21" s="1"/>
  <c r="R9" i="15"/>
  <c r="J13" i="19"/>
  <c r="N13" i="19" s="1"/>
  <c r="G27" i="19" s="1"/>
  <c r="P27" i="19" s="1"/>
  <c r="CC26" i="11"/>
  <c r="CB31" i="11" s="1"/>
  <c r="R9" i="35"/>
  <c r="W9" i="35" s="1"/>
  <c r="AB9" i="35" s="1"/>
  <c r="AG9" i="35" s="1"/>
  <c r="AI9" i="35" s="1"/>
  <c r="W17" i="35"/>
  <c r="Y17" i="35" s="1"/>
  <c r="H7" i="38"/>
  <c r="H6" i="38" s="1"/>
  <c r="BD22" i="11"/>
  <c r="M18" i="35"/>
  <c r="R18" i="35" s="1"/>
  <c r="Q7" i="21"/>
  <c r="AC7" i="21" s="1"/>
  <c r="I3" i="44"/>
  <c r="J3" i="44"/>
  <c r="AH27" i="11"/>
  <c r="O25" i="11"/>
  <c r="R7" i="35"/>
  <c r="W7" i="35" s="1"/>
  <c r="AB7" i="35" s="1"/>
  <c r="AG7" i="35" s="1"/>
  <c r="AI7" i="35" s="1"/>
  <c r="R10" i="35"/>
  <c r="W10" i="35" s="1"/>
  <c r="Y10" i="35" s="1"/>
  <c r="Q12" i="15"/>
  <c r="U251" i="23"/>
  <c r="F81" i="25" s="1"/>
  <c r="F62" i="30" s="1"/>
  <c r="N11" i="19"/>
  <c r="G25" i="19" s="1"/>
  <c r="P25" i="19" s="1"/>
  <c r="L3" i="44"/>
  <c r="I12" i="4"/>
  <c r="AD21" i="35"/>
  <c r="AE8" i="16"/>
  <c r="AF8" i="16" s="1"/>
  <c r="J26" i="39"/>
  <c r="I11" i="39"/>
  <c r="K11" i="39" s="1"/>
  <c r="K12" i="39"/>
  <c r="AE8" i="33"/>
  <c r="R15" i="23"/>
  <c r="S15" i="23" s="1"/>
  <c r="U15" i="23" s="1"/>
  <c r="M124" i="24"/>
  <c r="F16" i="8"/>
  <c r="F18" i="8"/>
  <c r="H23" i="8" s="1"/>
  <c r="H25" i="8" s="1"/>
  <c r="H26" i="8" s="1"/>
  <c r="H21" i="34"/>
  <c r="H22" i="34" s="1"/>
  <c r="AB6" i="35"/>
  <c r="AG6" i="35" s="1"/>
  <c r="AI6" i="35" s="1"/>
  <c r="Y6" i="35"/>
  <c r="M126" i="24"/>
  <c r="R73" i="23"/>
  <c r="S73" i="23" s="1"/>
  <c r="U73" i="23" s="1"/>
  <c r="I20" i="4"/>
  <c r="K20" i="4"/>
  <c r="S19" i="35"/>
  <c r="W19" i="35" s="1"/>
  <c r="Y19" i="35" s="1"/>
  <c r="AB19" i="35"/>
  <c r="I21" i="4"/>
  <c r="K21" i="4"/>
  <c r="J9" i="34"/>
  <c r="J18" i="34" s="1"/>
  <c r="I81" i="30"/>
  <c r="I84" i="30" s="1"/>
  <c r="J84" i="8"/>
  <c r="I84" i="8"/>
  <c r="J19" i="34"/>
  <c r="N10" i="34"/>
  <c r="K10" i="34"/>
  <c r="K23" i="4"/>
  <c r="I23" i="4"/>
  <c r="Q16" i="33"/>
  <c r="I9" i="34"/>
  <c r="I18" i="34" s="1"/>
  <c r="BB27" i="11"/>
  <c r="BA21" i="11"/>
  <c r="BA24" i="11"/>
  <c r="O6" i="35"/>
  <c r="AH23" i="12"/>
  <c r="N21" i="26"/>
  <c r="I4" i="44"/>
  <c r="I82" i="8"/>
  <c r="Q256" i="23"/>
  <c r="K9" i="39"/>
  <c r="J4" i="44"/>
  <c r="K161" i="44"/>
  <c r="K3" i="44" s="1"/>
  <c r="P1" i="44" s="1"/>
  <c r="I10" i="10"/>
  <c r="I23" i="10" s="1"/>
  <c r="X8" i="16"/>
  <c r="Y8" i="16" s="1"/>
  <c r="E119" i="24"/>
  <c r="E23" i="42"/>
  <c r="AE10" i="16"/>
  <c r="AF10" i="16" s="1"/>
  <c r="AG39" i="12"/>
  <c r="AM18" i="12" s="1"/>
  <c r="X7" i="16"/>
  <c r="Y7" i="16" s="1"/>
  <c r="T6" i="15"/>
  <c r="I22" i="4"/>
  <c r="M47" i="42"/>
  <c r="M49" i="42" s="1"/>
  <c r="H57" i="42" s="1"/>
  <c r="I30" i="10"/>
  <c r="O19" i="35"/>
  <c r="AA20" i="12"/>
  <c r="T5" i="15"/>
  <c r="T9" i="15"/>
  <c r="AM16" i="12"/>
  <c r="V19" i="12"/>
  <c r="AA19" i="12" s="1"/>
  <c r="X11" i="16"/>
  <c r="Y11" i="16" s="1"/>
  <c r="AY22" i="11"/>
  <c r="AG16" i="35"/>
  <c r="F14" i="24"/>
  <c r="J7" i="24"/>
  <c r="N352" i="23" s="1"/>
  <c r="T214" i="1"/>
  <c r="AC6" i="21"/>
  <c r="J12" i="10"/>
  <c r="I31" i="10"/>
  <c r="I25" i="10"/>
  <c r="M12" i="10"/>
  <c r="H13" i="10"/>
  <c r="J11" i="10"/>
  <c r="I24" i="10"/>
  <c r="J25" i="8"/>
  <c r="J26" i="8" s="1"/>
  <c r="G76" i="8"/>
  <c r="G75" i="8" s="1"/>
  <c r="G78" i="8" s="1"/>
  <c r="G79" i="8" s="1"/>
  <c r="F75" i="8"/>
  <c r="H76" i="8"/>
  <c r="H75" i="8" s="1"/>
  <c r="H78" i="8" s="1"/>
  <c r="H79" i="8" s="1"/>
  <c r="F44" i="8"/>
  <c r="F64" i="8"/>
  <c r="O8" i="11"/>
  <c r="CC13" i="11"/>
  <c r="AF27" i="11"/>
  <c r="BC21" i="11"/>
  <c r="BC27" i="11" s="1"/>
  <c r="BA22" i="11"/>
  <c r="O12" i="15"/>
  <c r="BV12" i="11"/>
  <c r="CJ12" i="11" s="1"/>
  <c r="CK13" i="11"/>
  <c r="CQ13" i="11" s="1"/>
  <c r="CT13" i="11" s="1"/>
  <c r="AN20" i="11"/>
  <c r="AC27" i="11"/>
  <c r="BD24" i="11"/>
  <c r="BY43" i="11"/>
  <c r="BY45" i="11" s="1"/>
  <c r="BY46" i="11" s="1"/>
  <c r="S11" i="11"/>
  <c r="X11" i="11" s="1"/>
  <c r="AD11" i="11" s="1"/>
  <c r="AI11" i="11" s="1"/>
  <c r="AK11" i="11" s="1"/>
  <c r="CI12" i="11"/>
  <c r="CI14" i="11" s="1"/>
  <c r="AD8" i="11"/>
  <c r="AI8" i="11" s="1"/>
  <c r="Z8" i="11"/>
  <c r="AZ11" i="11"/>
  <c r="BE11" i="11" s="1"/>
  <c r="BG11" i="11" s="1"/>
  <c r="AV11" i="11"/>
  <c r="BV11" i="11"/>
  <c r="CB25" i="11"/>
  <c r="CC12" i="11"/>
  <c r="AD22" i="11"/>
  <c r="X22" i="11"/>
  <c r="Z22" i="11" s="1"/>
  <c r="AD25" i="11"/>
  <c r="T25" i="11"/>
  <c r="X25" i="11" s="1"/>
  <c r="Z25" i="11" s="1"/>
  <c r="Z9" i="11"/>
  <c r="AD9" i="11"/>
  <c r="AI9" i="11" s="1"/>
  <c r="AK9" i="11" s="1"/>
  <c r="AO7" i="11"/>
  <c r="AS21" i="11"/>
  <c r="AQ22" i="11"/>
  <c r="BY22" i="11" s="1"/>
  <c r="AN24" i="11"/>
  <c r="AS25" i="11"/>
  <c r="CA25" i="11" s="1"/>
  <c r="AG27" i="11"/>
  <c r="O7" i="11"/>
  <c r="O11" i="11"/>
  <c r="AR20" i="11"/>
  <c r="BD21" i="11"/>
  <c r="O22" i="11"/>
  <c r="AR22" i="11"/>
  <c r="BZ22" i="11" s="1"/>
  <c r="P12" i="15"/>
  <c r="AO9" i="11"/>
  <c r="AT9" i="11" s="1"/>
  <c r="AN21" i="11"/>
  <c r="AQ24" i="11"/>
  <c r="BY24" i="11" s="1"/>
  <c r="AN25" i="11"/>
  <c r="O9" i="11"/>
  <c r="CD13" i="11"/>
  <c r="CD26" i="11" s="1"/>
  <c r="AY21" i="11"/>
  <c r="AR24" i="11"/>
  <c r="BZ24" i="11" s="1"/>
  <c r="X20" i="11"/>
  <c r="AO12" i="11"/>
  <c r="AT12" i="11" s="1"/>
  <c r="AQ21" i="11"/>
  <c r="BY21" i="11" s="1"/>
  <c r="AQ25" i="11"/>
  <c r="BY25" i="11" s="1"/>
  <c r="AP20" i="11"/>
  <c r="AR25" i="11"/>
  <c r="BZ25" i="11" s="1"/>
  <c r="R214" i="1"/>
  <c r="V140" i="1"/>
  <c r="V8" i="12"/>
  <c r="Q90" i="1"/>
  <c r="Q84" i="1"/>
  <c r="R90" i="1"/>
  <c r="Q144" i="1"/>
  <c r="R232" i="1"/>
  <c r="R8" i="1"/>
  <c r="R144" i="1"/>
  <c r="O232" i="1"/>
  <c r="N52" i="1"/>
  <c r="T236" i="1"/>
  <c r="O52" i="1"/>
  <c r="N144" i="1"/>
  <c r="Q214" i="1"/>
  <c r="Q213" i="1" s="1"/>
  <c r="Q119" i="1"/>
  <c r="O144" i="1"/>
  <c r="S331" i="23"/>
  <c r="U331" i="23" s="1"/>
  <c r="S335" i="23"/>
  <c r="U335" i="23" s="1"/>
  <c r="L116" i="3"/>
  <c r="L371" i="48" s="1"/>
  <c r="S358" i="23"/>
  <c r="S213" i="23"/>
  <c r="U213" i="23" s="1"/>
  <c r="J373" i="23"/>
  <c r="J375" i="23"/>
  <c r="J377" i="23"/>
  <c r="S41" i="23"/>
  <c r="U41" i="23" s="1"/>
  <c r="S49" i="23"/>
  <c r="U49" i="23" s="1"/>
  <c r="S215" i="23"/>
  <c r="U215" i="23" s="1"/>
  <c r="S219" i="23"/>
  <c r="U219" i="23" s="1"/>
  <c r="S223" i="23"/>
  <c r="U223" i="23" s="1"/>
  <c r="S239" i="23"/>
  <c r="U239" i="23" s="1"/>
  <c r="K205" i="31" s="1"/>
  <c r="L205" i="31" s="1"/>
  <c r="S254" i="23"/>
  <c r="U254" i="23" s="1"/>
  <c r="S269" i="23"/>
  <c r="U269" i="23" s="1"/>
  <c r="S285" i="23"/>
  <c r="U285" i="23" s="1"/>
  <c r="S289" i="23"/>
  <c r="U289" i="23" s="1"/>
  <c r="S306" i="23"/>
  <c r="U306" i="23" s="1"/>
  <c r="S310" i="23"/>
  <c r="U310" i="23" s="1"/>
  <c r="S314" i="23"/>
  <c r="U314" i="23" s="1"/>
  <c r="S318" i="23"/>
  <c r="U318" i="23" s="1"/>
  <c r="S322" i="23"/>
  <c r="U322" i="23" s="1"/>
  <c r="S16" i="23"/>
  <c r="U16" i="23" s="1"/>
  <c r="S76" i="23"/>
  <c r="U76" i="23" s="1"/>
  <c r="S88" i="23"/>
  <c r="U88" i="23" s="1"/>
  <c r="S92" i="23"/>
  <c r="U92" i="23" s="1"/>
  <c r="S104" i="23"/>
  <c r="U104" i="23" s="1"/>
  <c r="S124" i="23"/>
  <c r="U124" i="23" s="1"/>
  <c r="S246" i="23"/>
  <c r="U246" i="23" s="1"/>
  <c r="S218" i="23"/>
  <c r="U218" i="23" s="1"/>
  <c r="S222" i="23"/>
  <c r="U222" i="23" s="1"/>
  <c r="S226" i="23"/>
  <c r="U226" i="23" s="1"/>
  <c r="S102" i="23"/>
  <c r="U102" i="23" s="1"/>
  <c r="U214" i="1"/>
  <c r="V47" i="3"/>
  <c r="T94" i="1"/>
  <c r="Q94" i="1"/>
  <c r="T232" i="1"/>
  <c r="N75" i="1"/>
  <c r="T75" i="1"/>
  <c r="R42" i="1"/>
  <c r="O15" i="1"/>
  <c r="Q57" i="1"/>
  <c r="O75" i="1"/>
  <c r="T149" i="1"/>
  <c r="O8" i="1"/>
  <c r="Q15" i="1"/>
  <c r="R15" i="1"/>
  <c r="N42" i="1"/>
  <c r="N90" i="1"/>
  <c r="O119" i="1"/>
  <c r="T144" i="1"/>
  <c r="N214" i="1"/>
  <c r="V48" i="3"/>
  <c r="S43" i="23"/>
  <c r="U43" i="23" s="1"/>
  <c r="S51" i="23"/>
  <c r="U51" i="23" s="1"/>
  <c r="S55" i="23"/>
  <c r="U55" i="23" s="1"/>
  <c r="S229" i="23"/>
  <c r="U229" i="23" s="1"/>
  <c r="Q8" i="1"/>
  <c r="Q52" i="1"/>
  <c r="T57" i="1"/>
  <c r="R57" i="1"/>
  <c r="O84" i="1"/>
  <c r="N84" i="1"/>
  <c r="O90" i="1"/>
  <c r="O94" i="1"/>
  <c r="Q149" i="1"/>
  <c r="O149" i="1"/>
  <c r="O214" i="1"/>
  <c r="O213" i="1" s="1"/>
  <c r="Q232" i="1"/>
  <c r="S98" i="23"/>
  <c r="U98" i="23" s="1"/>
  <c r="S244" i="23"/>
  <c r="U244" i="23" s="1"/>
  <c r="U149" i="1"/>
  <c r="V225" i="1"/>
  <c r="V51" i="3"/>
  <c r="V123" i="3"/>
  <c r="S109" i="23"/>
  <c r="U109" i="23" s="1"/>
  <c r="F37" i="25" s="1"/>
  <c r="S117" i="23"/>
  <c r="U117" i="23" s="1"/>
  <c r="S121" i="23"/>
  <c r="U121" i="23" s="1"/>
  <c r="K102" i="31" s="1"/>
  <c r="L102" i="31" s="1"/>
  <c r="S126" i="23"/>
  <c r="U126" i="23" s="1"/>
  <c r="S235" i="23"/>
  <c r="U235" i="23" s="1"/>
  <c r="S260" i="23"/>
  <c r="U260" i="23" s="1"/>
  <c r="S268" i="23"/>
  <c r="U268" i="23" s="1"/>
  <c r="S233" i="23"/>
  <c r="U233" i="23" s="1"/>
  <c r="S237" i="23"/>
  <c r="U237" i="23" s="1"/>
  <c r="S259" i="23"/>
  <c r="U259" i="23" s="1"/>
  <c r="S267" i="23"/>
  <c r="U267" i="23" s="1"/>
  <c r="S79" i="23"/>
  <c r="U79" i="23" s="1"/>
  <c r="S87" i="23"/>
  <c r="U87" i="23" s="1"/>
  <c r="S91" i="23"/>
  <c r="U91" i="23" s="1"/>
  <c r="S95" i="23"/>
  <c r="U95" i="23" s="1"/>
  <c r="F38" i="25" s="1"/>
  <c r="S188" i="23"/>
  <c r="U188" i="23" s="1"/>
  <c r="S192" i="23"/>
  <c r="U192" i="23" s="1"/>
  <c r="F70" i="25" s="1"/>
  <c r="F56" i="30" s="1"/>
  <c r="S196" i="23"/>
  <c r="U196" i="23" s="1"/>
  <c r="S200" i="23"/>
  <c r="U200" i="23" s="1"/>
  <c r="S204" i="23"/>
  <c r="U204" i="23" s="1"/>
  <c r="S212" i="23"/>
  <c r="U212" i="23" s="1"/>
  <c r="S144" i="1"/>
  <c r="S240" i="23"/>
  <c r="U240" i="23" s="1"/>
  <c r="S258" i="23"/>
  <c r="U258" i="23" s="1"/>
  <c r="U8" i="1"/>
  <c r="I26" i="17"/>
  <c r="V71" i="1"/>
  <c r="T90" i="1"/>
  <c r="S90" i="1"/>
  <c r="V242" i="1"/>
  <c r="S24" i="23"/>
  <c r="U24" i="23" s="1"/>
  <c r="S28" i="23"/>
  <c r="U28" i="23" s="1"/>
  <c r="S40" i="23"/>
  <c r="U40" i="23" s="1"/>
  <c r="S44" i="23"/>
  <c r="U44" i="23" s="1"/>
  <c r="S48" i="23"/>
  <c r="U48" i="23" s="1"/>
  <c r="S52" i="23"/>
  <c r="U52" i="23" s="1"/>
  <c r="S56" i="23"/>
  <c r="U56" i="23" s="1"/>
  <c r="S60" i="23"/>
  <c r="U60" i="23" s="1"/>
  <c r="S64" i="23"/>
  <c r="U64" i="23" s="1"/>
  <c r="S68" i="23"/>
  <c r="U68" i="23" s="1"/>
  <c r="S72" i="23"/>
  <c r="U72" i="23" s="1"/>
  <c r="K61" i="55" s="1"/>
  <c r="M61" i="55" s="1"/>
  <c r="S101" i="23"/>
  <c r="U101" i="23" s="1"/>
  <c r="S191" i="23"/>
  <c r="U191" i="23" s="1"/>
  <c r="S195" i="23"/>
  <c r="U195" i="23" s="1"/>
  <c r="S199" i="23"/>
  <c r="U199" i="23" s="1"/>
  <c r="S203" i="23"/>
  <c r="U203" i="23" s="1"/>
  <c r="S207" i="23"/>
  <c r="U207" i="23" s="1"/>
  <c r="S211" i="23"/>
  <c r="U211" i="23" s="1"/>
  <c r="S232" i="23"/>
  <c r="U232" i="23" s="1"/>
  <c r="S236" i="23"/>
  <c r="U236" i="23" s="1"/>
  <c r="S249" i="23"/>
  <c r="U249" i="23" s="1"/>
  <c r="S276" i="23"/>
  <c r="U276" i="23" s="1"/>
  <c r="S280" i="23"/>
  <c r="U280" i="23" s="1"/>
  <c r="S284" i="23"/>
  <c r="U284" i="23" s="1"/>
  <c r="S288" i="23"/>
  <c r="U288" i="23" s="1"/>
  <c r="S292" i="23"/>
  <c r="U292" i="23" s="1"/>
  <c r="S296" i="23"/>
  <c r="U296" i="23" s="1"/>
  <c r="S309" i="23"/>
  <c r="U309" i="23" s="1"/>
  <c r="S313" i="23"/>
  <c r="U313" i="23" s="1"/>
  <c r="F96" i="25" s="1"/>
  <c r="S317" i="23"/>
  <c r="U317" i="23" s="1"/>
  <c r="S321" i="23"/>
  <c r="U321" i="23" s="1"/>
  <c r="U94" i="1"/>
  <c r="N149" i="1"/>
  <c r="R149" i="1"/>
  <c r="O179" i="1"/>
  <c r="R179" i="1"/>
  <c r="V245" i="1"/>
  <c r="S31" i="23"/>
  <c r="U31" i="23" s="1"/>
  <c r="S39" i="23"/>
  <c r="U39" i="23" s="1"/>
  <c r="S67" i="23"/>
  <c r="U67" i="23" s="1"/>
  <c r="S71" i="23"/>
  <c r="U71" i="23" s="1"/>
  <c r="S100" i="23"/>
  <c r="U100" i="23" s="1"/>
  <c r="S210" i="23"/>
  <c r="U210" i="23" s="1"/>
  <c r="S231" i="23"/>
  <c r="U231" i="23" s="1"/>
  <c r="S279" i="23"/>
  <c r="U279" i="23" s="1"/>
  <c r="S283" i="23"/>
  <c r="U283" i="23" s="1"/>
  <c r="S295" i="23"/>
  <c r="U295" i="23" s="1"/>
  <c r="S337" i="23"/>
  <c r="U337" i="23" s="1"/>
  <c r="V29" i="1"/>
  <c r="N57" i="1"/>
  <c r="U75" i="1"/>
  <c r="I13" i="17"/>
  <c r="O57" i="1"/>
  <c r="Q75" i="1"/>
  <c r="R84" i="1"/>
  <c r="V193" i="1"/>
  <c r="O236" i="1"/>
  <c r="S22" i="23"/>
  <c r="U22" i="23" s="1"/>
  <c r="S38" i="23"/>
  <c r="U38" i="23" s="1"/>
  <c r="S230" i="23"/>
  <c r="U230" i="23" s="1"/>
  <c r="S238" i="23"/>
  <c r="U238" i="23" s="1"/>
  <c r="S270" i="23"/>
  <c r="U270" i="23" s="1"/>
  <c r="S274" i="23"/>
  <c r="U274" i="23" s="1"/>
  <c r="S298" i="23"/>
  <c r="U298" i="23" s="1"/>
  <c r="H62" i="17"/>
  <c r="H101" i="17" s="1"/>
  <c r="H13" i="17"/>
  <c r="T8" i="1"/>
  <c r="T15" i="1"/>
  <c r="R52" i="1"/>
  <c r="R75" i="1"/>
  <c r="U144" i="1"/>
  <c r="V186" i="1"/>
  <c r="N217" i="1"/>
  <c r="V11" i="3"/>
  <c r="S14" i="23"/>
  <c r="U14" i="23" s="1"/>
  <c r="K11" i="55" s="1"/>
  <c r="M11" i="55" s="1"/>
  <c r="S78" i="23"/>
  <c r="U78" i="23" s="1"/>
  <c r="S86" i="23"/>
  <c r="U86" i="23" s="1"/>
  <c r="S103" i="23"/>
  <c r="U103" i="23" s="1"/>
  <c r="S119" i="23"/>
  <c r="U119" i="23" s="1"/>
  <c r="S217" i="23"/>
  <c r="U217" i="23" s="1"/>
  <c r="S221" i="23"/>
  <c r="U221" i="23" s="1"/>
  <c r="S225" i="23"/>
  <c r="U225" i="23" s="1"/>
  <c r="S261" i="23"/>
  <c r="U261" i="23" s="1"/>
  <c r="S265" i="23"/>
  <c r="U265" i="23" s="1"/>
  <c r="I9" i="17"/>
  <c r="T84" i="1"/>
  <c r="T119" i="1"/>
  <c r="T179" i="1"/>
  <c r="Q236" i="1"/>
  <c r="O42" i="1"/>
  <c r="T42" i="1"/>
  <c r="T52" i="1"/>
  <c r="R94" i="1"/>
  <c r="V146" i="1"/>
  <c r="N179" i="1"/>
  <c r="U179" i="1"/>
  <c r="S29" i="23"/>
  <c r="U29" i="23" s="1"/>
  <c r="S37" i="23"/>
  <c r="U37" i="23" s="1"/>
  <c r="S61" i="23"/>
  <c r="U61" i="23" s="1"/>
  <c r="S77" i="23"/>
  <c r="U77" i="23" s="1"/>
  <c r="S85" i="23"/>
  <c r="U85" i="23" s="1"/>
  <c r="S106" i="23"/>
  <c r="U106" i="23" s="1"/>
  <c r="S114" i="23"/>
  <c r="U114" i="23" s="1"/>
  <c r="S220" i="23"/>
  <c r="U220" i="23" s="1"/>
  <c r="S228" i="23"/>
  <c r="U228" i="23" s="1"/>
  <c r="S252" i="23"/>
  <c r="U252" i="23" s="1"/>
  <c r="S255" i="23"/>
  <c r="U255" i="23" s="1"/>
  <c r="S264" i="23"/>
  <c r="U264" i="23" s="1"/>
  <c r="S282" i="23"/>
  <c r="U282" i="23" s="1"/>
  <c r="S303" i="23"/>
  <c r="U303" i="23" s="1"/>
  <c r="K263" i="55" s="1"/>
  <c r="M263" i="55" s="1"/>
  <c r="S253" i="23"/>
  <c r="U253" i="23" s="1"/>
  <c r="S245" i="23"/>
  <c r="U245" i="23" s="1"/>
  <c r="S94" i="23"/>
  <c r="U94" i="23" s="1"/>
  <c r="S113" i="23"/>
  <c r="U113" i="23" s="1"/>
  <c r="U15" i="1"/>
  <c r="S94" i="1"/>
  <c r="V37" i="1"/>
  <c r="H9" i="17"/>
  <c r="U57" i="1"/>
  <c r="S227" i="23"/>
  <c r="U227" i="23" s="1"/>
  <c r="S236" i="1"/>
  <c r="S8" i="1"/>
  <c r="V92" i="1"/>
  <c r="V79" i="1"/>
  <c r="S105" i="23"/>
  <c r="U105" i="23" s="1"/>
  <c r="V133" i="1"/>
  <c r="S119" i="1"/>
  <c r="V9" i="1"/>
  <c r="S266" i="23"/>
  <c r="U266" i="23" s="1"/>
  <c r="U42" i="1"/>
  <c r="U52" i="1"/>
  <c r="S340" i="23"/>
  <c r="U340" i="23" s="1"/>
  <c r="S27" i="23"/>
  <c r="U27" i="23" s="1"/>
  <c r="V10" i="1"/>
  <c r="V70" i="1"/>
  <c r="V80" i="1"/>
  <c r="S84" i="1"/>
  <c r="S149" i="1"/>
  <c r="S214" i="1"/>
  <c r="V226" i="1"/>
  <c r="S26" i="23"/>
  <c r="U26" i="23" s="1"/>
  <c r="S30" i="23"/>
  <c r="U30" i="23" s="1"/>
  <c r="S35" i="23"/>
  <c r="U35" i="23" s="1"/>
  <c r="S90" i="23"/>
  <c r="U90" i="23" s="1"/>
  <c r="S99" i="23"/>
  <c r="U99" i="23" s="1"/>
  <c r="S108" i="23"/>
  <c r="U108" i="23" s="1"/>
  <c r="S118" i="23"/>
  <c r="U118" i="23" s="1"/>
  <c r="S123" i="23"/>
  <c r="U123" i="23" s="1"/>
  <c r="S178" i="23"/>
  <c r="S187" i="23"/>
  <c r="U187" i="23" s="1"/>
  <c r="S190" i="23"/>
  <c r="U190" i="23" s="1"/>
  <c r="S194" i="23"/>
  <c r="U194" i="23" s="1"/>
  <c r="S198" i="23"/>
  <c r="U198" i="23" s="1"/>
  <c r="S202" i="23"/>
  <c r="U202" i="23" s="1"/>
  <c r="S206" i="23"/>
  <c r="U206" i="23" s="1"/>
  <c r="S216" i="23"/>
  <c r="U216" i="23" s="1"/>
  <c r="S250" i="23"/>
  <c r="U250" i="23" s="1"/>
  <c r="K216" i="55" s="1"/>
  <c r="M216" i="55" s="1"/>
  <c r="S278" i="23"/>
  <c r="U278" i="23" s="1"/>
  <c r="S287" i="23"/>
  <c r="U287" i="23" s="1"/>
  <c r="S291" i="23"/>
  <c r="U291" i="23" s="1"/>
  <c r="S348" i="23"/>
  <c r="U348" i="23" s="1"/>
  <c r="K306" i="55" s="1"/>
  <c r="V156" i="1"/>
  <c r="U84" i="1"/>
  <c r="V143" i="1"/>
  <c r="S232" i="1"/>
  <c r="S25" i="23"/>
  <c r="U25" i="23" s="1"/>
  <c r="S42" i="23"/>
  <c r="U42" i="23" s="1"/>
  <c r="S46" i="23"/>
  <c r="U46" i="23" s="1"/>
  <c r="S50" i="23"/>
  <c r="U50" i="23" s="1"/>
  <c r="F16" i="25" s="1"/>
  <c r="F16" i="30" s="1"/>
  <c r="S54" i="23"/>
  <c r="U54" i="23" s="1"/>
  <c r="S59" i="23"/>
  <c r="U59" i="23" s="1"/>
  <c r="S80" i="23"/>
  <c r="U80" i="23" s="1"/>
  <c r="S89" i="23"/>
  <c r="U89" i="23" s="1"/>
  <c r="S93" i="23"/>
  <c r="U93" i="23" s="1"/>
  <c r="S107" i="23"/>
  <c r="U107" i="23" s="1"/>
  <c r="S112" i="23"/>
  <c r="U112" i="23" s="1"/>
  <c r="S122" i="23"/>
  <c r="U122" i="23" s="1"/>
  <c r="S186" i="23"/>
  <c r="U186" i="23" s="1"/>
  <c r="F71" i="25" s="1"/>
  <c r="S189" i="23"/>
  <c r="U189" i="23" s="1"/>
  <c r="S193" i="23"/>
  <c r="U193" i="23" s="1"/>
  <c r="S197" i="23"/>
  <c r="U197" i="23" s="1"/>
  <c r="S201" i="23"/>
  <c r="U201" i="23" s="1"/>
  <c r="S205" i="23"/>
  <c r="U205" i="23" s="1"/>
  <c r="S234" i="23"/>
  <c r="U234" i="23" s="1"/>
  <c r="S277" i="23"/>
  <c r="U277" i="23" s="1"/>
  <c r="S281" i="23"/>
  <c r="U281" i="23" s="1"/>
  <c r="S286" i="23"/>
  <c r="U286" i="23" s="1"/>
  <c r="S290" i="23"/>
  <c r="U290" i="23" s="1"/>
  <c r="S299" i="23"/>
  <c r="U299" i="23" s="1"/>
  <c r="S338" i="23"/>
  <c r="U338" i="23" s="1"/>
  <c r="U119" i="1"/>
  <c r="S11" i="23"/>
  <c r="U11" i="23" s="1"/>
  <c r="S33" i="23"/>
  <c r="U33" i="23" s="1"/>
  <c r="S58" i="23"/>
  <c r="U58" i="23" s="1"/>
  <c r="S66" i="23"/>
  <c r="U66" i="23" s="1"/>
  <c r="S70" i="23"/>
  <c r="U70" i="23" s="1"/>
  <c r="S74" i="23"/>
  <c r="U74" i="23" s="1"/>
  <c r="S84" i="23"/>
  <c r="U84" i="23" s="1"/>
  <c r="S97" i="23"/>
  <c r="U97" i="23" s="1"/>
  <c r="S116" i="23"/>
  <c r="U116" i="23" s="1"/>
  <c r="K71" i="55" s="1"/>
  <c r="S209" i="23"/>
  <c r="U209" i="23" s="1"/>
  <c r="S214" i="23"/>
  <c r="U214" i="23" s="1"/>
  <c r="S224" i="23"/>
  <c r="U224" i="23" s="1"/>
  <c r="S263" i="23"/>
  <c r="U263" i="23" s="1"/>
  <c r="S272" i="23"/>
  <c r="U272" i="23" s="1"/>
  <c r="S294" i="23"/>
  <c r="U294" i="23" s="1"/>
  <c r="S308" i="23"/>
  <c r="U308" i="23" s="1"/>
  <c r="S312" i="23"/>
  <c r="U312" i="23" s="1"/>
  <c r="S320" i="23"/>
  <c r="U320" i="23" s="1"/>
  <c r="V104" i="3"/>
  <c r="H66" i="17"/>
  <c r="V31" i="1"/>
  <c r="V67" i="1"/>
  <c r="U90" i="1"/>
  <c r="V118" i="1"/>
  <c r="V243" i="1"/>
  <c r="S32" i="23"/>
  <c r="U32" i="23" s="1"/>
  <c r="S36" i="23"/>
  <c r="U36" i="23" s="1"/>
  <c r="S45" i="23"/>
  <c r="U45" i="23" s="1"/>
  <c r="S53" i="23"/>
  <c r="U53" i="23" s="1"/>
  <c r="S57" i="23"/>
  <c r="U57" i="23" s="1"/>
  <c r="S65" i="23"/>
  <c r="U65" i="23" s="1"/>
  <c r="S69" i="23"/>
  <c r="U69" i="23" s="1"/>
  <c r="S96" i="23"/>
  <c r="U96" i="23" s="1"/>
  <c r="S110" i="23"/>
  <c r="U110" i="23" s="1"/>
  <c r="S115" i="23"/>
  <c r="U115" i="23" s="1"/>
  <c r="S120" i="23"/>
  <c r="U120" i="23" s="1"/>
  <c r="S208" i="23"/>
  <c r="U208" i="23" s="1"/>
  <c r="S247" i="23"/>
  <c r="U247" i="23" s="1"/>
  <c r="S262" i="23"/>
  <c r="U262" i="23" s="1"/>
  <c r="S271" i="23"/>
  <c r="U271" i="23" s="1"/>
  <c r="S275" i="23"/>
  <c r="U275" i="23" s="1"/>
  <c r="S293" i="23"/>
  <c r="U293" i="23" s="1"/>
  <c r="S297" i="23"/>
  <c r="U297" i="23" s="1"/>
  <c r="S307" i="23"/>
  <c r="U307" i="23" s="1"/>
  <c r="S311" i="23"/>
  <c r="U311" i="23" s="1"/>
  <c r="S319" i="23"/>
  <c r="U319" i="23" s="1"/>
  <c r="S332" i="23"/>
  <c r="U332" i="23" s="1"/>
  <c r="S17" i="23"/>
  <c r="U17" i="23" s="1"/>
  <c r="S20" i="23"/>
  <c r="U20" i="23" s="1"/>
  <c r="S302" i="23"/>
  <c r="U302" i="23" s="1"/>
  <c r="K262" i="55" s="1"/>
  <c r="S342" i="23"/>
  <c r="U342" i="23" s="1"/>
  <c r="S19" i="23"/>
  <c r="U19" i="23" s="1"/>
  <c r="S341" i="23"/>
  <c r="U341" i="23" s="1"/>
  <c r="S18" i="23"/>
  <c r="U18" i="23" s="1"/>
  <c r="S339" i="23"/>
  <c r="U339" i="23" s="1"/>
  <c r="T6" i="16"/>
  <c r="W6" i="16" s="1"/>
  <c r="X6" i="16" s="1"/>
  <c r="H108" i="17"/>
  <c r="H109" i="17" s="1"/>
  <c r="I63" i="17"/>
  <c r="I62" i="17" s="1"/>
  <c r="I101" i="17" s="1"/>
  <c r="T9" i="16"/>
  <c r="I108" i="17"/>
  <c r="I109" i="17" s="1"/>
  <c r="AA6" i="16"/>
  <c r="AD6" i="16" s="1"/>
  <c r="I91" i="17"/>
  <c r="I71" i="17"/>
  <c r="I66" i="17" s="1"/>
  <c r="E23" i="24"/>
  <c r="AA9" i="16"/>
  <c r="AD9" i="16" s="1"/>
  <c r="I7" i="17"/>
  <c r="H26" i="17"/>
  <c r="N8" i="1"/>
  <c r="N15" i="1"/>
  <c r="Q179" i="1"/>
  <c r="V187" i="1"/>
  <c r="N94" i="1"/>
  <c r="V224" i="1"/>
  <c r="V188" i="1"/>
  <c r="V192" i="1"/>
  <c r="F80" i="17"/>
  <c r="F79" i="17" s="1"/>
  <c r="H61" i="17"/>
  <c r="H60" i="17" s="1"/>
  <c r="V169" i="1"/>
  <c r="N221" i="1"/>
  <c r="N236" i="1"/>
  <c r="V116" i="3"/>
  <c r="S133" i="23"/>
  <c r="U133" i="23" s="1"/>
  <c r="S141" i="23"/>
  <c r="U141" i="23" s="1"/>
  <c r="K111" i="31" s="1"/>
  <c r="L111" i="31" s="1"/>
  <c r="P111" i="31" s="1"/>
  <c r="S145" i="23"/>
  <c r="U145" i="23" s="1"/>
  <c r="S149" i="23"/>
  <c r="U149" i="23" s="1"/>
  <c r="S153" i="23"/>
  <c r="U153" i="23" s="1"/>
  <c r="S157" i="23"/>
  <c r="U157" i="23" s="1"/>
  <c r="S161" i="23"/>
  <c r="U161" i="23" s="1"/>
  <c r="S165" i="23"/>
  <c r="U165" i="23" s="1"/>
  <c r="S169" i="23"/>
  <c r="U169" i="23" s="1"/>
  <c r="S173" i="23"/>
  <c r="U173" i="23" s="1"/>
  <c r="K118" i="55" s="1"/>
  <c r="M118" i="55" s="1"/>
  <c r="V114" i="3"/>
  <c r="S132" i="23"/>
  <c r="U132" i="23" s="1"/>
  <c r="S140" i="23"/>
  <c r="U140" i="23" s="1"/>
  <c r="S144" i="23"/>
  <c r="U144" i="23" s="1"/>
  <c r="S148" i="23"/>
  <c r="U148" i="23" s="1"/>
  <c r="S156" i="23"/>
  <c r="U156" i="23" s="1"/>
  <c r="K133" i="55" s="1"/>
  <c r="M133" i="55" s="1"/>
  <c r="S160" i="23"/>
  <c r="U160" i="23" s="1"/>
  <c r="S164" i="23"/>
  <c r="U164" i="23" s="1"/>
  <c r="S168" i="23"/>
  <c r="U168" i="23" s="1"/>
  <c r="S172" i="23"/>
  <c r="U172" i="23" s="1"/>
  <c r="S176" i="23"/>
  <c r="U176" i="23" s="1"/>
  <c r="S273" i="23"/>
  <c r="U273" i="23" s="1"/>
  <c r="S135" i="23"/>
  <c r="U135" i="23" s="1"/>
  <c r="S139" i="23"/>
  <c r="U139" i="23" s="1"/>
  <c r="S155" i="23"/>
  <c r="U155" i="23" s="1"/>
  <c r="S159" i="23"/>
  <c r="U159" i="23" s="1"/>
  <c r="S163" i="23"/>
  <c r="U163" i="23" s="1"/>
  <c r="S167" i="23"/>
  <c r="U167" i="23" s="1"/>
  <c r="S171" i="23"/>
  <c r="U171" i="23" s="1"/>
  <c r="S134" i="23"/>
  <c r="U134" i="23" s="1"/>
  <c r="S138" i="23"/>
  <c r="U138" i="23" s="1"/>
  <c r="S142" i="23"/>
  <c r="U142" i="23" s="1"/>
  <c r="S154" i="23"/>
  <c r="U154" i="23" s="1"/>
  <c r="S158" i="23"/>
  <c r="U158" i="23" s="1"/>
  <c r="S162" i="23"/>
  <c r="U162" i="23" s="1"/>
  <c r="K139" i="55" s="1"/>
  <c r="M139" i="55" s="1"/>
  <c r="S166" i="23"/>
  <c r="U166" i="23" s="1"/>
  <c r="S170" i="23"/>
  <c r="U170" i="23" s="1"/>
  <c r="S174" i="23"/>
  <c r="U174" i="23" s="1"/>
  <c r="S325" i="23"/>
  <c r="U325" i="23" s="1"/>
  <c r="S333" i="23"/>
  <c r="U333" i="23" s="1"/>
  <c r="S248" i="23"/>
  <c r="U248" i="23" s="1"/>
  <c r="S330" i="23"/>
  <c r="U330" i="23" s="1"/>
  <c r="S329" i="23"/>
  <c r="U329" i="23" s="1"/>
  <c r="S328" i="23"/>
  <c r="U328" i="23" s="1"/>
  <c r="S336" i="23"/>
  <c r="U336" i="23" s="1"/>
  <c r="S305" i="23"/>
  <c r="U305" i="23" s="1"/>
  <c r="S326" i="23"/>
  <c r="U326" i="23" s="1"/>
  <c r="S334" i="23"/>
  <c r="U334" i="23" s="1"/>
  <c r="L69" i="45"/>
  <c r="M69" i="45" s="1"/>
  <c r="Y272" i="23" l="1"/>
  <c r="Z272" i="23" s="1"/>
  <c r="Z273" i="23" s="1"/>
  <c r="Y278" i="23"/>
  <c r="Z278" i="23" s="1"/>
  <c r="F19" i="25"/>
  <c r="W96" i="23"/>
  <c r="F36" i="25"/>
  <c r="F34" i="25"/>
  <c r="K82" i="55"/>
  <c r="M82" i="55" s="1"/>
  <c r="AK20" i="11"/>
  <c r="M27" i="11"/>
  <c r="Z7" i="11"/>
  <c r="K101" i="31"/>
  <c r="L101" i="31" s="1"/>
  <c r="L371" i="23"/>
  <c r="I12" i="34"/>
  <c r="I21" i="34" s="1"/>
  <c r="K62" i="55"/>
  <c r="M62" i="55" s="1"/>
  <c r="F35" i="25"/>
  <c r="S7" i="15"/>
  <c r="U7" i="15" s="1"/>
  <c r="Q24" i="19" s="1"/>
  <c r="I11" i="4"/>
  <c r="L11" i="4" s="1"/>
  <c r="N11" i="4" s="1"/>
  <c r="Z12" i="11"/>
  <c r="S257" i="23"/>
  <c r="U257" i="23" s="1"/>
  <c r="K222" i="31" s="1"/>
  <c r="L222" i="31" s="1"/>
  <c r="O24" i="11"/>
  <c r="S27" i="11"/>
  <c r="AD24" i="11"/>
  <c r="H22" i="8"/>
  <c r="U7" i="1"/>
  <c r="N7" i="1"/>
  <c r="O7" i="1"/>
  <c r="T7" i="1"/>
  <c r="R7" i="1"/>
  <c r="K74" i="55"/>
  <c r="M74" i="55" s="1"/>
  <c r="F47" i="25"/>
  <c r="K210" i="55"/>
  <c r="M210" i="55" s="1"/>
  <c r="F78" i="25"/>
  <c r="F18" i="25"/>
  <c r="F18" i="30" s="1"/>
  <c r="K251" i="55"/>
  <c r="M251" i="55" s="1"/>
  <c r="K198" i="55"/>
  <c r="M198" i="55" s="1"/>
  <c r="F26" i="25"/>
  <c r="F27" i="30" s="1"/>
  <c r="K29" i="55"/>
  <c r="M29" i="55" s="1"/>
  <c r="K220" i="31"/>
  <c r="L220" i="31" s="1"/>
  <c r="K222" i="55"/>
  <c r="M222" i="55" s="1"/>
  <c r="K56" i="31"/>
  <c r="L56" i="31" s="1"/>
  <c r="K57" i="55"/>
  <c r="K230" i="31"/>
  <c r="L230" i="31" s="1"/>
  <c r="K232" i="55"/>
  <c r="M232" i="55" s="1"/>
  <c r="K290" i="31"/>
  <c r="L290" i="31" s="1"/>
  <c r="K292" i="55"/>
  <c r="M292" i="55" s="1"/>
  <c r="K289" i="31"/>
  <c r="L289" i="31" s="1"/>
  <c r="K291" i="55"/>
  <c r="M291" i="55" s="1"/>
  <c r="K134" i="31"/>
  <c r="L134" i="31" s="1"/>
  <c r="K135" i="55"/>
  <c r="M135" i="55" s="1"/>
  <c r="K139" i="31"/>
  <c r="L139" i="31" s="1"/>
  <c r="K140" i="55"/>
  <c r="M140" i="55" s="1"/>
  <c r="K278" i="31"/>
  <c r="L278" i="31" s="1"/>
  <c r="K280" i="55"/>
  <c r="M280" i="55" s="1"/>
  <c r="K63" i="31"/>
  <c r="L63" i="31" s="1"/>
  <c r="P63" i="31" s="1"/>
  <c r="K64" i="55"/>
  <c r="F17" i="25"/>
  <c r="F17" i="30" s="1"/>
  <c r="K48" i="55"/>
  <c r="M48" i="55" s="1"/>
  <c r="K187" i="55"/>
  <c r="M187" i="55" s="1"/>
  <c r="K290" i="55"/>
  <c r="M290" i="55" s="1"/>
  <c r="K110" i="31"/>
  <c r="L110" i="31" s="1"/>
  <c r="K112" i="55"/>
  <c r="M112" i="55" s="1"/>
  <c r="K17" i="31"/>
  <c r="L17" i="31" s="1"/>
  <c r="P17" i="31" s="1"/>
  <c r="K18" i="55"/>
  <c r="M18" i="55" s="1"/>
  <c r="K277" i="31"/>
  <c r="L277" i="31" s="1"/>
  <c r="K279" i="55"/>
  <c r="M279" i="55" s="1"/>
  <c r="W247" i="23"/>
  <c r="K213" i="55"/>
  <c r="M213" i="55" s="1"/>
  <c r="K53" i="31"/>
  <c r="L53" i="31" s="1"/>
  <c r="P53" i="31" s="1"/>
  <c r="K54" i="55"/>
  <c r="M54" i="55" s="1"/>
  <c r="K86" i="31"/>
  <c r="L86" i="31" s="1"/>
  <c r="P86" i="31" s="1"/>
  <c r="K90" i="55"/>
  <c r="M90" i="55" s="1"/>
  <c r="K41" i="31"/>
  <c r="L41" i="31" s="1"/>
  <c r="P41" i="31" s="1"/>
  <c r="K42" i="55"/>
  <c r="M42" i="55" s="1"/>
  <c r="K248" i="31"/>
  <c r="L248" i="31" s="1"/>
  <c r="K250" i="55"/>
  <c r="M250" i="55" s="1"/>
  <c r="K283" i="31"/>
  <c r="L283" i="31" s="1"/>
  <c r="K285" i="55"/>
  <c r="M285" i="55" s="1"/>
  <c r="K282" i="31"/>
  <c r="L282" i="31" s="1"/>
  <c r="K284" i="55"/>
  <c r="M284" i="55" s="1"/>
  <c r="K130" i="31"/>
  <c r="L130" i="31" s="1"/>
  <c r="K131" i="55"/>
  <c r="M131" i="55" s="1"/>
  <c r="K135" i="31"/>
  <c r="L135" i="31" s="1"/>
  <c r="K136" i="55"/>
  <c r="M136" i="55" s="1"/>
  <c r="K143" i="31"/>
  <c r="L143" i="31" s="1"/>
  <c r="K144" i="55"/>
  <c r="M144" i="55" s="1"/>
  <c r="K269" i="31"/>
  <c r="L269" i="31" s="1"/>
  <c r="K271" i="55"/>
  <c r="M271" i="55" s="1"/>
  <c r="K180" i="31"/>
  <c r="L180" i="31" s="1"/>
  <c r="K182" i="55"/>
  <c r="M182" i="55" s="1"/>
  <c r="K52" i="31"/>
  <c r="L52" i="31" s="1"/>
  <c r="P52" i="31" s="1"/>
  <c r="K53" i="55"/>
  <c r="M53" i="55" s="1"/>
  <c r="K274" i="31"/>
  <c r="L274" i="31" s="1"/>
  <c r="K276" i="55"/>
  <c r="M276" i="55" s="1"/>
  <c r="K181" i="31"/>
  <c r="L181" i="31" s="1"/>
  <c r="K183" i="55"/>
  <c r="M183" i="55" s="1"/>
  <c r="K31" i="31"/>
  <c r="L31" i="31" s="1"/>
  <c r="K32" i="55"/>
  <c r="M32" i="55" s="1"/>
  <c r="K244" i="31"/>
  <c r="L244" i="31" s="1"/>
  <c r="K246" i="55"/>
  <c r="M246" i="55" s="1"/>
  <c r="K158" i="31"/>
  <c r="L158" i="31" s="1"/>
  <c r="K159" i="55"/>
  <c r="M159" i="55" s="1"/>
  <c r="K49" i="31"/>
  <c r="L49" i="31" s="1"/>
  <c r="P49" i="31" s="1"/>
  <c r="K50" i="55"/>
  <c r="M50" i="55" s="1"/>
  <c r="K178" i="31"/>
  <c r="L178" i="31" s="1"/>
  <c r="K180" i="55"/>
  <c r="M180" i="55" s="1"/>
  <c r="K296" i="31"/>
  <c r="L296" i="31" s="1"/>
  <c r="K298" i="55"/>
  <c r="M298" i="55" s="1"/>
  <c r="K82" i="31"/>
  <c r="L82" i="31" s="1"/>
  <c r="P82" i="31" s="1"/>
  <c r="K86" i="55"/>
  <c r="M86" i="55" s="1"/>
  <c r="K197" i="31"/>
  <c r="L197" i="31" s="1"/>
  <c r="K199" i="55"/>
  <c r="M199" i="55" s="1"/>
  <c r="K27" i="31"/>
  <c r="L27" i="31" s="1"/>
  <c r="P27" i="31" s="1"/>
  <c r="K28" i="55"/>
  <c r="M28" i="55" s="1"/>
  <c r="K195" i="31"/>
  <c r="L195" i="31" s="1"/>
  <c r="K197" i="55"/>
  <c r="M197" i="55" s="1"/>
  <c r="K37" i="31"/>
  <c r="L37" i="31" s="1"/>
  <c r="P37" i="31" s="1"/>
  <c r="K38" i="55"/>
  <c r="M38" i="55" s="1"/>
  <c r="K243" i="31"/>
  <c r="L243" i="31" s="1"/>
  <c r="K245" i="55"/>
  <c r="M245" i="55" s="1"/>
  <c r="K171" i="31"/>
  <c r="L171" i="31" s="1"/>
  <c r="K173" i="55"/>
  <c r="M173" i="55" s="1"/>
  <c r="K55" i="31"/>
  <c r="L55" i="31" s="1"/>
  <c r="P55" i="31" s="1"/>
  <c r="K56" i="55"/>
  <c r="M56" i="55" s="1"/>
  <c r="K219" i="31"/>
  <c r="L219" i="31" s="1"/>
  <c r="K220" i="55"/>
  <c r="M220" i="55" s="1"/>
  <c r="K161" i="31"/>
  <c r="L161" i="31" s="1"/>
  <c r="K162" i="55"/>
  <c r="M162" i="55" s="1"/>
  <c r="K201" i="31"/>
  <c r="L201" i="31" s="1"/>
  <c r="K203" i="55"/>
  <c r="M203" i="55" s="1"/>
  <c r="F74" i="25"/>
  <c r="K194" i="55"/>
  <c r="M194" i="55" s="1"/>
  <c r="K14" i="31"/>
  <c r="L14" i="31" s="1"/>
  <c r="K13" i="55"/>
  <c r="M13" i="55" s="1"/>
  <c r="K234" i="31"/>
  <c r="L234" i="31" s="1"/>
  <c r="K236" i="55"/>
  <c r="M236" i="55" s="1"/>
  <c r="K39" i="31"/>
  <c r="L39" i="31" s="1"/>
  <c r="P39" i="31" s="1"/>
  <c r="K40" i="55"/>
  <c r="M40" i="55" s="1"/>
  <c r="K284" i="31"/>
  <c r="L284" i="31" s="1"/>
  <c r="K286" i="55"/>
  <c r="M286" i="55" s="1"/>
  <c r="K162" i="31"/>
  <c r="L162" i="31" s="1"/>
  <c r="K163" i="55"/>
  <c r="M163" i="55" s="1"/>
  <c r="K54" i="31"/>
  <c r="L54" i="31" s="1"/>
  <c r="P54" i="31" s="1"/>
  <c r="K55" i="55"/>
  <c r="M55" i="55" s="1"/>
  <c r="K186" i="31"/>
  <c r="L186" i="31" s="1"/>
  <c r="K188" i="55"/>
  <c r="M188" i="55" s="1"/>
  <c r="K24" i="31"/>
  <c r="L24" i="31" s="1"/>
  <c r="P24" i="31" s="1"/>
  <c r="K25" i="55"/>
  <c r="M25" i="55" s="1"/>
  <c r="K25" i="31"/>
  <c r="L25" i="31" s="1"/>
  <c r="P25" i="31" s="1"/>
  <c r="K26" i="55"/>
  <c r="M26" i="55" s="1"/>
  <c r="K103" i="31"/>
  <c r="L103" i="31" s="1"/>
  <c r="P103" i="31" s="1"/>
  <c r="K105" i="55"/>
  <c r="M105" i="55" s="1"/>
  <c r="K216" i="31"/>
  <c r="L216" i="31" s="1"/>
  <c r="K217" i="55"/>
  <c r="M217" i="55" s="1"/>
  <c r="K35" i="31"/>
  <c r="L35" i="31" s="1"/>
  <c r="P35" i="31" s="1"/>
  <c r="K36" i="55"/>
  <c r="M36" i="55" s="1"/>
  <c r="K226" i="31"/>
  <c r="L226" i="31" s="1"/>
  <c r="K228" i="55"/>
  <c r="M228" i="55" s="1"/>
  <c r="F41" i="25"/>
  <c r="F30" i="30" s="1"/>
  <c r="K66" i="55"/>
  <c r="K293" i="31"/>
  <c r="L293" i="31" s="1"/>
  <c r="K295" i="55"/>
  <c r="M295" i="55" s="1"/>
  <c r="K247" i="31"/>
  <c r="L247" i="31" s="1"/>
  <c r="K249" i="55"/>
  <c r="M249" i="55" s="1"/>
  <c r="K175" i="31"/>
  <c r="L175" i="31" s="1"/>
  <c r="K177" i="55"/>
  <c r="M177" i="55" s="1"/>
  <c r="K59" i="31"/>
  <c r="L59" i="31" s="1"/>
  <c r="P59" i="31" s="1"/>
  <c r="K60" i="55"/>
  <c r="M60" i="55" s="1"/>
  <c r="K22" i="31"/>
  <c r="L22" i="31" s="1"/>
  <c r="P22" i="31" s="1"/>
  <c r="K23" i="55"/>
  <c r="M23" i="55" s="1"/>
  <c r="K223" i="31"/>
  <c r="L223" i="31" s="1"/>
  <c r="K225" i="55"/>
  <c r="M225" i="55" s="1"/>
  <c r="K263" i="31"/>
  <c r="L263" i="31" s="1"/>
  <c r="K265" i="55"/>
  <c r="M265" i="55" s="1"/>
  <c r="K119" i="31"/>
  <c r="L119" i="31" s="1"/>
  <c r="K120" i="55"/>
  <c r="M120" i="55" s="1"/>
  <c r="K131" i="31"/>
  <c r="L131" i="31" s="1"/>
  <c r="K132" i="55"/>
  <c r="M132" i="55" s="1"/>
  <c r="K140" i="31"/>
  <c r="L140" i="31" s="1"/>
  <c r="K141" i="55"/>
  <c r="M141" i="55" s="1"/>
  <c r="K122" i="31"/>
  <c r="L122" i="31" s="1"/>
  <c r="K123" i="55"/>
  <c r="M123" i="55" s="1"/>
  <c r="K298" i="31"/>
  <c r="L298" i="31" s="1"/>
  <c r="K300" i="55"/>
  <c r="M300" i="55" s="1"/>
  <c r="K265" i="31"/>
  <c r="L265" i="31" s="1"/>
  <c r="K267" i="55"/>
  <c r="M267" i="55" s="1"/>
  <c r="K48" i="31"/>
  <c r="L48" i="31" s="1"/>
  <c r="P48" i="31" s="1"/>
  <c r="K49" i="55"/>
  <c r="M49" i="55" s="1"/>
  <c r="K270" i="31"/>
  <c r="L270" i="31" s="1"/>
  <c r="K272" i="55"/>
  <c r="M272" i="55" s="1"/>
  <c r="K9" i="55"/>
  <c r="K174" i="31"/>
  <c r="L174" i="31" s="1"/>
  <c r="K176" i="55"/>
  <c r="M176" i="55" s="1"/>
  <c r="K96" i="31"/>
  <c r="L96" i="31" s="1"/>
  <c r="P96" i="31" s="1"/>
  <c r="K100" i="55"/>
  <c r="M100" i="55" s="1"/>
  <c r="K210" i="31"/>
  <c r="L210" i="31" s="1"/>
  <c r="K211" i="55"/>
  <c r="M211" i="55" s="1"/>
  <c r="K190" i="31"/>
  <c r="L190" i="31" s="1"/>
  <c r="K192" i="55"/>
  <c r="M192" i="55" s="1"/>
  <c r="K191" i="31"/>
  <c r="L191" i="31" s="1"/>
  <c r="K193" i="55"/>
  <c r="M193" i="55" s="1"/>
  <c r="K36" i="31"/>
  <c r="L36" i="31" s="1"/>
  <c r="P36" i="31" s="1"/>
  <c r="K37" i="55"/>
  <c r="M37" i="55" s="1"/>
  <c r="K246" i="31"/>
  <c r="L246" i="31" s="1"/>
  <c r="K248" i="55"/>
  <c r="M248" i="55" s="1"/>
  <c r="K29" i="31"/>
  <c r="L29" i="31" s="1"/>
  <c r="K30" i="55"/>
  <c r="M30" i="55" s="1"/>
  <c r="K275" i="31"/>
  <c r="L275" i="31" s="1"/>
  <c r="K277" i="55"/>
  <c r="M277" i="55" s="1"/>
  <c r="K239" i="31"/>
  <c r="L239" i="31" s="1"/>
  <c r="K241" i="55"/>
  <c r="M241" i="55" s="1"/>
  <c r="K167" i="31"/>
  <c r="L167" i="31" s="1"/>
  <c r="K168" i="55"/>
  <c r="M168" i="55" s="1"/>
  <c r="K51" i="31"/>
  <c r="L51" i="31" s="1"/>
  <c r="K52" i="55"/>
  <c r="M52" i="55" s="1"/>
  <c r="K83" i="31"/>
  <c r="L83" i="31" s="1"/>
  <c r="P83" i="31" s="1"/>
  <c r="K87" i="55"/>
  <c r="M87" i="55" s="1"/>
  <c r="K97" i="31"/>
  <c r="L97" i="31" s="1"/>
  <c r="P97" i="31" s="1"/>
  <c r="K101" i="55"/>
  <c r="M101" i="55" s="1"/>
  <c r="K188" i="31"/>
  <c r="L188" i="31" s="1"/>
  <c r="K190" i="55"/>
  <c r="M190" i="55" s="1"/>
  <c r="K279" i="31"/>
  <c r="L279" i="31" s="1"/>
  <c r="K281" i="55"/>
  <c r="M281" i="55" s="1"/>
  <c r="K133" i="31"/>
  <c r="L133" i="31" s="1"/>
  <c r="K134" i="55"/>
  <c r="M134" i="55" s="1"/>
  <c r="K297" i="31"/>
  <c r="L297" i="31" s="1"/>
  <c r="K299" i="55"/>
  <c r="M299" i="55" s="1"/>
  <c r="K227" i="31"/>
  <c r="L227" i="31" s="1"/>
  <c r="K229" i="55"/>
  <c r="M229" i="55" s="1"/>
  <c r="K194" i="31"/>
  <c r="L194" i="31" s="1"/>
  <c r="K196" i="55"/>
  <c r="M196" i="55" s="1"/>
  <c r="K165" i="31"/>
  <c r="L165" i="31" s="1"/>
  <c r="K166" i="55"/>
  <c r="M166" i="55" s="1"/>
  <c r="K68" i="31"/>
  <c r="L68" i="31" s="1"/>
  <c r="P68" i="31" s="1"/>
  <c r="K72" i="55"/>
  <c r="M72" i="55" s="1"/>
  <c r="K292" i="31"/>
  <c r="L292" i="31" s="1"/>
  <c r="K294" i="55"/>
  <c r="M294" i="55" s="1"/>
  <c r="K118" i="31"/>
  <c r="L118" i="31" s="1"/>
  <c r="K119" i="55"/>
  <c r="M119" i="55" s="1"/>
  <c r="K136" i="31"/>
  <c r="L136" i="31" s="1"/>
  <c r="K137" i="55"/>
  <c r="M137" i="55" s="1"/>
  <c r="M262" i="55"/>
  <c r="F13" i="25"/>
  <c r="F13" i="30" s="1"/>
  <c r="K44" i="55"/>
  <c r="M44" i="55" s="1"/>
  <c r="K266" i="31"/>
  <c r="L266" i="31" s="1"/>
  <c r="K268" i="55"/>
  <c r="M268" i="55" s="1"/>
  <c r="K85" i="31"/>
  <c r="L85" i="31" s="1"/>
  <c r="P85" i="31" s="1"/>
  <c r="K89" i="55"/>
  <c r="M89" i="55" s="1"/>
  <c r="K202" i="31"/>
  <c r="L202" i="31" s="1"/>
  <c r="K204" i="55"/>
  <c r="M204" i="55" s="1"/>
  <c r="K100" i="31"/>
  <c r="L100" i="31" s="1"/>
  <c r="P100" i="31" s="1"/>
  <c r="K104" i="55"/>
  <c r="M104" i="55" s="1"/>
  <c r="K44" i="31"/>
  <c r="L44" i="31" s="1"/>
  <c r="P44" i="31" s="1"/>
  <c r="K45" i="55"/>
  <c r="M45" i="55" s="1"/>
  <c r="M306" i="55"/>
  <c r="M305" i="55" s="1"/>
  <c r="M304" i="55" s="1"/>
  <c r="K305" i="55"/>
  <c r="K304" i="55" s="1"/>
  <c r="K170" i="31"/>
  <c r="L170" i="31" s="1"/>
  <c r="K172" i="55"/>
  <c r="M172" i="55" s="1"/>
  <c r="K87" i="31"/>
  <c r="L87" i="31" s="1"/>
  <c r="P87" i="31" s="1"/>
  <c r="K91" i="55"/>
  <c r="M91" i="55" s="1"/>
  <c r="K93" i="31"/>
  <c r="L93" i="31" s="1"/>
  <c r="P93" i="31" s="1"/>
  <c r="K97" i="55"/>
  <c r="M97" i="55" s="1"/>
  <c r="K217" i="31"/>
  <c r="L217" i="31" s="1"/>
  <c r="K218" i="55"/>
  <c r="M218" i="55" s="1"/>
  <c r="K187" i="31"/>
  <c r="L187" i="31" s="1"/>
  <c r="K189" i="55"/>
  <c r="M189" i="55" s="1"/>
  <c r="K20" i="31"/>
  <c r="L20" i="31" s="1"/>
  <c r="P20" i="31" s="1"/>
  <c r="K21" i="55"/>
  <c r="M21" i="55" s="1"/>
  <c r="K242" i="31"/>
  <c r="L242" i="31" s="1"/>
  <c r="K244" i="55"/>
  <c r="M244" i="55" s="1"/>
  <c r="K271" i="31"/>
  <c r="L271" i="31" s="1"/>
  <c r="K273" i="55"/>
  <c r="M273" i="55" s="1"/>
  <c r="K214" i="31"/>
  <c r="L214" i="31" s="1"/>
  <c r="K215" i="55"/>
  <c r="M215" i="55" s="1"/>
  <c r="K165" i="55"/>
  <c r="M165" i="55" s="1"/>
  <c r="K79" i="31"/>
  <c r="L79" i="31" s="1"/>
  <c r="P79" i="31" s="1"/>
  <c r="K83" i="55"/>
  <c r="M83" i="55" s="1"/>
  <c r="K233" i="31"/>
  <c r="L233" i="31" s="1"/>
  <c r="K235" i="55"/>
  <c r="M235" i="55" s="1"/>
  <c r="K211" i="31"/>
  <c r="L211" i="31" s="1"/>
  <c r="K212" i="55"/>
  <c r="M212" i="55" s="1"/>
  <c r="K276" i="31"/>
  <c r="L276" i="31" s="1"/>
  <c r="K278" i="55"/>
  <c r="M278" i="55" s="1"/>
  <c r="K218" i="31"/>
  <c r="L218" i="31" s="1"/>
  <c r="K219" i="55"/>
  <c r="M219" i="55" s="1"/>
  <c r="K231" i="31"/>
  <c r="L231" i="31" s="1"/>
  <c r="K233" i="55"/>
  <c r="M233" i="55" s="1"/>
  <c r="K94" i="31"/>
  <c r="L94" i="31" s="1"/>
  <c r="P94" i="31" s="1"/>
  <c r="K98" i="55"/>
  <c r="M98" i="55" s="1"/>
  <c r="K199" i="31"/>
  <c r="L199" i="31" s="1"/>
  <c r="K201" i="55"/>
  <c r="M201" i="55" s="1"/>
  <c r="K267" i="31"/>
  <c r="L267" i="31" s="1"/>
  <c r="K269" i="55"/>
  <c r="M269" i="55" s="1"/>
  <c r="K204" i="31"/>
  <c r="L204" i="31" s="1"/>
  <c r="K206" i="55"/>
  <c r="M206" i="55" s="1"/>
  <c r="K160" i="31"/>
  <c r="L160" i="31" s="1"/>
  <c r="K161" i="55"/>
  <c r="M161" i="55" s="1"/>
  <c r="K46" i="31"/>
  <c r="L46" i="31" s="1"/>
  <c r="P46" i="31" s="1"/>
  <c r="K47" i="55"/>
  <c r="M47" i="55" s="1"/>
  <c r="K184" i="31"/>
  <c r="L184" i="31" s="1"/>
  <c r="K186" i="55"/>
  <c r="M186" i="55" s="1"/>
  <c r="K75" i="31"/>
  <c r="L75" i="31" s="1"/>
  <c r="P75" i="31" s="1"/>
  <c r="K79" i="55"/>
  <c r="M79" i="55" s="1"/>
  <c r="K225" i="31"/>
  <c r="L225" i="31" s="1"/>
  <c r="K227" i="55"/>
  <c r="M227" i="55" s="1"/>
  <c r="K272" i="31"/>
  <c r="L272" i="31" s="1"/>
  <c r="K274" i="55"/>
  <c r="M274" i="55" s="1"/>
  <c r="K112" i="31"/>
  <c r="L112" i="31" s="1"/>
  <c r="K113" i="55"/>
  <c r="M113" i="55" s="1"/>
  <c r="K18" i="31"/>
  <c r="L18" i="31" s="1"/>
  <c r="P18" i="31" s="1"/>
  <c r="K19" i="55"/>
  <c r="M19" i="55" s="1"/>
  <c r="K34" i="31"/>
  <c r="L34" i="31" s="1"/>
  <c r="P34" i="31" s="1"/>
  <c r="K35" i="55"/>
  <c r="M35" i="55" s="1"/>
  <c r="K72" i="31"/>
  <c r="L72" i="31" s="1"/>
  <c r="P72" i="31" s="1"/>
  <c r="K76" i="55"/>
  <c r="M76" i="55" s="1"/>
  <c r="K95" i="31"/>
  <c r="L95" i="31" s="1"/>
  <c r="P95" i="31" s="1"/>
  <c r="K99" i="55"/>
  <c r="M99" i="55" s="1"/>
  <c r="K253" i="31"/>
  <c r="L253" i="31" s="1"/>
  <c r="K255" i="55"/>
  <c r="M255" i="55" s="1"/>
  <c r="K286" i="31"/>
  <c r="L286" i="31" s="1"/>
  <c r="K288" i="55"/>
  <c r="M288" i="55" s="1"/>
  <c r="K125" i="31"/>
  <c r="L125" i="31" s="1"/>
  <c r="K126" i="55"/>
  <c r="M126" i="55" s="1"/>
  <c r="K16" i="31"/>
  <c r="L16" i="31" s="1"/>
  <c r="P16" i="31" s="1"/>
  <c r="K15" i="55"/>
  <c r="M15" i="55" s="1"/>
  <c r="K238" i="31"/>
  <c r="L238" i="31" s="1"/>
  <c r="K240" i="55"/>
  <c r="M240" i="55" s="1"/>
  <c r="K31" i="55"/>
  <c r="M31" i="55" s="1"/>
  <c r="K294" i="31"/>
  <c r="L294" i="31" s="1"/>
  <c r="K296" i="55"/>
  <c r="M296" i="55" s="1"/>
  <c r="K173" i="31"/>
  <c r="L173" i="31" s="1"/>
  <c r="K175" i="55"/>
  <c r="M175" i="55" s="1"/>
  <c r="K81" i="31"/>
  <c r="L81" i="31" s="1"/>
  <c r="P81" i="31" s="1"/>
  <c r="K85" i="55"/>
  <c r="M85" i="55" s="1"/>
  <c r="K23" i="31"/>
  <c r="L23" i="31" s="1"/>
  <c r="P23" i="31" s="1"/>
  <c r="K24" i="55"/>
  <c r="M24" i="55" s="1"/>
  <c r="K163" i="31"/>
  <c r="L163" i="31" s="1"/>
  <c r="K164" i="55"/>
  <c r="M164" i="55" s="1"/>
  <c r="K245" i="31"/>
  <c r="L245" i="31" s="1"/>
  <c r="K247" i="55"/>
  <c r="M247" i="55" s="1"/>
  <c r="K73" i="31"/>
  <c r="L73" i="31" s="1"/>
  <c r="P73" i="31" s="1"/>
  <c r="K77" i="55"/>
  <c r="M77" i="55" s="1"/>
  <c r="K91" i="31"/>
  <c r="L91" i="31" s="1"/>
  <c r="P91" i="31" s="1"/>
  <c r="K95" i="55"/>
  <c r="M95" i="55" s="1"/>
  <c r="K182" i="31"/>
  <c r="L182" i="31" s="1"/>
  <c r="K184" i="55"/>
  <c r="M184" i="55" s="1"/>
  <c r="K200" i="31"/>
  <c r="L200" i="31" s="1"/>
  <c r="K202" i="55"/>
  <c r="M202" i="55" s="1"/>
  <c r="K89" i="31"/>
  <c r="L89" i="31" s="1"/>
  <c r="P89" i="31" s="1"/>
  <c r="K93" i="55"/>
  <c r="M93" i="55" s="1"/>
  <c r="K42" i="31"/>
  <c r="L42" i="31" s="1"/>
  <c r="P42" i="31" s="1"/>
  <c r="K43" i="55"/>
  <c r="K176" i="31"/>
  <c r="L176" i="31" s="1"/>
  <c r="K178" i="55"/>
  <c r="M178" i="55" s="1"/>
  <c r="K66" i="31"/>
  <c r="L66" i="31" s="1"/>
  <c r="P66" i="31" s="1"/>
  <c r="K69" i="55"/>
  <c r="M69" i="55" s="1"/>
  <c r="K198" i="31"/>
  <c r="L198" i="31" s="1"/>
  <c r="K200" i="55"/>
  <c r="M200" i="55" s="1"/>
  <c r="K92" i="31"/>
  <c r="L92" i="31" s="1"/>
  <c r="P92" i="31" s="1"/>
  <c r="K96" i="55"/>
  <c r="M96" i="55" s="1"/>
  <c r="K268" i="31"/>
  <c r="L268" i="31" s="1"/>
  <c r="K270" i="55"/>
  <c r="M270" i="55" s="1"/>
  <c r="K193" i="31"/>
  <c r="L193" i="31" s="1"/>
  <c r="K195" i="55"/>
  <c r="M195" i="55" s="1"/>
  <c r="F100" i="25"/>
  <c r="F79" i="30" s="1"/>
  <c r="K297" i="55"/>
  <c r="M297" i="55" s="1"/>
  <c r="K285" i="31"/>
  <c r="L285" i="31" s="1"/>
  <c r="K287" i="55"/>
  <c r="M287" i="55" s="1"/>
  <c r="K114" i="31"/>
  <c r="L114" i="31" s="1"/>
  <c r="K115" i="55"/>
  <c r="M115" i="55" s="1"/>
  <c r="K144" i="31"/>
  <c r="L144" i="31" s="1"/>
  <c r="K145" i="55"/>
  <c r="M145" i="55" s="1"/>
  <c r="K255" i="31"/>
  <c r="L255" i="31" s="1"/>
  <c r="K257" i="55"/>
  <c r="M257" i="55" s="1"/>
  <c r="K98" i="31"/>
  <c r="L98" i="31" s="1"/>
  <c r="P98" i="31" s="1"/>
  <c r="K102" i="55"/>
  <c r="M102" i="55" s="1"/>
  <c r="K256" i="31"/>
  <c r="L256" i="31" s="1"/>
  <c r="K258" i="55"/>
  <c r="M258" i="55" s="1"/>
  <c r="K177" i="31"/>
  <c r="L177" i="31" s="1"/>
  <c r="K179" i="55"/>
  <c r="M179" i="55" s="1"/>
  <c r="K40" i="31"/>
  <c r="L40" i="31" s="1"/>
  <c r="P40" i="31" s="1"/>
  <c r="K41" i="55"/>
  <c r="K166" i="31"/>
  <c r="L166" i="31" s="1"/>
  <c r="K167" i="55"/>
  <c r="M167" i="55" s="1"/>
  <c r="K145" i="31"/>
  <c r="L145" i="31" s="1"/>
  <c r="K146" i="55"/>
  <c r="M146" i="55" s="1"/>
  <c r="K141" i="31"/>
  <c r="L141" i="31" s="1"/>
  <c r="P141" i="31" s="1"/>
  <c r="K142" i="55"/>
  <c r="P142" i="55" s="1"/>
  <c r="K15" i="31"/>
  <c r="L15" i="31" s="1"/>
  <c r="P15" i="31" s="1"/>
  <c r="K14" i="55"/>
  <c r="M14" i="55" s="1"/>
  <c r="K84" i="31"/>
  <c r="L84" i="31" s="1"/>
  <c r="P84" i="31" s="1"/>
  <c r="K88" i="55"/>
  <c r="M88" i="55" s="1"/>
  <c r="K287" i="31"/>
  <c r="L287" i="31" s="1"/>
  <c r="K289" i="55"/>
  <c r="M289" i="55" s="1"/>
  <c r="K113" i="31"/>
  <c r="L113" i="31" s="1"/>
  <c r="M113" i="31" s="1"/>
  <c r="K114" i="55"/>
  <c r="M114" i="55" s="1"/>
  <c r="K146" i="31"/>
  <c r="L146" i="31" s="1"/>
  <c r="K147" i="55"/>
  <c r="M147" i="55" s="1"/>
  <c r="K121" i="31"/>
  <c r="L121" i="31" s="1"/>
  <c r="K122" i="55"/>
  <c r="M122" i="55" s="1"/>
  <c r="K137" i="31"/>
  <c r="L137" i="31" s="1"/>
  <c r="K138" i="55"/>
  <c r="M138" i="55" s="1"/>
  <c r="K238" i="55"/>
  <c r="M238" i="55" s="1"/>
  <c r="K71" i="31"/>
  <c r="L71" i="31" s="1"/>
  <c r="P71" i="31" s="1"/>
  <c r="K75" i="55"/>
  <c r="M75" i="55" s="1"/>
  <c r="K228" i="31"/>
  <c r="L228" i="31" s="1"/>
  <c r="K230" i="55"/>
  <c r="M230" i="55" s="1"/>
  <c r="K257" i="31"/>
  <c r="L257" i="31" s="1"/>
  <c r="K259" i="55"/>
  <c r="M259" i="55" s="1"/>
  <c r="K169" i="31"/>
  <c r="L169" i="31" s="1"/>
  <c r="K171" i="55"/>
  <c r="M171" i="55" s="1"/>
  <c r="K77" i="31"/>
  <c r="L77" i="31" s="1"/>
  <c r="P77" i="31" s="1"/>
  <c r="K81" i="55"/>
  <c r="M81" i="55" s="1"/>
  <c r="K241" i="31"/>
  <c r="L241" i="31" s="1"/>
  <c r="K243" i="55"/>
  <c r="M243" i="55" s="1"/>
  <c r="K159" i="31"/>
  <c r="L159" i="31" s="1"/>
  <c r="K160" i="55"/>
  <c r="M160" i="55" s="1"/>
  <c r="K33" i="31"/>
  <c r="L33" i="31" s="1"/>
  <c r="P33" i="31" s="1"/>
  <c r="K34" i="55"/>
  <c r="M34" i="55" s="1"/>
  <c r="K229" i="31"/>
  <c r="L229" i="31" s="1"/>
  <c r="K231" i="55"/>
  <c r="M231" i="55" s="1"/>
  <c r="K74" i="31"/>
  <c r="L74" i="31" s="1"/>
  <c r="P74" i="31" s="1"/>
  <c r="K78" i="55"/>
  <c r="M78" i="55" s="1"/>
  <c r="K237" i="31"/>
  <c r="L237" i="31" s="1"/>
  <c r="K239" i="55"/>
  <c r="M239" i="55" s="1"/>
  <c r="K88" i="31"/>
  <c r="L88" i="31" s="1"/>
  <c r="P88" i="31" s="1"/>
  <c r="K92" i="55"/>
  <c r="M92" i="55" s="1"/>
  <c r="K254" i="31"/>
  <c r="L254" i="31" s="1"/>
  <c r="K256" i="55"/>
  <c r="M256" i="55" s="1"/>
  <c r="K183" i="31"/>
  <c r="L183" i="31" s="1"/>
  <c r="K185" i="55"/>
  <c r="M185" i="55" s="1"/>
  <c r="K38" i="31"/>
  <c r="L38" i="31" s="1"/>
  <c r="P38" i="31" s="1"/>
  <c r="K39" i="55"/>
  <c r="M39" i="55" s="1"/>
  <c r="K172" i="31"/>
  <c r="L172" i="31" s="1"/>
  <c r="K174" i="55"/>
  <c r="M174" i="55" s="1"/>
  <c r="K232" i="31"/>
  <c r="L232" i="31" s="1"/>
  <c r="K234" i="55"/>
  <c r="M234" i="55" s="1"/>
  <c r="K203" i="31"/>
  <c r="L203" i="31" s="1"/>
  <c r="K205" i="55"/>
  <c r="M205" i="55" s="1"/>
  <c r="K50" i="31"/>
  <c r="L50" i="31" s="1"/>
  <c r="P50" i="31" s="1"/>
  <c r="K51" i="55"/>
  <c r="M51" i="55" s="1"/>
  <c r="K80" i="31"/>
  <c r="L80" i="31" s="1"/>
  <c r="K84" i="55"/>
  <c r="M84" i="55" s="1"/>
  <c r="K264" i="31"/>
  <c r="L264" i="31" s="1"/>
  <c r="K266" i="55"/>
  <c r="M266" i="55" s="1"/>
  <c r="K189" i="31"/>
  <c r="L189" i="31" s="1"/>
  <c r="K191" i="55"/>
  <c r="M191" i="55" s="1"/>
  <c r="K213" i="31"/>
  <c r="L213" i="31" s="1"/>
  <c r="K214" i="55"/>
  <c r="M214" i="55" s="1"/>
  <c r="K142" i="31"/>
  <c r="L142" i="31" s="1"/>
  <c r="K143" i="55"/>
  <c r="M143" i="55" s="1"/>
  <c r="F82" i="25"/>
  <c r="F65" i="30" s="1"/>
  <c r="K254" i="55"/>
  <c r="M254" i="55" s="1"/>
  <c r="K235" i="31"/>
  <c r="L235" i="31" s="1"/>
  <c r="K237" i="55"/>
  <c r="M237" i="55" s="1"/>
  <c r="K250" i="31"/>
  <c r="L250" i="31" s="1"/>
  <c r="K252" i="55"/>
  <c r="M252" i="55" s="1"/>
  <c r="K179" i="31"/>
  <c r="L179" i="31" s="1"/>
  <c r="K181" i="55"/>
  <c r="M181" i="55" s="1"/>
  <c r="K26" i="31"/>
  <c r="L26" i="31" s="1"/>
  <c r="P26" i="31" s="1"/>
  <c r="K27" i="55"/>
  <c r="M27" i="55" s="1"/>
  <c r="K168" i="31"/>
  <c r="L168" i="31" s="1"/>
  <c r="K169" i="55"/>
  <c r="M169" i="55" s="1"/>
  <c r="K224" i="31"/>
  <c r="L224" i="31" s="1"/>
  <c r="K226" i="55"/>
  <c r="M226" i="55" s="1"/>
  <c r="F49" i="25"/>
  <c r="F38" i="30" s="1"/>
  <c r="K106" i="55"/>
  <c r="M106" i="55" s="1"/>
  <c r="K90" i="31"/>
  <c r="L90" i="31" s="1"/>
  <c r="P90" i="31" s="1"/>
  <c r="K94" i="55"/>
  <c r="M94" i="55" s="1"/>
  <c r="K76" i="31"/>
  <c r="L76" i="31" s="1"/>
  <c r="P76" i="31" s="1"/>
  <c r="K80" i="55"/>
  <c r="M80" i="55" s="1"/>
  <c r="K251" i="31"/>
  <c r="L251" i="31" s="1"/>
  <c r="K253" i="55"/>
  <c r="M253" i="55" s="1"/>
  <c r="K291" i="31"/>
  <c r="L291" i="31" s="1"/>
  <c r="K293" i="55"/>
  <c r="M293" i="55" s="1"/>
  <c r="K13" i="31"/>
  <c r="L13" i="31" s="1"/>
  <c r="K12" i="55"/>
  <c r="K12" i="31"/>
  <c r="L12" i="31" s="1"/>
  <c r="F45" i="25"/>
  <c r="F34" i="30" s="1"/>
  <c r="K60" i="31"/>
  <c r="L60" i="31" s="1"/>
  <c r="M60" i="31" s="1"/>
  <c r="K70" i="31"/>
  <c r="L70" i="31" s="1"/>
  <c r="P70" i="31" s="1"/>
  <c r="K30" i="31"/>
  <c r="L30" i="31" s="1"/>
  <c r="Q315" i="23"/>
  <c r="AB14" i="48"/>
  <c r="L12" i="55" s="1"/>
  <c r="P12" i="55" s="1"/>
  <c r="AB257" i="48"/>
  <c r="L224" i="55" s="1"/>
  <c r="P224" i="55" s="1"/>
  <c r="P185" i="23"/>
  <c r="P179" i="23"/>
  <c r="AB20" i="35"/>
  <c r="AG20" i="35" s="1"/>
  <c r="AI20" i="35" s="1"/>
  <c r="N43" i="26"/>
  <c r="N45" i="26" s="1"/>
  <c r="X21" i="11"/>
  <c r="Z21" i="11" s="1"/>
  <c r="AO14" i="11"/>
  <c r="Y8" i="35"/>
  <c r="F4" i="4"/>
  <c r="G23" i="8"/>
  <c r="G22" i="8" s="1"/>
  <c r="AA8" i="12"/>
  <c r="V7" i="12"/>
  <c r="AB7" i="12" s="1"/>
  <c r="G14" i="4"/>
  <c r="G9" i="4"/>
  <c r="H14" i="4"/>
  <c r="K10" i="4"/>
  <c r="K14" i="4" s="1"/>
  <c r="O27" i="11"/>
  <c r="I10" i="4"/>
  <c r="I14" i="4" s="1"/>
  <c r="O14" i="11"/>
  <c r="M24" i="10"/>
  <c r="G9" i="9" s="1"/>
  <c r="I7" i="4"/>
  <c r="H9" i="4"/>
  <c r="I24" i="4"/>
  <c r="G17" i="4"/>
  <c r="I16" i="4"/>
  <c r="I17" i="4" s="1"/>
  <c r="K18" i="4"/>
  <c r="K24" i="4" s="1"/>
  <c r="H24" i="4"/>
  <c r="K15" i="4"/>
  <c r="K17" i="4" s="1"/>
  <c r="H17" i="4"/>
  <c r="V223" i="1"/>
  <c r="S10" i="15"/>
  <c r="U10" i="15" s="1"/>
  <c r="Q27" i="19" s="1"/>
  <c r="P98" i="3"/>
  <c r="V98" i="3" s="1"/>
  <c r="K117" i="31"/>
  <c r="L117" i="31" s="1"/>
  <c r="K61" i="31"/>
  <c r="L61" i="31" s="1"/>
  <c r="P61" i="31" s="1"/>
  <c r="F31" i="25"/>
  <c r="K261" i="31"/>
  <c r="F94" i="25"/>
  <c r="F84" i="25"/>
  <c r="F66" i="30" s="1"/>
  <c r="R143" i="23"/>
  <c r="S143" i="23" s="1"/>
  <c r="U143" i="23" s="1"/>
  <c r="K121" i="55" s="1"/>
  <c r="M121" i="55" s="1"/>
  <c r="P304" i="23"/>
  <c r="T213" i="1"/>
  <c r="S345" i="23"/>
  <c r="S241" i="23"/>
  <c r="U241" i="23" s="1"/>
  <c r="S352" i="23"/>
  <c r="S256" i="23"/>
  <c r="U256" i="23" s="1"/>
  <c r="K223" i="55" s="1"/>
  <c r="M223" i="55" s="1"/>
  <c r="M240" i="31"/>
  <c r="P240" i="31"/>
  <c r="J11" i="4"/>
  <c r="AB10" i="35"/>
  <c r="AG10" i="35" s="1"/>
  <c r="AI10" i="35" s="1"/>
  <c r="P243" i="23"/>
  <c r="S243" i="23" s="1"/>
  <c r="U243" i="23" s="1"/>
  <c r="K209" i="55" s="1"/>
  <c r="S8" i="15"/>
  <c r="U8" i="15" s="1"/>
  <c r="Q25" i="19" s="1"/>
  <c r="AV8" i="11"/>
  <c r="R21" i="35"/>
  <c r="K215" i="31"/>
  <c r="L215" i="31" s="1"/>
  <c r="AZ8" i="11"/>
  <c r="BE8" i="11" s="1"/>
  <c r="BG8" i="11" s="1"/>
  <c r="L102" i="25"/>
  <c r="L105" i="25" s="1"/>
  <c r="AT21" i="11"/>
  <c r="BV21" i="11" s="1"/>
  <c r="R12" i="15"/>
  <c r="P49" i="3"/>
  <c r="V49" i="3" s="1"/>
  <c r="P15" i="3"/>
  <c r="V15" i="3" s="1"/>
  <c r="P97" i="3"/>
  <c r="V97" i="3" s="1"/>
  <c r="P12" i="3"/>
  <c r="V12" i="3" s="1"/>
  <c r="P55" i="3"/>
  <c r="V55" i="3" s="1"/>
  <c r="P29" i="3"/>
  <c r="V29" i="3" s="1"/>
  <c r="P111" i="3"/>
  <c r="V111" i="3" s="1"/>
  <c r="P91" i="3"/>
  <c r="V91" i="3" s="1"/>
  <c r="P110" i="3"/>
  <c r="V110" i="3" s="1"/>
  <c r="P56" i="3"/>
  <c r="V56" i="3" s="1"/>
  <c r="P50" i="3"/>
  <c r="V50" i="3" s="1"/>
  <c r="P40" i="3"/>
  <c r="V40" i="3" s="1"/>
  <c r="Q43" i="1"/>
  <c r="J30" i="10"/>
  <c r="AY27" i="11"/>
  <c r="CP12" i="11"/>
  <c r="CP25" i="11" s="1"/>
  <c r="CF12" i="11"/>
  <c r="Q11" i="21"/>
  <c r="AC11" i="21" s="1"/>
  <c r="AC12" i="21" s="1"/>
  <c r="I20" i="34"/>
  <c r="I22" i="34" s="1"/>
  <c r="M11" i="34"/>
  <c r="Y9" i="35"/>
  <c r="N148" i="1"/>
  <c r="BY27" i="11"/>
  <c r="BA27" i="11"/>
  <c r="J18" i="4"/>
  <c r="L18" i="4"/>
  <c r="J31" i="10"/>
  <c r="W18" i="35"/>
  <c r="Y18" i="35" s="1"/>
  <c r="M21" i="35"/>
  <c r="O18" i="35"/>
  <c r="AB18" i="35"/>
  <c r="AG18" i="35" s="1"/>
  <c r="AI18" i="35" s="1"/>
  <c r="Y7" i="35"/>
  <c r="J12" i="4"/>
  <c r="L12" i="4"/>
  <c r="N12" i="4" s="1"/>
  <c r="J13" i="4"/>
  <c r="L13" i="4"/>
  <c r="N13" i="4" s="1"/>
  <c r="AE10" i="33"/>
  <c r="J15" i="4"/>
  <c r="L15" i="4"/>
  <c r="T12" i="15"/>
  <c r="AI16" i="35"/>
  <c r="J20" i="34"/>
  <c r="J22" i="34" s="1"/>
  <c r="N11" i="34"/>
  <c r="K11" i="34"/>
  <c r="W22" i="35"/>
  <c r="W23" i="35" s="1"/>
  <c r="Y16" i="35"/>
  <c r="J21" i="4"/>
  <c r="L21" i="4"/>
  <c r="N21" i="4" s="1"/>
  <c r="L20" i="4"/>
  <c r="N20" i="4" s="1"/>
  <c r="J20" i="4"/>
  <c r="AB19" i="12"/>
  <c r="S78" i="1"/>
  <c r="J22" i="4"/>
  <c r="L22" i="4"/>
  <c r="N22" i="4" s="1"/>
  <c r="AN27" i="11"/>
  <c r="K19" i="34"/>
  <c r="O10" i="34"/>
  <c r="L10" i="34"/>
  <c r="K9" i="34"/>
  <c r="K18" i="34" s="1"/>
  <c r="K4" i="44"/>
  <c r="CK26" i="11"/>
  <c r="CQ26" i="11" s="1"/>
  <c r="G23" i="42"/>
  <c r="E31" i="42"/>
  <c r="G32" i="42" s="1"/>
  <c r="Q18" i="33"/>
  <c r="AC19" i="35"/>
  <c r="AC21" i="35" s="1"/>
  <c r="S21" i="35"/>
  <c r="CR13" i="11"/>
  <c r="L23" i="4"/>
  <c r="N23" i="4" s="1"/>
  <c r="J23" i="4"/>
  <c r="X116" i="3"/>
  <c r="Z116" i="3" s="1"/>
  <c r="AB116" i="3" s="1"/>
  <c r="X80" i="1"/>
  <c r="F22" i="25"/>
  <c r="F22" i="30" s="1"/>
  <c r="Q148" i="1"/>
  <c r="Q147" i="1" s="1"/>
  <c r="N213" i="1"/>
  <c r="O148" i="1"/>
  <c r="O147" i="1" s="1"/>
  <c r="M25" i="10"/>
  <c r="M31" i="10"/>
  <c r="J24" i="10"/>
  <c r="K11" i="10"/>
  <c r="J10" i="10"/>
  <c r="J23" i="10" s="1"/>
  <c r="N11" i="10"/>
  <c r="J25" i="10"/>
  <c r="N12" i="10"/>
  <c r="N25" i="10" s="1"/>
  <c r="K12" i="10"/>
  <c r="K13" i="10" s="1"/>
  <c r="K26" i="10" s="1"/>
  <c r="H26" i="10"/>
  <c r="J13" i="10"/>
  <c r="J26" i="10" s="1"/>
  <c r="I13" i="10"/>
  <c r="I26" i="10" s="1"/>
  <c r="S13" i="3"/>
  <c r="K104" i="31"/>
  <c r="K209" i="31"/>
  <c r="AB8" i="12"/>
  <c r="F67" i="8"/>
  <c r="J66" i="8"/>
  <c r="I66" i="8"/>
  <c r="H66" i="8"/>
  <c r="G66" i="8"/>
  <c r="H46" i="8"/>
  <c r="G46" i="8"/>
  <c r="J46" i="8"/>
  <c r="I46" i="8"/>
  <c r="F47" i="8"/>
  <c r="F78" i="8"/>
  <c r="F79" i="8" s="1"/>
  <c r="K196" i="31"/>
  <c r="F23" i="25"/>
  <c r="F23" i="30" s="1"/>
  <c r="F87" i="25"/>
  <c r="F68" i="30" s="1"/>
  <c r="F46" i="25"/>
  <c r="F35" i="30" s="1"/>
  <c r="D8" i="46"/>
  <c r="K164" i="31"/>
  <c r="K295" i="31"/>
  <c r="F20" i="25"/>
  <c r="F43" i="25"/>
  <c r="F32" i="30" s="1"/>
  <c r="F40" i="25"/>
  <c r="F29" i="30" s="1"/>
  <c r="Z11" i="11"/>
  <c r="CC25" i="11"/>
  <c r="CF25" i="11" s="1"/>
  <c r="AD27" i="11"/>
  <c r="AR27" i="11"/>
  <c r="BZ20" i="11"/>
  <c r="BZ27" i="11" s="1"/>
  <c r="E10" i="43"/>
  <c r="AT7" i="11"/>
  <c r="AT14" i="11" s="1"/>
  <c r="T27" i="11"/>
  <c r="AE25" i="11"/>
  <c r="BW11" i="11"/>
  <c r="CJ11" i="11"/>
  <c r="BX20" i="11"/>
  <c r="BX27" i="11" s="1"/>
  <c r="AZ9" i="11"/>
  <c r="BE9" i="11" s="1"/>
  <c r="BG9" i="11" s="1"/>
  <c r="AV9" i="11"/>
  <c r="BV9" i="11"/>
  <c r="AO25" i="11"/>
  <c r="CB13" i="11"/>
  <c r="CB26" i="11" s="1"/>
  <c r="AI24" i="11"/>
  <c r="AO24" i="11"/>
  <c r="AT24" i="11" s="1"/>
  <c r="AO22" i="11"/>
  <c r="AI22" i="11"/>
  <c r="AK8" i="11"/>
  <c r="AI21" i="11"/>
  <c r="AZ12" i="11"/>
  <c r="BE12" i="11" s="1"/>
  <c r="BG12" i="11" s="1"/>
  <c r="AV12" i="11"/>
  <c r="AQ27" i="11"/>
  <c r="Z20" i="11"/>
  <c r="BW8" i="11"/>
  <c r="CJ8" i="11"/>
  <c r="CA21" i="11"/>
  <c r="AS27" i="11"/>
  <c r="R148" i="1"/>
  <c r="K47" i="31"/>
  <c r="F90" i="25"/>
  <c r="F71" i="30" s="1"/>
  <c r="K252" i="31"/>
  <c r="K78" i="31"/>
  <c r="F73" i="25"/>
  <c r="F58" i="30" s="1"/>
  <c r="S213" i="1"/>
  <c r="K65" i="31"/>
  <c r="Q74" i="1"/>
  <c r="V12" i="12"/>
  <c r="S45" i="1"/>
  <c r="AB9" i="12"/>
  <c r="AA9" i="12"/>
  <c r="S27" i="3"/>
  <c r="F27" i="25"/>
  <c r="F26" i="30" s="1"/>
  <c r="T74" i="1"/>
  <c r="O74" i="1"/>
  <c r="T148" i="1"/>
  <c r="F14" i="25"/>
  <c r="F14" i="30" s="1"/>
  <c r="F10" i="25"/>
  <c r="F10" i="30" s="1"/>
  <c r="K28" i="31"/>
  <c r="F72" i="25"/>
  <c r="F57" i="30" s="1"/>
  <c r="F101" i="25"/>
  <c r="F80" i="30" s="1"/>
  <c r="F24" i="25"/>
  <c r="F24" i="30" s="1"/>
  <c r="K288" i="31"/>
  <c r="U213" i="1"/>
  <c r="F69" i="25"/>
  <c r="F55" i="30" s="1"/>
  <c r="F64" i="30"/>
  <c r="K9" i="31"/>
  <c r="L9" i="31" s="1"/>
  <c r="K192" i="31"/>
  <c r="K249" i="31"/>
  <c r="U148" i="1"/>
  <c r="F88" i="25"/>
  <c r="F69" i="30" s="1"/>
  <c r="H110" i="17"/>
  <c r="F30" i="25"/>
  <c r="F33" i="30" s="1"/>
  <c r="F29" i="25"/>
  <c r="F80" i="25"/>
  <c r="F61" i="30" s="1"/>
  <c r="K236" i="31"/>
  <c r="K43" i="31"/>
  <c r="F20" i="30"/>
  <c r="K185" i="31"/>
  <c r="U178" i="23"/>
  <c r="F79" i="25"/>
  <c r="F63" i="30" s="1"/>
  <c r="K212" i="31"/>
  <c r="F89" i="25"/>
  <c r="F70" i="30" s="1"/>
  <c r="U74" i="1"/>
  <c r="F42" i="25"/>
  <c r="F31" i="30" s="1"/>
  <c r="K304" i="31"/>
  <c r="L304" i="31" s="1"/>
  <c r="I110" i="17"/>
  <c r="F23" i="24"/>
  <c r="G23" i="24" s="1"/>
  <c r="J23" i="24" s="1"/>
  <c r="K132" i="31"/>
  <c r="F61" i="25"/>
  <c r="F49" i="30" s="1"/>
  <c r="H91" i="17"/>
  <c r="AE9" i="16"/>
  <c r="AF9" i="16" s="1"/>
  <c r="AE6" i="16"/>
  <c r="AF6" i="16" s="1"/>
  <c r="K138" i="31"/>
  <c r="F60" i="25"/>
  <c r="E19" i="24"/>
  <c r="K260" i="31"/>
  <c r="L260" i="31" s="1"/>
  <c r="P260" i="31" s="1"/>
  <c r="F93" i="25"/>
  <c r="Y6" i="16"/>
  <c r="L169" i="22" l="1"/>
  <c r="J169" i="22" s="1"/>
  <c r="L56" i="22"/>
  <c r="J56" i="22" s="1"/>
  <c r="Z80" i="1"/>
  <c r="L16" i="4"/>
  <c r="N16" i="4" s="1"/>
  <c r="X27" i="11"/>
  <c r="L43" i="31"/>
  <c r="P43" i="31" s="1"/>
  <c r="K224" i="55"/>
  <c r="M224" i="55" s="1"/>
  <c r="BE21" i="11"/>
  <c r="J16" i="4"/>
  <c r="S315" i="23"/>
  <c r="U315" i="23" s="1"/>
  <c r="K275" i="55" s="1"/>
  <c r="Q12" i="21"/>
  <c r="H4" i="4"/>
  <c r="G25" i="8"/>
  <c r="G26" i="8" s="1"/>
  <c r="M12" i="55"/>
  <c r="M63" i="31"/>
  <c r="U371" i="48"/>
  <c r="P113" i="31"/>
  <c r="K150" i="31"/>
  <c r="L150" i="31" s="1"/>
  <c r="P150" i="31" s="1"/>
  <c r="K151" i="55"/>
  <c r="K206" i="31"/>
  <c r="L206" i="31" s="1"/>
  <c r="M206" i="31" s="1"/>
  <c r="K207" i="55"/>
  <c r="M207" i="55" s="1"/>
  <c r="P41" i="55"/>
  <c r="M41" i="55"/>
  <c r="P57" i="55"/>
  <c r="M57" i="55"/>
  <c r="M9" i="55"/>
  <c r="P66" i="55"/>
  <c r="M66" i="55"/>
  <c r="M64" i="55"/>
  <c r="P43" i="55"/>
  <c r="M43" i="55"/>
  <c r="P60" i="31"/>
  <c r="AB127" i="48"/>
  <c r="L109" i="55" s="1"/>
  <c r="P109" i="55" s="1"/>
  <c r="AB145" i="48"/>
  <c r="L149" i="55" s="1"/>
  <c r="P149" i="55" s="1"/>
  <c r="AB315" i="48"/>
  <c r="L275" i="55" s="1"/>
  <c r="P275" i="55" s="1"/>
  <c r="S185" i="23"/>
  <c r="P324" i="23"/>
  <c r="AB178" i="48"/>
  <c r="L153" i="55" s="1"/>
  <c r="P153" i="55" s="1"/>
  <c r="S180" i="23"/>
  <c r="U180" i="23" s="1"/>
  <c r="AB183" i="48"/>
  <c r="L158" i="55" s="1"/>
  <c r="G4" i="4"/>
  <c r="CP31" i="11"/>
  <c r="CT26" i="11"/>
  <c r="L10" i="4"/>
  <c r="N10" i="4" s="1"/>
  <c r="N14" i="4" s="1"/>
  <c r="J10" i="4"/>
  <c r="J14" i="4" s="1"/>
  <c r="N15" i="4"/>
  <c r="N18" i="4"/>
  <c r="N24" i="4" s="1"/>
  <c r="L24" i="4"/>
  <c r="J17" i="4"/>
  <c r="J24" i="4"/>
  <c r="J7" i="4"/>
  <c r="I9" i="4"/>
  <c r="I4" i="4" s="1"/>
  <c r="T147" i="1"/>
  <c r="AA7" i="12"/>
  <c r="L261" i="31"/>
  <c r="P261" i="31" s="1"/>
  <c r="P117" i="31"/>
  <c r="M117" i="31"/>
  <c r="S304" i="23"/>
  <c r="U304" i="23" s="1"/>
  <c r="F86" i="25"/>
  <c r="F67" i="30" s="1"/>
  <c r="F60" i="30" s="1"/>
  <c r="F85" i="25"/>
  <c r="F56" i="25"/>
  <c r="F45" i="30" s="1"/>
  <c r="K120" i="31"/>
  <c r="L120" i="31" s="1"/>
  <c r="U345" i="23"/>
  <c r="M109" i="24"/>
  <c r="K221" i="31"/>
  <c r="L221" i="31" s="1"/>
  <c r="U352" i="23"/>
  <c r="W352" i="23" s="1"/>
  <c r="M251" i="31"/>
  <c r="P251" i="31"/>
  <c r="M220" i="31"/>
  <c r="P220" i="31"/>
  <c r="M269" i="31"/>
  <c r="P269" i="31"/>
  <c r="M160" i="31"/>
  <c r="P160" i="31"/>
  <c r="M174" i="31"/>
  <c r="P174" i="31"/>
  <c r="M131" i="31"/>
  <c r="P131" i="31"/>
  <c r="M188" i="31"/>
  <c r="P188" i="31"/>
  <c r="M225" i="31"/>
  <c r="P225" i="31"/>
  <c r="M31" i="31"/>
  <c r="P31" i="31"/>
  <c r="M233" i="31"/>
  <c r="P233" i="31"/>
  <c r="M199" i="31"/>
  <c r="P199" i="31"/>
  <c r="M278" i="31"/>
  <c r="P278" i="31"/>
  <c r="M257" i="31"/>
  <c r="P257" i="31"/>
  <c r="M171" i="31"/>
  <c r="P171" i="31"/>
  <c r="M222" i="31"/>
  <c r="P222" i="31"/>
  <c r="M247" i="31"/>
  <c r="P247" i="31"/>
  <c r="M159" i="31"/>
  <c r="P159" i="31"/>
  <c r="M255" i="31"/>
  <c r="P255" i="31"/>
  <c r="M14" i="31"/>
  <c r="P14" i="31"/>
  <c r="M12" i="31"/>
  <c r="P12" i="31"/>
  <c r="M112" i="31"/>
  <c r="P112" i="31"/>
  <c r="M198" i="31"/>
  <c r="P198" i="31"/>
  <c r="M204" i="31"/>
  <c r="P204" i="31"/>
  <c r="M119" i="31"/>
  <c r="P119" i="31"/>
  <c r="M201" i="31"/>
  <c r="P201" i="31"/>
  <c r="M230" i="31"/>
  <c r="P230" i="31"/>
  <c r="M181" i="31"/>
  <c r="P181" i="31"/>
  <c r="M213" i="31"/>
  <c r="P213" i="31"/>
  <c r="M30" i="31"/>
  <c r="P30" i="31"/>
  <c r="M238" i="31"/>
  <c r="P238" i="31"/>
  <c r="M218" i="31"/>
  <c r="P218" i="31"/>
  <c r="M243" i="31"/>
  <c r="P243" i="31"/>
  <c r="M169" i="31"/>
  <c r="P169" i="31"/>
  <c r="M279" i="31"/>
  <c r="P279" i="31"/>
  <c r="M241" i="31"/>
  <c r="P241" i="31"/>
  <c r="M195" i="31"/>
  <c r="P195" i="31"/>
  <c r="M144" i="31"/>
  <c r="P144" i="31"/>
  <c r="M203" i="31"/>
  <c r="P203" i="31"/>
  <c r="M231" i="31"/>
  <c r="P231" i="31"/>
  <c r="M143" i="31"/>
  <c r="P143" i="31"/>
  <c r="M189" i="31"/>
  <c r="P189" i="31"/>
  <c r="M267" i="31"/>
  <c r="P267" i="31"/>
  <c r="M158" i="31"/>
  <c r="P158" i="31"/>
  <c r="M263" i="31"/>
  <c r="P263" i="31"/>
  <c r="M191" i="31"/>
  <c r="P191" i="31"/>
  <c r="M172" i="31"/>
  <c r="P172" i="31"/>
  <c r="M274" i="31"/>
  <c r="P274" i="31"/>
  <c r="M234" i="31"/>
  <c r="P234" i="31"/>
  <c r="M176" i="31"/>
  <c r="P176" i="31"/>
  <c r="M142" i="31"/>
  <c r="P142" i="31"/>
  <c r="M276" i="31"/>
  <c r="P276" i="31"/>
  <c r="M29" i="31"/>
  <c r="P29" i="31"/>
  <c r="M211" i="31"/>
  <c r="P211" i="31"/>
  <c r="M246" i="31"/>
  <c r="P246" i="31"/>
  <c r="M137" i="31"/>
  <c r="P137" i="31"/>
  <c r="M161" i="31"/>
  <c r="P161" i="31"/>
  <c r="M56" i="31"/>
  <c r="P56" i="31"/>
  <c r="M202" i="31"/>
  <c r="P202" i="31"/>
  <c r="M110" i="31"/>
  <c r="P110" i="31"/>
  <c r="M224" i="31"/>
  <c r="P224" i="31"/>
  <c r="M118" i="31"/>
  <c r="P118" i="31"/>
  <c r="M264" i="31"/>
  <c r="P264" i="31"/>
  <c r="M244" i="31"/>
  <c r="P244" i="31"/>
  <c r="M135" i="31"/>
  <c r="P135" i="31"/>
  <c r="M177" i="31"/>
  <c r="P177" i="31"/>
  <c r="M219" i="31"/>
  <c r="P219" i="31"/>
  <c r="M245" i="31"/>
  <c r="P245" i="31"/>
  <c r="M227" i="31"/>
  <c r="P227" i="31"/>
  <c r="M223" i="31"/>
  <c r="P223" i="31"/>
  <c r="M125" i="31"/>
  <c r="P125" i="31"/>
  <c r="M291" i="31"/>
  <c r="P291" i="31"/>
  <c r="M13" i="31"/>
  <c r="P13" i="31"/>
  <c r="M242" i="31"/>
  <c r="P242" i="31"/>
  <c r="M287" i="31"/>
  <c r="P287" i="31"/>
  <c r="M187" i="31"/>
  <c r="P187" i="31"/>
  <c r="M216" i="31"/>
  <c r="P216" i="31"/>
  <c r="M140" i="31"/>
  <c r="P140" i="31"/>
  <c r="L303" i="31"/>
  <c r="P304" i="31"/>
  <c r="M170" i="31"/>
  <c r="P170" i="31"/>
  <c r="M292" i="31"/>
  <c r="P292" i="31"/>
  <c r="M270" i="31"/>
  <c r="P270" i="31"/>
  <c r="M283" i="31"/>
  <c r="P283" i="31"/>
  <c r="M193" i="31"/>
  <c r="P193" i="31"/>
  <c r="M214" i="31"/>
  <c r="P214" i="31"/>
  <c r="M297" i="31"/>
  <c r="P297" i="31"/>
  <c r="M51" i="31"/>
  <c r="P51" i="31"/>
  <c r="M186" i="31"/>
  <c r="P186" i="31"/>
  <c r="M139" i="31"/>
  <c r="P139" i="31"/>
  <c r="M235" i="31"/>
  <c r="P235" i="31"/>
  <c r="M190" i="31"/>
  <c r="P190" i="31"/>
  <c r="M173" i="31"/>
  <c r="P173" i="31"/>
  <c r="M250" i="31"/>
  <c r="P250" i="31"/>
  <c r="M183" i="31"/>
  <c r="P183" i="31"/>
  <c r="M256" i="31"/>
  <c r="P256" i="31"/>
  <c r="M114" i="31"/>
  <c r="P114" i="31"/>
  <c r="M130" i="31"/>
  <c r="P130" i="31"/>
  <c r="M232" i="31"/>
  <c r="P232" i="31"/>
  <c r="M226" i="31"/>
  <c r="P226" i="31"/>
  <c r="M277" i="31"/>
  <c r="P277" i="31"/>
  <c r="M194" i="31"/>
  <c r="P194" i="31"/>
  <c r="M268" i="31"/>
  <c r="P268" i="31"/>
  <c r="M271" i="31"/>
  <c r="P271" i="31"/>
  <c r="M178" i="31"/>
  <c r="P178" i="31"/>
  <c r="M121" i="31"/>
  <c r="P121" i="31"/>
  <c r="M167" i="31"/>
  <c r="P167" i="31"/>
  <c r="M134" i="31"/>
  <c r="P134" i="31"/>
  <c r="M217" i="31"/>
  <c r="P217" i="31"/>
  <c r="M179" i="31"/>
  <c r="P179" i="31"/>
  <c r="M197" i="31"/>
  <c r="P197" i="31"/>
  <c r="M294" i="31"/>
  <c r="P294" i="31"/>
  <c r="M163" i="31"/>
  <c r="P163" i="31"/>
  <c r="M254" i="31"/>
  <c r="P254" i="31"/>
  <c r="M285" i="31"/>
  <c r="P285" i="31"/>
  <c r="M200" i="31"/>
  <c r="P200" i="31"/>
  <c r="M266" i="31"/>
  <c r="P266" i="31"/>
  <c r="M168" i="31"/>
  <c r="P168" i="31"/>
  <c r="M133" i="31"/>
  <c r="P133" i="31"/>
  <c r="M80" i="31"/>
  <c r="P80" i="31"/>
  <c r="M182" i="31"/>
  <c r="P182" i="31"/>
  <c r="M282" i="31"/>
  <c r="P282" i="31"/>
  <c r="M272" i="31"/>
  <c r="P272" i="31"/>
  <c r="M239" i="31"/>
  <c r="P239" i="31"/>
  <c r="M165" i="31"/>
  <c r="P165" i="31"/>
  <c r="M289" i="31"/>
  <c r="P289" i="31"/>
  <c r="M145" i="31"/>
  <c r="P145" i="31"/>
  <c r="M184" i="31"/>
  <c r="P184" i="31"/>
  <c r="M296" i="31"/>
  <c r="P296" i="31"/>
  <c r="M210" i="31"/>
  <c r="P210" i="31"/>
  <c r="M228" i="31"/>
  <c r="P228" i="31"/>
  <c r="M136" i="31"/>
  <c r="P136" i="31"/>
  <c r="M293" i="31"/>
  <c r="P293" i="31"/>
  <c r="M166" i="31"/>
  <c r="P166" i="31"/>
  <c r="M265" i="31"/>
  <c r="P265" i="31"/>
  <c r="M180" i="31"/>
  <c r="P180" i="31"/>
  <c r="M229" i="31"/>
  <c r="P229" i="31"/>
  <c r="M122" i="31"/>
  <c r="P122" i="31"/>
  <c r="M146" i="31"/>
  <c r="P146" i="31"/>
  <c r="M162" i="31"/>
  <c r="P162" i="31"/>
  <c r="M275" i="31"/>
  <c r="P275" i="31"/>
  <c r="M290" i="31"/>
  <c r="P290" i="31"/>
  <c r="M284" i="31"/>
  <c r="P284" i="31"/>
  <c r="M175" i="31"/>
  <c r="P175" i="31"/>
  <c r="M248" i="31"/>
  <c r="P248" i="31"/>
  <c r="M237" i="31"/>
  <c r="P237" i="31"/>
  <c r="M253" i="31"/>
  <c r="P253" i="31"/>
  <c r="M298" i="31"/>
  <c r="P298" i="31"/>
  <c r="M286" i="31"/>
  <c r="P286" i="31"/>
  <c r="M215" i="31"/>
  <c r="P215" i="31"/>
  <c r="AV21" i="11"/>
  <c r="BI21" i="11"/>
  <c r="AZ21" i="11"/>
  <c r="BG21" i="11" s="1"/>
  <c r="CO21" i="11" s="1"/>
  <c r="CR26" i="11"/>
  <c r="CQ12" i="11"/>
  <c r="CT12" i="11" s="1"/>
  <c r="Q45" i="1"/>
  <c r="Q27" i="3"/>
  <c r="W21" i="35"/>
  <c r="S7" i="3"/>
  <c r="K30" i="10"/>
  <c r="CK8" i="11"/>
  <c r="CK21" i="11" s="1"/>
  <c r="CK11" i="11"/>
  <c r="CK24" i="11" s="1"/>
  <c r="CP13" i="11"/>
  <c r="M98" i="31"/>
  <c r="M35" i="31"/>
  <c r="M72" i="31"/>
  <c r="M24" i="31"/>
  <c r="M85" i="31"/>
  <c r="M40" i="31"/>
  <c r="M16" i="31"/>
  <c r="M46" i="31"/>
  <c r="M68" i="31"/>
  <c r="M81" i="31"/>
  <c r="M42" i="31"/>
  <c r="M93" i="31"/>
  <c r="M76" i="31"/>
  <c r="M53" i="31"/>
  <c r="M20" i="31"/>
  <c r="M97" i="31"/>
  <c r="M38" i="31"/>
  <c r="M90" i="31"/>
  <c r="M74" i="31"/>
  <c r="M92" i="31"/>
  <c r="M89" i="31"/>
  <c r="M70" i="31"/>
  <c r="M26" i="31"/>
  <c r="M79" i="31"/>
  <c r="M86" i="31"/>
  <c r="M27" i="31"/>
  <c r="M84" i="31"/>
  <c r="M49" i="31"/>
  <c r="M34" i="31"/>
  <c r="M36" i="31"/>
  <c r="M41" i="31"/>
  <c r="M66" i="31"/>
  <c r="M75" i="31"/>
  <c r="M61" i="31"/>
  <c r="M48" i="31"/>
  <c r="M83" i="31"/>
  <c r="M25" i="31"/>
  <c r="M39" i="31"/>
  <c r="L236" i="31"/>
  <c r="L78" i="31"/>
  <c r="M103" i="31"/>
  <c r="M44" i="31"/>
  <c r="L252" i="31"/>
  <c r="L249" i="31"/>
  <c r="L28" i="31"/>
  <c r="L295" i="31"/>
  <c r="L104" i="31"/>
  <c r="P104" i="31" s="1"/>
  <c r="M88" i="31"/>
  <c r="M96" i="31"/>
  <c r="M77" i="31"/>
  <c r="M73" i="31"/>
  <c r="M17" i="31"/>
  <c r="M94" i="31"/>
  <c r="M54" i="31"/>
  <c r="M91" i="31"/>
  <c r="M71" i="31"/>
  <c r="M22" i="31"/>
  <c r="M37" i="31"/>
  <c r="M18" i="31"/>
  <c r="M50" i="31"/>
  <c r="M87" i="31"/>
  <c r="M100" i="31"/>
  <c r="M52" i="31"/>
  <c r="L185" i="31"/>
  <c r="L47" i="31"/>
  <c r="P47" i="31" s="1"/>
  <c r="L164" i="31"/>
  <c r="L138" i="31"/>
  <c r="L192" i="31"/>
  <c r="L288" i="31"/>
  <c r="P288" i="31" s="1"/>
  <c r="M55" i="31"/>
  <c r="M33" i="31"/>
  <c r="M15" i="31"/>
  <c r="M82" i="31"/>
  <c r="M59" i="31"/>
  <c r="M23" i="31"/>
  <c r="M95" i="31"/>
  <c r="L65" i="31"/>
  <c r="P65" i="31" s="1"/>
  <c r="L196" i="31"/>
  <c r="L132" i="31"/>
  <c r="L212" i="31"/>
  <c r="N147" i="1"/>
  <c r="H7" i="39"/>
  <c r="H15" i="39" s="1"/>
  <c r="K31" i="10"/>
  <c r="N232" i="1"/>
  <c r="J27" i="10"/>
  <c r="AB21" i="35"/>
  <c r="D7" i="46"/>
  <c r="K20" i="34"/>
  <c r="O11" i="34"/>
  <c r="L11" i="34"/>
  <c r="K12" i="34"/>
  <c r="K21" i="34" s="1"/>
  <c r="CB30" i="11"/>
  <c r="Q28" i="33"/>
  <c r="AG19" i="35"/>
  <c r="L19" i="34"/>
  <c r="P10" i="34"/>
  <c r="L9" i="34"/>
  <c r="S75" i="1"/>
  <c r="S74" i="1" s="1"/>
  <c r="V78" i="1"/>
  <c r="N31" i="10"/>
  <c r="N24" i="10"/>
  <c r="N30" i="10"/>
  <c r="K24" i="10"/>
  <c r="L11" i="10"/>
  <c r="O11" i="10"/>
  <c r="O24" i="10" s="1"/>
  <c r="K10" i="10"/>
  <c r="K23" i="10" s="1"/>
  <c r="H10" i="9"/>
  <c r="G10" i="9"/>
  <c r="G15" i="9" s="1"/>
  <c r="G16" i="9" s="1"/>
  <c r="H27" i="10"/>
  <c r="I27" i="10"/>
  <c r="K25" i="10"/>
  <c r="O12" i="10"/>
  <c r="L12" i="10"/>
  <c r="S43" i="1"/>
  <c r="S42" i="1" s="1"/>
  <c r="AB12" i="12"/>
  <c r="AA10" i="12"/>
  <c r="AB10" i="12"/>
  <c r="F74" i="8"/>
  <c r="H65" i="8"/>
  <c r="H67" i="8"/>
  <c r="H68" i="8" s="1"/>
  <c r="I67" i="8"/>
  <c r="I68" i="8" s="1"/>
  <c r="I65" i="8"/>
  <c r="F48" i="8"/>
  <c r="F42" i="8" s="1"/>
  <c r="J67" i="8"/>
  <c r="J68" i="8" s="1"/>
  <c r="J65" i="8"/>
  <c r="I47" i="8"/>
  <c r="I48" i="8" s="1"/>
  <c r="I45" i="8"/>
  <c r="F68" i="8"/>
  <c r="F62" i="8" s="1"/>
  <c r="J47" i="8"/>
  <c r="J48" i="8" s="1"/>
  <c r="J45" i="8"/>
  <c r="G47" i="8"/>
  <c r="G48" i="8" s="1"/>
  <c r="G45" i="8"/>
  <c r="H47" i="8"/>
  <c r="H48" i="8" s="1"/>
  <c r="H45" i="8"/>
  <c r="G65" i="8"/>
  <c r="G67" i="8"/>
  <c r="G68" i="8" s="1"/>
  <c r="CJ21" i="11"/>
  <c r="AX22" i="11"/>
  <c r="AK22" i="11"/>
  <c r="CD11" i="11"/>
  <c r="CD24" i="11" s="1"/>
  <c r="BW24" i="11"/>
  <c r="CC11" i="11"/>
  <c r="AT22" i="11"/>
  <c r="AO27" i="11"/>
  <c r="BW9" i="11"/>
  <c r="CJ9" i="11"/>
  <c r="BW21" i="11"/>
  <c r="CC21" i="11" s="1"/>
  <c r="CF21" i="11" s="1"/>
  <c r="CD8" i="11"/>
  <c r="CD21" i="11" s="1"/>
  <c r="CC8" i="11"/>
  <c r="AV24" i="11"/>
  <c r="BV24" i="11"/>
  <c r="AZ24" i="11"/>
  <c r="BE24" i="11" s="1"/>
  <c r="BG24" i="11" s="1"/>
  <c r="CO24" i="11" s="1"/>
  <c r="BI24" i="11"/>
  <c r="AP25" i="11"/>
  <c r="AP27" i="11" s="1"/>
  <c r="AE27" i="11"/>
  <c r="AK24" i="11"/>
  <c r="AX24" i="11"/>
  <c r="AX21" i="11"/>
  <c r="AK21" i="11"/>
  <c r="AZ7" i="11"/>
  <c r="BE7" i="11" s="1"/>
  <c r="AT20" i="11"/>
  <c r="AV7" i="11"/>
  <c r="AV14" i="11" s="1"/>
  <c r="BV7" i="11"/>
  <c r="AI25" i="11"/>
  <c r="AI27" i="11" s="1"/>
  <c r="AI32" i="11" s="1"/>
  <c r="U147" i="1"/>
  <c r="S28" i="3"/>
  <c r="F54" i="30"/>
  <c r="M304" i="31"/>
  <c r="M303" i="31" s="1"/>
  <c r="M302" i="31" s="1"/>
  <c r="K303" i="31"/>
  <c r="K302" i="31" s="1"/>
  <c r="F19" i="24"/>
  <c r="G19" i="24" s="1"/>
  <c r="J19" i="24" s="1"/>
  <c r="M260" i="31"/>
  <c r="F75" i="30"/>
  <c r="F74" i="30" s="1"/>
  <c r="K208" i="31"/>
  <c r="L208" i="31" s="1"/>
  <c r="N17" i="4" l="1"/>
  <c r="L17" i="4"/>
  <c r="P208" i="31"/>
  <c r="L207" i="31"/>
  <c r="P207" i="31" s="1"/>
  <c r="K273" i="31"/>
  <c r="L273" i="31" s="1"/>
  <c r="M273" i="31" s="1"/>
  <c r="M43" i="31"/>
  <c r="K208" i="55"/>
  <c r="U185" i="23"/>
  <c r="F68" i="25" s="1"/>
  <c r="F67" i="25" s="1"/>
  <c r="K152" i="31"/>
  <c r="L152" i="31" s="1"/>
  <c r="P152" i="31" s="1"/>
  <c r="M275" i="55"/>
  <c r="L157" i="55"/>
  <c r="P158" i="55"/>
  <c r="P206" i="31"/>
  <c r="M150" i="31"/>
  <c r="F63" i="25"/>
  <c r="K153" i="55"/>
  <c r="M153" i="55" s="1"/>
  <c r="K308" i="31"/>
  <c r="K310" i="55"/>
  <c r="K262" i="31"/>
  <c r="L262" i="31" s="1"/>
  <c r="M262" i="31" s="1"/>
  <c r="K264" i="55"/>
  <c r="F104" i="25"/>
  <c r="G83" i="30" s="1"/>
  <c r="K303" i="55"/>
  <c r="M151" i="55"/>
  <c r="S324" i="23"/>
  <c r="U324" i="23" s="1"/>
  <c r="F99" i="25" s="1"/>
  <c r="F97" i="25" s="1"/>
  <c r="AB242" i="48"/>
  <c r="L209" i="55" s="1"/>
  <c r="AB149" i="48"/>
  <c r="L129" i="55" s="1"/>
  <c r="P129" i="55" s="1"/>
  <c r="AB148" i="48"/>
  <c r="L128" i="55" s="1"/>
  <c r="P128" i="55" s="1"/>
  <c r="AB144" i="48"/>
  <c r="L124" i="55" s="1"/>
  <c r="P124" i="55" s="1"/>
  <c r="AB128" i="48"/>
  <c r="L110" i="55" s="1"/>
  <c r="P110" i="55" s="1"/>
  <c r="W304" i="48"/>
  <c r="AB304" i="48"/>
  <c r="L264" i="55" s="1"/>
  <c r="AB301" i="48"/>
  <c r="AB324" i="48"/>
  <c r="L283" i="55" s="1"/>
  <c r="W324" i="48"/>
  <c r="V182" i="48"/>
  <c r="AB182" i="48"/>
  <c r="AC182" i="48" s="1"/>
  <c r="L14" i="4"/>
  <c r="J9" i="4"/>
  <c r="J4" i="4" s="1"/>
  <c r="K7" i="4"/>
  <c r="CR8" i="11"/>
  <c r="M261" i="31"/>
  <c r="K301" i="31"/>
  <c r="W304" i="23"/>
  <c r="F95" i="25"/>
  <c r="F92" i="25" s="1"/>
  <c r="F76" i="25"/>
  <c r="Q42" i="1"/>
  <c r="Q7" i="1" s="1"/>
  <c r="M164" i="31"/>
  <c r="P164" i="31"/>
  <c r="M209" i="31"/>
  <c r="M196" i="31"/>
  <c r="P196" i="31"/>
  <c r="M120" i="31"/>
  <c r="P120" i="31"/>
  <c r="M236" i="31"/>
  <c r="P236" i="31"/>
  <c r="M185" i="31"/>
  <c r="P185" i="31"/>
  <c r="M221" i="31"/>
  <c r="P221" i="31"/>
  <c r="M295" i="31"/>
  <c r="P295" i="31"/>
  <c r="M212" i="31"/>
  <c r="P212" i="31"/>
  <c r="M192" i="31"/>
  <c r="P192" i="31"/>
  <c r="M28" i="31"/>
  <c r="P28" i="31"/>
  <c r="M78" i="31"/>
  <c r="P78" i="31"/>
  <c r="M132" i="31"/>
  <c r="P132" i="31"/>
  <c r="M252" i="31"/>
  <c r="P252" i="31"/>
  <c r="M138" i="31"/>
  <c r="P138" i="31"/>
  <c r="M249" i="31"/>
  <c r="P249" i="31"/>
  <c r="P9" i="31"/>
  <c r="L302" i="31"/>
  <c r="P302" i="31" s="1"/>
  <c r="P303" i="31"/>
  <c r="CR11" i="11"/>
  <c r="L30" i="10"/>
  <c r="CQ11" i="11"/>
  <c r="DV12" i="11"/>
  <c r="CP26" i="11"/>
  <c r="CQ8" i="11"/>
  <c r="CT8" i="11" s="1"/>
  <c r="Q248" i="1"/>
  <c r="Q28" i="3"/>
  <c r="CK9" i="11"/>
  <c r="CK22" i="11" s="1"/>
  <c r="CC24" i="11"/>
  <c r="CF24" i="11" s="1"/>
  <c r="M104" i="31"/>
  <c r="M288" i="31"/>
  <c r="M65" i="31"/>
  <c r="M47" i="31"/>
  <c r="M9" i="31"/>
  <c r="S179" i="23"/>
  <c r="CQ21" i="11"/>
  <c r="CT21" i="11" s="1"/>
  <c r="K22" i="34"/>
  <c r="P11" i="34"/>
  <c r="L20" i="34"/>
  <c r="L12" i="34"/>
  <c r="AI19" i="35"/>
  <c r="AG21" i="35"/>
  <c r="AE18" i="33"/>
  <c r="P9" i="34"/>
  <c r="L18" i="34"/>
  <c r="O9" i="34"/>
  <c r="N9" i="34"/>
  <c r="M9" i="34"/>
  <c r="Q27" i="33"/>
  <c r="L15" i="45"/>
  <c r="M15" i="45" s="1"/>
  <c r="O30" i="10"/>
  <c r="L25" i="10"/>
  <c r="F10" i="9" s="1"/>
  <c r="P12" i="10"/>
  <c r="L13" i="10"/>
  <c r="K27" i="10"/>
  <c r="O25" i="10"/>
  <c r="O31" i="10"/>
  <c r="L24" i="10"/>
  <c r="F9" i="9" s="1"/>
  <c r="L10" i="10"/>
  <c r="P11" i="10"/>
  <c r="I9" i="9"/>
  <c r="H9" i="9"/>
  <c r="H15" i="9" s="1"/>
  <c r="H16" i="9" s="1"/>
  <c r="L31" i="10"/>
  <c r="CF11" i="11"/>
  <c r="CB11" i="11"/>
  <c r="CB24" i="11" s="1"/>
  <c r="CD9" i="11"/>
  <c r="CD22" i="11" s="1"/>
  <c r="CC9" i="11"/>
  <c r="BW22" i="11"/>
  <c r="AX25" i="11"/>
  <c r="AK25" i="11"/>
  <c r="BV20" i="11"/>
  <c r="CJ7" i="11"/>
  <c r="CJ14" i="11" s="1"/>
  <c r="BW7" i="11"/>
  <c r="CJ24" i="11"/>
  <c r="CQ24" i="11" s="1"/>
  <c r="CT24" i="11" s="1"/>
  <c r="BU24" i="11"/>
  <c r="AZ22" i="11"/>
  <c r="BE22" i="11" s="1"/>
  <c r="BG22" i="11" s="1"/>
  <c r="CO22" i="11" s="1"/>
  <c r="BI22" i="11"/>
  <c r="AV22" i="11"/>
  <c r="BV22" i="11"/>
  <c r="AT25" i="11"/>
  <c r="AZ20" i="11"/>
  <c r="BI20" i="11"/>
  <c r="AV20" i="11"/>
  <c r="CF8" i="11"/>
  <c r="CB8" i="11"/>
  <c r="CB21" i="11" s="1"/>
  <c r="BG7" i="11"/>
  <c r="BE20" i="11"/>
  <c r="BU21" i="11"/>
  <c r="G53" i="30"/>
  <c r="M208" i="31"/>
  <c r="K207" i="31"/>
  <c r="P308" i="31" l="1"/>
  <c r="P273" i="31"/>
  <c r="M301" i="31"/>
  <c r="M300" i="31" s="1"/>
  <c r="M299" i="31" s="1"/>
  <c r="K158" i="55"/>
  <c r="M158" i="55" s="1"/>
  <c r="M157" i="55" s="1"/>
  <c r="K157" i="31"/>
  <c r="L157" i="31" s="1"/>
  <c r="P157" i="31" s="1"/>
  <c r="M152" i="31"/>
  <c r="P209" i="55"/>
  <c r="L208" i="55"/>
  <c r="P208" i="55" s="1"/>
  <c r="M209" i="55"/>
  <c r="M208" i="55" s="1"/>
  <c r="P264" i="55"/>
  <c r="L261" i="55"/>
  <c r="P283" i="55"/>
  <c r="L282" i="55"/>
  <c r="P282" i="55" s="1"/>
  <c r="P157" i="55"/>
  <c r="K307" i="31"/>
  <c r="K306" i="31" s="1"/>
  <c r="L259" i="31"/>
  <c r="P259" i="31" s="1"/>
  <c r="K259" i="31"/>
  <c r="P262" i="31"/>
  <c r="K302" i="55"/>
  <c r="K301" i="55" s="1"/>
  <c r="M303" i="55"/>
  <c r="M302" i="55" s="1"/>
  <c r="M301" i="55" s="1"/>
  <c r="K309" i="55"/>
  <c r="M310" i="55"/>
  <c r="M264" i="55"/>
  <c r="M261" i="55" s="1"/>
  <c r="K261" i="55"/>
  <c r="K281" i="31"/>
  <c r="L281" i="31" s="1"/>
  <c r="P281" i="31" s="1"/>
  <c r="K283" i="55"/>
  <c r="AB61" i="48"/>
  <c r="L58" i="55" s="1"/>
  <c r="P58" i="55" s="1"/>
  <c r="V241" i="48"/>
  <c r="AB241" i="48"/>
  <c r="AC241" i="48" s="1"/>
  <c r="W352" i="48"/>
  <c r="AB177" i="48"/>
  <c r="L152" i="55" s="1"/>
  <c r="U361" i="48"/>
  <c r="V181" i="48"/>
  <c r="AB181" i="48"/>
  <c r="V323" i="48"/>
  <c r="AB323" i="48"/>
  <c r="AC323" i="48" s="1"/>
  <c r="W241" i="48"/>
  <c r="CQ9" i="11"/>
  <c r="CT9" i="11" s="1"/>
  <c r="CP11" i="11"/>
  <c r="CP24" i="11" s="1"/>
  <c r="CT11" i="11"/>
  <c r="CR24" i="11"/>
  <c r="CP8" i="11"/>
  <c r="CP21" i="11" s="1"/>
  <c r="CR21" i="11"/>
  <c r="K9" i="4"/>
  <c r="K4" i="4" s="1"/>
  <c r="L7" i="4"/>
  <c r="CR9" i="11"/>
  <c r="M259" i="31"/>
  <c r="K300" i="31"/>
  <c r="K299" i="31" s="1"/>
  <c r="L300" i="31"/>
  <c r="P300" i="31" s="1"/>
  <c r="F91" i="25"/>
  <c r="F66" i="25"/>
  <c r="F78" i="30"/>
  <c r="F76" i="30" s="1"/>
  <c r="G73" i="30" s="1"/>
  <c r="M207" i="31"/>
  <c r="DV13" i="11"/>
  <c r="DV25" i="11"/>
  <c r="DR30" i="11"/>
  <c r="E42" i="24"/>
  <c r="E49" i="24" s="1"/>
  <c r="P31" i="10"/>
  <c r="CK7" i="11"/>
  <c r="CI24" i="11"/>
  <c r="CI21" i="11"/>
  <c r="U179" i="23"/>
  <c r="K152" i="55" s="1"/>
  <c r="I15" i="39"/>
  <c r="K15" i="39" s="1"/>
  <c r="L15" i="39" s="1"/>
  <c r="P30" i="10"/>
  <c r="CC22" i="11"/>
  <c r="CF22" i="11" s="1"/>
  <c r="M19" i="34"/>
  <c r="N19" i="34" s="1"/>
  <c r="O19" i="34" s="1"/>
  <c r="P19" i="34" s="1"/>
  <c r="N12" i="34"/>
  <c r="M12" i="34"/>
  <c r="L21" i="34"/>
  <c r="P12" i="34"/>
  <c r="O12" i="34"/>
  <c r="N119" i="1"/>
  <c r="N74" i="1" s="1"/>
  <c r="F15" i="9"/>
  <c r="F16" i="9" s="1"/>
  <c r="M13" i="10"/>
  <c r="M26" i="10" s="1"/>
  <c r="G11" i="9" s="1"/>
  <c r="L26" i="10"/>
  <c r="P13" i="10"/>
  <c r="O13" i="10"/>
  <c r="O26" i="10" s="1"/>
  <c r="I11" i="9" s="1"/>
  <c r="N13" i="10"/>
  <c r="N26" i="10" s="1"/>
  <c r="H11" i="9" s="1"/>
  <c r="I10" i="9"/>
  <c r="I15" i="9" s="1"/>
  <c r="I16" i="9" s="1"/>
  <c r="Q12" i="10"/>
  <c r="P25" i="10"/>
  <c r="J10" i="9" s="1"/>
  <c r="P24" i="10"/>
  <c r="J9" i="9" s="1"/>
  <c r="Q11" i="10"/>
  <c r="P10" i="10"/>
  <c r="O10" i="10"/>
  <c r="O23" i="10" s="1"/>
  <c r="N10" i="10"/>
  <c r="N23" i="10" s="1"/>
  <c r="M10" i="10"/>
  <c r="M23" i="10" s="1"/>
  <c r="L23" i="10"/>
  <c r="CB9" i="11"/>
  <c r="CB22" i="11" s="1"/>
  <c r="CF9" i="11"/>
  <c r="BG20" i="11"/>
  <c r="BD20" i="11"/>
  <c r="BD27" i="11" s="1"/>
  <c r="CD7" i="11"/>
  <c r="CC7" i="11"/>
  <c r="BW20" i="11"/>
  <c r="BW27" i="11" s="1"/>
  <c r="AZ25" i="11"/>
  <c r="BE25" i="11" s="1"/>
  <c r="BG25" i="11" s="1"/>
  <c r="CO25" i="11" s="1"/>
  <c r="CQ25" i="11" s="1"/>
  <c r="CT25" i="11" s="1"/>
  <c r="BI25" i="11"/>
  <c r="AV25" i="11"/>
  <c r="AV27" i="11" s="1"/>
  <c r="BU22" i="11"/>
  <c r="CJ22" i="11"/>
  <c r="CQ22" i="11" s="1"/>
  <c r="CT22" i="11" s="1"/>
  <c r="BV27" i="11"/>
  <c r="CJ20" i="11"/>
  <c r="AT27" i="11"/>
  <c r="AT32" i="11" s="1"/>
  <c r="L307" i="31" l="1"/>
  <c r="P307" i="31" s="1"/>
  <c r="M308" i="31"/>
  <c r="P301" i="31"/>
  <c r="K157" i="55"/>
  <c r="K156" i="55" s="1"/>
  <c r="M157" i="31"/>
  <c r="M156" i="31" s="1"/>
  <c r="M155" i="31" s="1"/>
  <c r="K156" i="31"/>
  <c r="K155" i="31" s="1"/>
  <c r="L156" i="31"/>
  <c r="CP9" i="11"/>
  <c r="CP22" i="11" s="1"/>
  <c r="L156" i="55"/>
  <c r="P156" i="55" s="1"/>
  <c r="CR22" i="11"/>
  <c r="M156" i="55"/>
  <c r="L260" i="55"/>
  <c r="P261" i="55"/>
  <c r="P152" i="55"/>
  <c r="L150" i="55"/>
  <c r="P150" i="55" s="1"/>
  <c r="K280" i="31"/>
  <c r="K258" i="31" s="1"/>
  <c r="K308" i="55"/>
  <c r="M308" i="55" s="1"/>
  <c r="M309" i="55"/>
  <c r="L280" i="31"/>
  <c r="M281" i="31"/>
  <c r="M280" i="31" s="1"/>
  <c r="M258" i="31" s="1"/>
  <c r="M152" i="55"/>
  <c r="K282" i="55"/>
  <c r="K260" i="55" s="1"/>
  <c r="M283" i="55"/>
  <c r="M282" i="55" s="1"/>
  <c r="M260" i="55" s="1"/>
  <c r="P5" i="48"/>
  <c r="AB110" i="48"/>
  <c r="L103" i="55" s="1"/>
  <c r="P103" i="55" s="1"/>
  <c r="AC181" i="48"/>
  <c r="U362" i="48"/>
  <c r="V300" i="48"/>
  <c r="AB300" i="48"/>
  <c r="AC300" i="48" s="1"/>
  <c r="J73" i="30"/>
  <c r="CK20" i="11"/>
  <c r="CK27" i="11" s="1"/>
  <c r="CK14" i="11"/>
  <c r="DR31" i="11"/>
  <c r="DV26" i="11"/>
  <c r="DV24" i="11"/>
  <c r="L9" i="4"/>
  <c r="L4" i="4" s="1"/>
  <c r="N7" i="4"/>
  <c r="L299" i="31"/>
  <c r="P299" i="31" s="1"/>
  <c r="J53" i="30"/>
  <c r="CQ7" i="11"/>
  <c r="CQ14" i="11" s="1"/>
  <c r="G42" i="24"/>
  <c r="J42" i="24" s="1"/>
  <c r="M42" i="24" s="1"/>
  <c r="CR7" i="11"/>
  <c r="CI22" i="11"/>
  <c r="F62" i="25"/>
  <c r="K151" i="31"/>
  <c r="L151" i="31" s="1"/>
  <c r="BU20" i="11"/>
  <c r="BZ37" i="11" s="1"/>
  <c r="M20" i="34"/>
  <c r="N20" i="34" s="1"/>
  <c r="O20" i="34" s="1"/>
  <c r="P20" i="34" s="1"/>
  <c r="L22" i="34"/>
  <c r="AE27" i="33"/>
  <c r="CJ27" i="11"/>
  <c r="M18" i="34"/>
  <c r="I7" i="9"/>
  <c r="P23" i="10"/>
  <c r="E11" i="43"/>
  <c r="Q10" i="10"/>
  <c r="Q24" i="10"/>
  <c r="K9" i="9" s="1"/>
  <c r="R11" i="10"/>
  <c r="Q30" i="10"/>
  <c r="P26" i="10"/>
  <c r="J11" i="9" s="1"/>
  <c r="Q13" i="10"/>
  <c r="E12" i="43"/>
  <c r="F11" i="9"/>
  <c r="L27" i="10"/>
  <c r="F7" i="9"/>
  <c r="M27" i="10"/>
  <c r="R12" i="10"/>
  <c r="Q31" i="10"/>
  <c r="Q25" i="10"/>
  <c r="G7" i="9"/>
  <c r="N27" i="10"/>
  <c r="H7" i="9"/>
  <c r="O27" i="10"/>
  <c r="CF7" i="11"/>
  <c r="CB7" i="11"/>
  <c r="BV37" i="11"/>
  <c r="CD20" i="11"/>
  <c r="BW37" i="11"/>
  <c r="BE27" i="11"/>
  <c r="BE32" i="11" s="1"/>
  <c r="CP30" i="11"/>
  <c r="AZ27" i="11"/>
  <c r="M307" i="31" l="1"/>
  <c r="L306" i="31"/>
  <c r="P306" i="31" s="1"/>
  <c r="CT7" i="11"/>
  <c r="CT14" i="11" s="1"/>
  <c r="P156" i="31"/>
  <c r="L155" i="31"/>
  <c r="DV21" i="11"/>
  <c r="P260" i="55"/>
  <c r="P280" i="31"/>
  <c r="L258" i="31"/>
  <c r="P258" i="31" s="1"/>
  <c r="O137" i="23"/>
  <c r="S137" i="23" s="1"/>
  <c r="AB126" i="48"/>
  <c r="L108" i="55" s="1"/>
  <c r="CR20" i="11"/>
  <c r="DL27" i="11" s="1"/>
  <c r="DL28" i="11" s="1"/>
  <c r="CR14" i="11"/>
  <c r="CI20" i="11"/>
  <c r="CI27" i="11" s="1"/>
  <c r="BU27" i="11"/>
  <c r="DV22" i="11"/>
  <c r="N9" i="4"/>
  <c r="N4" i="4" s="1"/>
  <c r="R30" i="10"/>
  <c r="CP7" i="11"/>
  <c r="P151" i="31"/>
  <c r="M151" i="31"/>
  <c r="N18" i="34"/>
  <c r="O18" i="34" s="1"/>
  <c r="P18" i="34" s="1"/>
  <c r="M21" i="34"/>
  <c r="E13" i="43"/>
  <c r="E16" i="43" s="1"/>
  <c r="R31" i="10"/>
  <c r="G12" i="9"/>
  <c r="Q26" i="10"/>
  <c r="K11" i="9" s="1"/>
  <c r="R13" i="10"/>
  <c r="G14" i="9"/>
  <c r="F12" i="9"/>
  <c r="F14" i="9" s="1"/>
  <c r="F4" i="9" s="1"/>
  <c r="H12" i="9"/>
  <c r="H14" i="9" s="1"/>
  <c r="I12" i="9"/>
  <c r="I14" i="9" s="1"/>
  <c r="I4" i="9" s="1"/>
  <c r="K10" i="9"/>
  <c r="K15" i="9" s="1"/>
  <c r="K16" i="9" s="1"/>
  <c r="P27" i="10"/>
  <c r="R25" i="10"/>
  <c r="S12" i="10"/>
  <c r="Q23" i="10"/>
  <c r="R10" i="10"/>
  <c r="R24" i="10"/>
  <c r="S11" i="10"/>
  <c r="CA37" i="11"/>
  <c r="CD27" i="11"/>
  <c r="BU37" i="11"/>
  <c r="BV38" i="11" s="1"/>
  <c r="CB20" i="11"/>
  <c r="P155" i="31" l="1"/>
  <c r="M306" i="31"/>
  <c r="CR27" i="11"/>
  <c r="CR28" i="11" s="1"/>
  <c r="N23" i="9"/>
  <c r="P108" i="55"/>
  <c r="AB135" i="48"/>
  <c r="L117" i="55" s="1"/>
  <c r="P117" i="55" s="1"/>
  <c r="V23" i="9"/>
  <c r="DL14" i="11"/>
  <c r="CP20" i="11"/>
  <c r="CP14" i="11"/>
  <c r="S31" i="10"/>
  <c r="N21" i="34"/>
  <c r="M22" i="34"/>
  <c r="G4" i="9"/>
  <c r="K7" i="9"/>
  <c r="J12" i="9"/>
  <c r="S25" i="10"/>
  <c r="H4" i="9"/>
  <c r="S13" i="10"/>
  <c r="T12" i="10" s="1"/>
  <c r="R26" i="10"/>
  <c r="T11" i="10"/>
  <c r="T7" i="10" s="1"/>
  <c r="U7" i="10" s="1"/>
  <c r="S24" i="10"/>
  <c r="S30" i="10"/>
  <c r="Q27" i="10"/>
  <c r="M150" i="44" s="1"/>
  <c r="S10" i="10"/>
  <c r="R23" i="10"/>
  <c r="CC20" i="11"/>
  <c r="CB27" i="11"/>
  <c r="U137" i="23"/>
  <c r="K117" i="55" s="1"/>
  <c r="DT14" i="11" l="1"/>
  <c r="DS14" i="11"/>
  <c r="M117" i="55"/>
  <c r="R135" i="1"/>
  <c r="N22" i="9"/>
  <c r="V22" i="9"/>
  <c r="DR14" i="11"/>
  <c r="DM14" i="11"/>
  <c r="DK14" i="11"/>
  <c r="CQ20" i="11"/>
  <c r="CO20" i="11" s="1"/>
  <c r="V28" i="9" s="1"/>
  <c r="X28" i="9" s="1"/>
  <c r="CP27" i="11"/>
  <c r="CP28" i="11" s="1"/>
  <c r="DS27" i="11"/>
  <c r="DK27" i="11"/>
  <c r="DK28" i="11" s="1"/>
  <c r="U20" i="10"/>
  <c r="T8" i="10"/>
  <c r="R27" i="10"/>
  <c r="T31" i="10"/>
  <c r="T24" i="10"/>
  <c r="O21" i="34"/>
  <c r="P21" i="34" s="1"/>
  <c r="N22" i="34"/>
  <c r="T25" i="10"/>
  <c r="J14" i="9"/>
  <c r="J4" i="9" s="1"/>
  <c r="T13" i="10"/>
  <c r="S26" i="10"/>
  <c r="R20" i="10"/>
  <c r="T10" i="10"/>
  <c r="S23" i="10"/>
  <c r="S20" i="10" s="1"/>
  <c r="K12" i="9"/>
  <c r="K14" i="9" s="1"/>
  <c r="K4" i="9" s="1"/>
  <c r="T30" i="10"/>
  <c r="CC37" i="11"/>
  <c r="CB37" i="11" s="1"/>
  <c r="CB32" i="11"/>
  <c r="CB33" i="11" s="1"/>
  <c r="CA20" i="11"/>
  <c r="CA27" i="11" s="1"/>
  <c r="CC27" i="11"/>
  <c r="CF20" i="11"/>
  <c r="F54" i="25"/>
  <c r="K116" i="31"/>
  <c r="L116" i="31" s="1"/>
  <c r="P116" i="31" s="1"/>
  <c r="N28" i="9" l="1"/>
  <c r="N24" i="9" s="1"/>
  <c r="CO27" i="11"/>
  <c r="DV7" i="11"/>
  <c r="DR32" i="11"/>
  <c r="DR33" i="11" s="1"/>
  <c r="DM27" i="11"/>
  <c r="DM28" i="11" s="1"/>
  <c r="DM32" i="11"/>
  <c r="CT20" i="11"/>
  <c r="CT27" i="11" s="1"/>
  <c r="CQ27" i="11"/>
  <c r="CP32" i="11"/>
  <c r="CP33" i="11" s="1"/>
  <c r="CP34" i="11" s="1"/>
  <c r="T9" i="10"/>
  <c r="U8" i="10"/>
  <c r="R141" i="1"/>
  <c r="T22" i="10"/>
  <c r="N19" i="9" s="1"/>
  <c r="T21" i="10"/>
  <c r="N18" i="9" s="1"/>
  <c r="N9" i="9"/>
  <c r="N10" i="9"/>
  <c r="S27" i="10"/>
  <c r="T26" i="10"/>
  <c r="N11" i="9" s="1"/>
  <c r="T23" i="10"/>
  <c r="M116" i="31"/>
  <c r="F43" i="30"/>
  <c r="DQ27" i="11" l="1"/>
  <c r="DT27" i="11"/>
  <c r="DV20" i="11"/>
  <c r="DV27" i="11" s="1"/>
  <c r="U21" i="10"/>
  <c r="R142" i="1" s="1"/>
  <c r="V142" i="1" s="1"/>
  <c r="X142" i="1" s="1"/>
  <c r="Z142" i="1" s="1"/>
  <c r="U9" i="10"/>
  <c r="N15" i="9" a="1"/>
  <c r="N15" i="9" s="1"/>
  <c r="N16" i="9" s="1"/>
  <c r="T27" i="10"/>
  <c r="V12" i="9" s="1"/>
  <c r="G34" i="24"/>
  <c r="J34" i="24" s="1"/>
  <c r="M34" i="24" s="1"/>
  <c r="G32" i="24"/>
  <c r="J32" i="24" s="1"/>
  <c r="G33" i="24"/>
  <c r="J33" i="24" s="1"/>
  <c r="M33" i="24" s="1"/>
  <c r="T20" i="10"/>
  <c r="N8" i="9" s="1"/>
  <c r="V24" i="9" l="1"/>
  <c r="U9" i="16"/>
  <c r="U12" i="16" s="1"/>
  <c r="M32" i="24"/>
  <c r="O63" i="23"/>
  <c r="S63" i="23" s="1"/>
  <c r="U63" i="23" s="1"/>
  <c r="O34" i="23"/>
  <c r="S34" i="23" s="1"/>
  <c r="U34" i="23" s="1"/>
  <c r="K33" i="55" s="1"/>
  <c r="R244" i="1"/>
  <c r="V14" i="9"/>
  <c r="V222" i="1"/>
  <c r="E38" i="24"/>
  <c r="N12" i="9"/>
  <c r="X12" i="9" s="1"/>
  <c r="M156" i="44"/>
  <c r="F25" i="25" l="1"/>
  <c r="F25" i="30" s="1"/>
  <c r="K58" i="31"/>
  <c r="L58" i="31" s="1"/>
  <c r="M58" i="31" s="1"/>
  <c r="K59" i="55"/>
  <c r="K32" i="31"/>
  <c r="L32" i="31" s="1"/>
  <c r="P32" i="31" s="1"/>
  <c r="F9" i="25"/>
  <c r="AB33" i="48"/>
  <c r="L33" i="55" s="1"/>
  <c r="P33" i="55" s="1"/>
  <c r="AB62" i="48"/>
  <c r="L59" i="55" s="1"/>
  <c r="P59" i="55" s="1"/>
  <c r="O13" i="23"/>
  <c r="S13" i="23" s="1"/>
  <c r="U13" i="23" s="1"/>
  <c r="N14" i="9"/>
  <c r="R221" i="1"/>
  <c r="R213" i="1" s="1"/>
  <c r="R147" i="1" s="1"/>
  <c r="V221" i="1"/>
  <c r="V9" i="16"/>
  <c r="R236" i="1"/>
  <c r="K10" i="55" l="1"/>
  <c r="M59" i="55"/>
  <c r="M33" i="55"/>
  <c r="F9" i="30"/>
  <c r="P58" i="31"/>
  <c r="M32" i="31"/>
  <c r="N4" i="9"/>
  <c r="V12" i="16"/>
  <c r="W9" i="16"/>
  <c r="V141" i="1"/>
  <c r="K10" i="31"/>
  <c r="L10" i="31" s="1"/>
  <c r="P10" i="31" s="1"/>
  <c r="F12" i="25"/>
  <c r="X141" i="1" l="1"/>
  <c r="Z141" i="1" s="1"/>
  <c r="F12" i="30"/>
  <c r="M10" i="31"/>
  <c r="X9" i="16"/>
  <c r="AB12" i="48" l="1"/>
  <c r="L10" i="55" s="1"/>
  <c r="Y9" i="16"/>
  <c r="P10" i="55" l="1"/>
  <c r="M10" i="55"/>
  <c r="S27" i="1"/>
  <c r="AA18" i="12"/>
  <c r="AB18" i="12" l="1"/>
  <c r="S18" i="1" l="1"/>
  <c r="AA17" i="12"/>
  <c r="R128" i="23" l="1"/>
  <c r="R129" i="23"/>
  <c r="F40" i="30" l="1"/>
  <c r="L117" i="1" l="1"/>
  <c r="X117" i="1" s="1"/>
  <c r="L116" i="1"/>
  <c r="X116" i="1" s="1"/>
  <c r="L52" i="3"/>
  <c r="X52" i="3" s="1"/>
  <c r="Z52" i="3" s="1"/>
  <c r="AB52" i="3" s="1"/>
  <c r="L141" i="22" l="1"/>
  <c r="J141" i="22" s="1"/>
  <c r="L61" i="22"/>
  <c r="J61" i="22" s="1"/>
  <c r="Z116" i="1"/>
  <c r="L62" i="22"/>
  <c r="J62" i="22" s="1"/>
  <c r="Z117" i="1"/>
  <c r="L37" i="1"/>
  <c r="X37" i="1" s="1"/>
  <c r="Z37" i="1" s="1"/>
  <c r="L11" i="3"/>
  <c r="L186" i="1" l="1"/>
  <c r="X186" i="1" s="1"/>
  <c r="Z186" i="1" s="1"/>
  <c r="L133" i="1" l="1"/>
  <c r="X133" i="1" s="1"/>
  <c r="L53" i="22" l="1"/>
  <c r="J53" i="22" s="1"/>
  <c r="Z133" i="1"/>
  <c r="L47" i="45" l="1"/>
  <c r="M47" i="45" s="1"/>
  <c r="L188" i="1"/>
  <c r="X188" i="1" s="1"/>
  <c r="Z188" i="1" s="1"/>
  <c r="L189" i="1"/>
  <c r="L71" i="1"/>
  <c r="X71" i="1" s="1"/>
  <c r="Z71" i="1" s="1"/>
  <c r="L156" i="1" l="1"/>
  <c r="X156" i="1" s="1"/>
  <c r="Z156" i="1" s="1"/>
  <c r="L143" i="1"/>
  <c r="X143" i="1" s="1"/>
  <c r="Z143" i="1" s="1"/>
  <c r="L35" i="1" l="1"/>
  <c r="L187" i="1"/>
  <c r="X187" i="1" s="1"/>
  <c r="Z187" i="1" s="1"/>
  <c r="L146" i="1"/>
  <c r="X146" i="1" s="1"/>
  <c r="Z146" i="1" s="1"/>
  <c r="L31" i="1" l="1"/>
  <c r="X31" i="1" s="1"/>
  <c r="Z31" i="1" s="1"/>
  <c r="L12" i="3" l="1"/>
  <c r="X11" i="3" l="1"/>
  <c r="Z11" i="3" s="1"/>
  <c r="AB11" i="3" s="1"/>
  <c r="L92" i="1"/>
  <c r="X92" i="1" s="1"/>
  <c r="Z92" i="1" s="1"/>
  <c r="M6" i="14" l="1"/>
  <c r="L193" i="1"/>
  <c r="X193" i="1" s="1"/>
  <c r="Z193" i="1" s="1"/>
  <c r="L192" i="1"/>
  <c r="X192" i="1" s="1"/>
  <c r="Z192" i="1" s="1"/>
  <c r="L29" i="1" l="1"/>
  <c r="X29" i="1" s="1"/>
  <c r="L11" i="22" l="1"/>
  <c r="J11" i="22" s="1"/>
  <c r="Z29" i="1"/>
  <c r="L115" i="3"/>
  <c r="L14" i="45" l="1"/>
  <c r="M14" i="45" s="1"/>
  <c r="L70" i="1" l="1"/>
  <c r="X70" i="1" s="1"/>
  <c r="Z70" i="1" s="1"/>
  <c r="L23" i="1"/>
  <c r="L169" i="1"/>
  <c r="X169" i="1" s="1"/>
  <c r="Z169" i="1" s="1"/>
  <c r="L79" i="1"/>
  <c r="X79" i="1" s="1"/>
  <c r="L226" i="1"/>
  <c r="X226" i="1" s="1"/>
  <c r="Z226" i="1" s="1"/>
  <c r="F23" i="17"/>
  <c r="F76" i="17" s="1"/>
  <c r="L67" i="1"/>
  <c r="X67" i="1" s="1"/>
  <c r="Z67" i="1" s="1"/>
  <c r="L225" i="1"/>
  <c r="X225" i="1" s="1"/>
  <c r="L68" i="3"/>
  <c r="L15" i="3"/>
  <c r="L49" i="3"/>
  <c r="L60" i="3"/>
  <c r="L31" i="3"/>
  <c r="L35" i="3"/>
  <c r="L45" i="3"/>
  <c r="L54" i="3"/>
  <c r="L64" i="3"/>
  <c r="L72" i="3"/>
  <c r="L93" i="3"/>
  <c r="L28" i="3"/>
  <c r="L23" i="3"/>
  <c r="L78" i="3"/>
  <c r="L9" i="3"/>
  <c r="L19" i="3"/>
  <c r="L32" i="3"/>
  <c r="L42" i="3"/>
  <c r="L46" i="3"/>
  <c r="L50" i="3"/>
  <c r="L57" i="3"/>
  <c r="L61" i="3"/>
  <c r="L65" i="3"/>
  <c r="L73" i="3"/>
  <c r="L90" i="3"/>
  <c r="L94" i="3"/>
  <c r="L99" i="3"/>
  <c r="L40" i="3"/>
  <c r="L53" i="3"/>
  <c r="L367" i="23" s="1"/>
  <c r="L59" i="3"/>
  <c r="L63" i="3"/>
  <c r="L67" i="3"/>
  <c r="L71" i="3"/>
  <c r="L92" i="3"/>
  <c r="L96" i="3"/>
  <c r="L123" i="3"/>
  <c r="L33" i="3"/>
  <c r="L43" i="3"/>
  <c r="L51" i="3"/>
  <c r="L70" i="3"/>
  <c r="L91" i="3"/>
  <c r="X91" i="3" s="1"/>
  <c r="Z91" i="3" s="1"/>
  <c r="AB91" i="3" s="1"/>
  <c r="L29" i="3"/>
  <c r="X29" i="3" s="1"/>
  <c r="Z29" i="3" s="1"/>
  <c r="AB29" i="3" s="1"/>
  <c r="L39" i="3"/>
  <c r="L47" i="3"/>
  <c r="L58" i="3"/>
  <c r="L66" i="3"/>
  <c r="L74" i="3"/>
  <c r="L16" i="3"/>
  <c r="L62" i="3"/>
  <c r="L111" i="3"/>
  <c r="L112" i="3"/>
  <c r="L114" i="3"/>
  <c r="L120" i="3"/>
  <c r="L10" i="3"/>
  <c r="L20" i="3"/>
  <c r="L24" i="3"/>
  <c r="L79" i="3"/>
  <c r="L83" i="3"/>
  <c r="L44" i="3"/>
  <c r="L48" i="3"/>
  <c r="X48" i="3" s="1"/>
  <c r="Z48" i="3" s="1"/>
  <c r="AB48" i="3" s="1"/>
  <c r="L113" i="3"/>
  <c r="L17" i="3"/>
  <c r="L81" i="3"/>
  <c r="L25" i="3"/>
  <c r="L21" i="3"/>
  <c r="L80" i="3"/>
  <c r="L22" i="3"/>
  <c r="L8" i="3"/>
  <c r="L14" i="3"/>
  <c r="L18" i="3"/>
  <c r="L110" i="3"/>
  <c r="X110" i="3" s="1"/>
  <c r="Z110" i="3" s="1"/>
  <c r="AB110" i="3" s="1"/>
  <c r="L89" i="3"/>
  <c r="L41" i="3"/>
  <c r="L13" i="3"/>
  <c r="L105" i="3"/>
  <c r="L30" i="3"/>
  <c r="L34" i="3"/>
  <c r="L166" i="22" l="1"/>
  <c r="J166" i="22" s="1"/>
  <c r="L82" i="22"/>
  <c r="J82" i="22" s="1"/>
  <c r="Z225" i="1"/>
  <c r="L35" i="22"/>
  <c r="J35" i="22" s="1"/>
  <c r="Z79" i="1"/>
  <c r="L366" i="23"/>
  <c r="L367" i="48"/>
  <c r="X47" i="3"/>
  <c r="Z47" i="3" s="1"/>
  <c r="AB47" i="3" s="1"/>
  <c r="L366" i="48"/>
  <c r="W32" i="23"/>
  <c r="X51" i="3"/>
  <c r="Z51" i="3" s="1"/>
  <c r="AB51" i="3" s="1"/>
  <c r="X55" i="3"/>
  <c r="Z55" i="3" s="1"/>
  <c r="AB55" i="3" s="1"/>
  <c r="X104" i="3"/>
  <c r="Z104" i="3" s="1"/>
  <c r="AB104" i="3" s="1"/>
  <c r="X50" i="3"/>
  <c r="Z50" i="3" s="1"/>
  <c r="AB50" i="3" s="1"/>
  <c r="X56" i="3"/>
  <c r="Z56" i="3" s="1"/>
  <c r="AB56" i="3" s="1"/>
  <c r="X49" i="3"/>
  <c r="Z49" i="3" s="1"/>
  <c r="AB49" i="3" s="1"/>
  <c r="X12" i="3"/>
  <c r="Z12" i="3" s="1"/>
  <c r="AB12" i="3" s="1"/>
  <c r="X15" i="3"/>
  <c r="Z15" i="3" s="1"/>
  <c r="AB15" i="3" s="1"/>
  <c r="F24" i="17"/>
  <c r="F77" i="17" s="1"/>
  <c r="F20" i="17"/>
  <c r="F73" i="17" s="1"/>
  <c r="F8" i="17"/>
  <c r="L231" i="1"/>
  <c r="L230" i="1" s="1"/>
  <c r="L118" i="1"/>
  <c r="X118" i="1" s="1"/>
  <c r="L126" i="3"/>
  <c r="L374" i="23" s="1"/>
  <c r="L9" i="1"/>
  <c r="F15" i="17"/>
  <c r="F68" i="17" s="1"/>
  <c r="F11" i="17"/>
  <c r="F64" i="17" s="1"/>
  <c r="H380" i="23"/>
  <c r="L102" i="3"/>
  <c r="L222" i="1"/>
  <c r="L221" i="1" s="1"/>
  <c r="L7" i="3"/>
  <c r="J7" i="12"/>
  <c r="AB18" i="38"/>
  <c r="X40" i="3"/>
  <c r="Z40" i="3" s="1"/>
  <c r="AB40" i="3" s="1"/>
  <c r="L122" i="3"/>
  <c r="X111" i="3" s="1"/>
  <c r="Z111" i="3" s="1"/>
  <c r="AB111" i="3" s="1"/>
  <c r="H372" i="23"/>
  <c r="L108" i="3"/>
  <c r="H376" i="23"/>
  <c r="L82" i="3"/>
  <c r="F14" i="17"/>
  <c r="L78" i="1"/>
  <c r="X78" i="1" s="1"/>
  <c r="L118" i="3"/>
  <c r="L97" i="3"/>
  <c r="L369" i="23" s="1"/>
  <c r="F19" i="17"/>
  <c r="F72" i="17" s="1"/>
  <c r="F17" i="17"/>
  <c r="F70" i="17" s="1"/>
  <c r="F103" i="17" s="1"/>
  <c r="L81" i="1"/>
  <c r="J9" i="12"/>
  <c r="J10" i="12" s="1"/>
  <c r="L27" i="3"/>
  <c r="H381" i="23"/>
  <c r="L103" i="3"/>
  <c r="L381" i="23" s="1"/>
  <c r="L95" i="3"/>
  <c r="H373" i="23"/>
  <c r="L88" i="3"/>
  <c r="L373" i="23" s="1"/>
  <c r="H370" i="23"/>
  <c r="L109" i="3"/>
  <c r="F21" i="17"/>
  <c r="F74" i="17" s="1"/>
  <c r="F10" i="17"/>
  <c r="F16" i="17"/>
  <c r="F69" i="17" s="1"/>
  <c r="H377" i="23"/>
  <c r="L86" i="3"/>
  <c r="L377" i="23" s="1"/>
  <c r="L38" i="3"/>
  <c r="F12" i="17"/>
  <c r="F65" i="17" s="1"/>
  <c r="F96" i="17" s="1"/>
  <c r="L235" i="1"/>
  <c r="L224" i="1"/>
  <c r="L223" i="1" s="1"/>
  <c r="H378" i="23"/>
  <c r="L84" i="3"/>
  <c r="L378" i="23" s="1"/>
  <c r="L69" i="3"/>
  <c r="L77" i="3"/>
  <c r="L375" i="23" s="1"/>
  <c r="H375" i="23"/>
  <c r="F18" i="17"/>
  <c r="F71" i="17" s="1"/>
  <c r="L241" i="1"/>
  <c r="L144" i="22" l="1"/>
  <c r="J144" i="22" s="1"/>
  <c r="L142" i="22"/>
  <c r="J142" i="22" s="1"/>
  <c r="L140" i="22"/>
  <c r="J140" i="22" s="1"/>
  <c r="L143" i="22"/>
  <c r="J143" i="22" s="1"/>
  <c r="L163" i="22"/>
  <c r="J163" i="22" s="1"/>
  <c r="L139" i="22"/>
  <c r="J139" i="22" s="1"/>
  <c r="L118" i="22"/>
  <c r="J118" i="22" s="1"/>
  <c r="L47" i="22"/>
  <c r="J47" i="22" s="1"/>
  <c r="Z118" i="1"/>
  <c r="L34" i="22"/>
  <c r="J34" i="22" s="1"/>
  <c r="Z78" i="1"/>
  <c r="L111" i="22"/>
  <c r="J111" i="22" s="1"/>
  <c r="W109" i="23"/>
  <c r="L380" i="23"/>
  <c r="L100" i="3"/>
  <c r="L376" i="48"/>
  <c r="L376" i="23"/>
  <c r="L370" i="48"/>
  <c r="L370" i="23"/>
  <c r="L372" i="48"/>
  <c r="L372" i="23"/>
  <c r="L368" i="48"/>
  <c r="L368" i="23"/>
  <c r="L374" i="48"/>
  <c r="L381" i="48"/>
  <c r="L380" i="48"/>
  <c r="L369" i="48"/>
  <c r="L373" i="48"/>
  <c r="L377" i="48"/>
  <c r="L378" i="48"/>
  <c r="L375" i="48"/>
  <c r="L365" i="48"/>
  <c r="R9" i="55"/>
  <c r="R11" i="55" s="1"/>
  <c r="L8" i="45"/>
  <c r="M8" i="45" s="1"/>
  <c r="X98" i="3"/>
  <c r="Z98" i="3" s="1"/>
  <c r="AB98" i="3" s="1"/>
  <c r="S56" i="1"/>
  <c r="AA5" i="16"/>
  <c r="AA12" i="16" s="1"/>
  <c r="F114" i="17"/>
  <c r="L149" i="45"/>
  <c r="M149" i="45" s="1"/>
  <c r="L12" i="45"/>
  <c r="M12" i="45" s="1"/>
  <c r="U234" i="1"/>
  <c r="U233" i="1"/>
  <c r="U239" i="1"/>
  <c r="V239" i="1" s="1"/>
  <c r="U240" i="1"/>
  <c r="U238" i="1"/>
  <c r="U237" i="1"/>
  <c r="X9" i="1"/>
  <c r="Z9" i="1" s="1"/>
  <c r="E18" i="24"/>
  <c r="E26" i="24" s="1"/>
  <c r="F67" i="17"/>
  <c r="F66" i="17" s="1"/>
  <c r="F13" i="17"/>
  <c r="F7" i="17"/>
  <c r="F61" i="17"/>
  <c r="X224" i="1"/>
  <c r="T5" i="16"/>
  <c r="F108" i="17"/>
  <c r="F109" i="17" s="1"/>
  <c r="X222" i="1"/>
  <c r="F63" i="17"/>
  <c r="F95" i="17" s="1"/>
  <c r="F9" i="17"/>
  <c r="X97" i="3"/>
  <c r="Z97" i="3" s="1"/>
  <c r="AB97" i="3" s="1"/>
  <c r="J8" i="12"/>
  <c r="J4" i="12" s="1"/>
  <c r="L106" i="45" l="1"/>
  <c r="M106" i="45" s="1"/>
  <c r="L108" i="45"/>
  <c r="M108" i="45" s="1"/>
  <c r="L170" i="22"/>
  <c r="J170" i="22" s="1"/>
  <c r="L155" i="22"/>
  <c r="J155" i="22" s="1"/>
  <c r="L81" i="22"/>
  <c r="J81" i="22" s="1"/>
  <c r="Z224" i="1"/>
  <c r="Z223" i="1" s="1"/>
  <c r="L85" i="22"/>
  <c r="J85" i="22" s="1"/>
  <c r="Z222" i="1"/>
  <c r="Z221" i="1" s="1"/>
  <c r="U369" i="48"/>
  <c r="W72" i="23"/>
  <c r="X223" i="1"/>
  <c r="L9" i="45"/>
  <c r="M9" i="45" s="1"/>
  <c r="L43" i="45"/>
  <c r="M43" i="45" s="1"/>
  <c r="L105" i="45"/>
  <c r="M105" i="45" s="1"/>
  <c r="AD5" i="16"/>
  <c r="AE5" i="16" s="1"/>
  <c r="AE12" i="16" s="1"/>
  <c r="K21" i="14" s="1"/>
  <c r="S204" i="1"/>
  <c r="V204" i="1" s="1"/>
  <c r="L107" i="45"/>
  <c r="M107" i="45" s="1"/>
  <c r="L104" i="45"/>
  <c r="M104" i="45" s="1"/>
  <c r="L103" i="45"/>
  <c r="M103" i="45" s="1"/>
  <c r="F60" i="17"/>
  <c r="F87" i="17"/>
  <c r="F90" i="17" s="1"/>
  <c r="G30" i="26"/>
  <c r="F100" i="17"/>
  <c r="F62" i="17"/>
  <c r="F110" i="17"/>
  <c r="X221" i="1"/>
  <c r="G34" i="26"/>
  <c r="T34" i="26" s="1"/>
  <c r="W5" i="16"/>
  <c r="T12" i="16"/>
  <c r="F18" i="24"/>
  <c r="U231" i="1"/>
  <c r="AD12" i="16" l="1"/>
  <c r="U247" i="1"/>
  <c r="F101" i="17"/>
  <c r="F91" i="17"/>
  <c r="AF5" i="16"/>
  <c r="AF12" i="16" s="1"/>
  <c r="U230" i="1"/>
  <c r="T30" i="26"/>
  <c r="X5" i="16"/>
  <c r="W12" i="16"/>
  <c r="L143" i="45"/>
  <c r="M143" i="45" s="1"/>
  <c r="L75" i="45"/>
  <c r="M75" i="45" s="1"/>
  <c r="L74" i="45"/>
  <c r="M74" i="45" s="1"/>
  <c r="G18" i="24"/>
  <c r="J18" i="24" s="1"/>
  <c r="F26" i="24"/>
  <c r="X12" i="16" l="1"/>
  <c r="K19" i="14" s="1"/>
  <c r="G19" i="14" s="1"/>
  <c r="H19" i="14" s="1"/>
  <c r="N355" i="23"/>
  <c r="S355" i="23" s="1"/>
  <c r="C6" i="46"/>
  <c r="Y5" i="16"/>
  <c r="Y12" i="16" l="1"/>
  <c r="N354" i="23"/>
  <c r="N353" i="23" s="1"/>
  <c r="N351" i="23" s="1"/>
  <c r="N350" i="23" s="1"/>
  <c r="N5" i="48"/>
  <c r="U355" i="23"/>
  <c r="S354" i="23"/>
  <c r="S353" i="23" s="1"/>
  <c r="S351" i="23" s="1"/>
  <c r="S350" i="23" s="1"/>
  <c r="U244" i="1"/>
  <c r="K313" i="55" l="1"/>
  <c r="K312" i="55" s="1"/>
  <c r="K311" i="55" s="1"/>
  <c r="AB134" i="48"/>
  <c r="L116" i="55" s="1"/>
  <c r="K8" i="38"/>
  <c r="K33" i="38" s="1"/>
  <c r="L8" i="38"/>
  <c r="L7" i="38" s="1"/>
  <c r="L6" i="38" s="1"/>
  <c r="V244" i="1"/>
  <c r="U236" i="1"/>
  <c r="U354" i="23"/>
  <c r="U353" i="23" s="1"/>
  <c r="U351" i="23" s="1"/>
  <c r="U350" i="23" s="1"/>
  <c r="K311" i="31"/>
  <c r="L311" i="31" s="1"/>
  <c r="P311" i="31" s="1"/>
  <c r="P116" i="55" l="1"/>
  <c r="K7" i="38"/>
  <c r="L310" i="31"/>
  <c r="M311" i="31"/>
  <c r="M310" i="31" s="1"/>
  <c r="M309" i="31" s="1"/>
  <c r="K310" i="31"/>
  <c r="K309" i="31" s="1"/>
  <c r="AB150" i="48" l="1"/>
  <c r="L130" i="55" s="1"/>
  <c r="K6" i="38"/>
  <c r="K32" i="38"/>
  <c r="L309" i="31"/>
  <c r="P309" i="31" s="1"/>
  <c r="P310" i="31"/>
  <c r="K31" i="38" l="1"/>
  <c r="P130" i="55"/>
  <c r="L107" i="55"/>
  <c r="P107" i="55" s="1"/>
  <c r="V125" i="48"/>
  <c r="AB125" i="48"/>
  <c r="AC125" i="48" s="1"/>
  <c r="K4" i="38"/>
  <c r="P28" i="33"/>
  <c r="P27" i="33" s="1"/>
  <c r="O5" i="48" l="1"/>
  <c r="AB20" i="48" l="1"/>
  <c r="L20" i="55" s="1"/>
  <c r="P20" i="55" l="1"/>
  <c r="DV9" i="11" l="1"/>
  <c r="DV11" i="11"/>
  <c r="DR27" i="11"/>
  <c r="DV8" i="11"/>
  <c r="DV14" i="11" l="1"/>
  <c r="R134" i="1"/>
  <c r="R119" i="1" l="1"/>
  <c r="R74" i="1" s="1"/>
  <c r="V4" i="9" l="1"/>
  <c r="R248" i="1"/>
  <c r="O6" i="3" l="1"/>
  <c r="O26" i="3"/>
  <c r="O37" i="3"/>
  <c r="O76" i="3"/>
  <c r="O87" i="3"/>
  <c r="S6" i="3"/>
  <c r="S26" i="3"/>
  <c r="S37" i="3"/>
  <c r="S76" i="3"/>
  <c r="S87" i="3"/>
  <c r="O125" i="3"/>
  <c r="U6" i="3"/>
  <c r="U26" i="3"/>
  <c r="U37" i="3"/>
  <c r="U76" i="3"/>
  <c r="U87" i="3"/>
  <c r="T6" i="3"/>
  <c r="T26" i="3"/>
  <c r="T37" i="3"/>
  <c r="T76" i="3"/>
  <c r="T87" i="3"/>
  <c r="N6" i="3"/>
  <c r="N26" i="3"/>
  <c r="N37" i="3"/>
  <c r="N76" i="3"/>
  <c r="N87" i="3"/>
  <c r="Q6" i="3"/>
  <c r="Q26" i="3"/>
  <c r="Q37" i="3"/>
  <c r="Q76" i="3"/>
  <c r="Q87" i="3"/>
  <c r="U125" i="3"/>
  <c r="R6" i="3"/>
  <c r="R26" i="3"/>
  <c r="R37" i="3"/>
  <c r="R76" i="3"/>
  <c r="R87" i="3"/>
  <c r="N125" i="3"/>
  <c r="T125" i="3"/>
  <c r="Q117" i="3"/>
  <c r="Q107" i="3"/>
  <c r="Q121" i="3"/>
  <c r="Q125" i="3"/>
  <c r="U121" i="3"/>
  <c r="U117" i="3"/>
  <c r="U107" i="3"/>
  <c r="S125" i="3"/>
  <c r="R125" i="3"/>
  <c r="T121" i="3"/>
  <c r="T117" i="3"/>
  <c r="T107" i="3"/>
  <c r="O121" i="3"/>
  <c r="O117" i="3"/>
  <c r="O107" i="3"/>
  <c r="R121" i="3"/>
  <c r="R117" i="3"/>
  <c r="R107" i="3"/>
  <c r="N121" i="3"/>
  <c r="N117" i="3"/>
  <c r="N107" i="3"/>
  <c r="S121" i="3"/>
  <c r="S117" i="3"/>
  <c r="S107" i="3"/>
  <c r="Q36" i="3" l="1"/>
  <c r="Q75" i="3" s="1"/>
  <c r="Q124" i="3" s="1"/>
  <c r="S36" i="3"/>
  <c r="S75" i="3" s="1"/>
  <c r="S124" i="3" s="1"/>
  <c r="S127" i="3" s="1"/>
  <c r="S128" i="3" s="1"/>
  <c r="S129" i="3" s="1"/>
  <c r="R36" i="3"/>
  <c r="R75" i="3" s="1"/>
  <c r="R124" i="3" s="1"/>
  <c r="R127" i="3" s="1"/>
  <c r="R128" i="3" s="1"/>
  <c r="R129" i="3" s="1"/>
  <c r="U36" i="3"/>
  <c r="U75" i="3" s="1"/>
  <c r="U124" i="3" s="1"/>
  <c r="U127" i="3" s="1"/>
  <c r="T36" i="3"/>
  <c r="T75" i="3" s="1"/>
  <c r="T124" i="3" s="1"/>
  <c r="T127" i="3" s="1"/>
  <c r="R4" i="23" s="1"/>
  <c r="N36" i="3"/>
  <c r="N75" i="3" s="1"/>
  <c r="N124" i="3" s="1"/>
  <c r="N127" i="3" s="1"/>
  <c r="O36" i="3"/>
  <c r="O75" i="3" s="1"/>
  <c r="O124" i="3" s="1"/>
  <c r="O127" i="3" s="1"/>
  <c r="Q127" i="3" l="1"/>
  <c r="Q128" i="3" s="1"/>
  <c r="O4" i="23"/>
  <c r="L147" i="45"/>
  <c r="M147" i="45" s="1"/>
  <c r="J116" i="24"/>
  <c r="H379" i="23"/>
  <c r="R249" i="1"/>
  <c r="R130" i="3" s="1"/>
  <c r="S249" i="1"/>
  <c r="S253" i="1" s="1"/>
  <c r="N128" i="3"/>
  <c r="N249" i="1"/>
  <c r="O128" i="3"/>
  <c r="O249" i="1"/>
  <c r="T128" i="3"/>
  <c r="T249" i="1"/>
  <c r="U128" i="3"/>
  <c r="U249" i="1"/>
  <c r="U246" i="1" s="1"/>
  <c r="U129" i="3" l="1"/>
  <c r="U130" i="3"/>
  <c r="Q249" i="1"/>
  <c r="Q130" i="3" s="1"/>
  <c r="Q129" i="3"/>
  <c r="O129" i="3"/>
  <c r="O130" i="3"/>
  <c r="Q81" i="23"/>
  <c r="M116" i="24"/>
  <c r="R254" i="1"/>
  <c r="R246" i="1"/>
  <c r="R229" i="1" s="1"/>
  <c r="R252" i="1" s="1"/>
  <c r="R253" i="1"/>
  <c r="S246" i="1"/>
  <c r="S229" i="1" s="1"/>
  <c r="S228" i="1" s="1"/>
  <c r="S130" i="3"/>
  <c r="S254" i="1"/>
  <c r="U253" i="1"/>
  <c r="T246" i="1"/>
  <c r="T229" i="1" s="1"/>
  <c r="T254" i="1"/>
  <c r="T253" i="1"/>
  <c r="T129" i="3"/>
  <c r="T130" i="3"/>
  <c r="N253" i="1"/>
  <c r="N246" i="1"/>
  <c r="N229" i="1" s="1"/>
  <c r="N254" i="1"/>
  <c r="N129" i="3"/>
  <c r="N130" i="3"/>
  <c r="O254" i="1"/>
  <c r="O253" i="1"/>
  <c r="O246" i="1"/>
  <c r="O229" i="1" s="1"/>
  <c r="Q253" i="1" l="1"/>
  <c r="Q254" i="1"/>
  <c r="Q246" i="1"/>
  <c r="Q229" i="1" s="1"/>
  <c r="Q228" i="1" s="1"/>
  <c r="Q9" i="23"/>
  <c r="M120" i="24"/>
  <c r="R228" i="1"/>
  <c r="O228" i="1"/>
  <c r="O252" i="1"/>
  <c r="T228" i="1"/>
  <c r="T252" i="1"/>
  <c r="N252" i="1"/>
  <c r="N228" i="1"/>
  <c r="Q252" i="1" l="1"/>
  <c r="AB80" i="48"/>
  <c r="L73" i="55" s="1"/>
  <c r="P73" i="55" l="1"/>
  <c r="L63" i="55"/>
  <c r="P63" i="55" s="1"/>
  <c r="V74" i="48"/>
  <c r="AB74" i="48"/>
  <c r="AC74" i="48" s="1"/>
  <c r="Q5" i="48"/>
  <c r="U371" i="23" l="1"/>
  <c r="J379" i="23" l="1"/>
  <c r="L130" i="45" l="1"/>
  <c r="M130" i="45" s="1"/>
  <c r="I29" i="39" l="1"/>
  <c r="U235" i="1" l="1"/>
  <c r="U232" i="1" l="1"/>
  <c r="U229" i="1" s="1"/>
  <c r="U228" i="1" l="1"/>
  <c r="U252" i="1"/>
  <c r="X114" i="3" l="1"/>
  <c r="Z114" i="3" s="1"/>
  <c r="AB114" i="3" s="1"/>
  <c r="I371" i="23"/>
  <c r="I374" i="23"/>
  <c r="I125" i="3"/>
  <c r="I6" i="3"/>
  <c r="I26" i="3"/>
  <c r="I37" i="3"/>
  <c r="I76" i="3"/>
  <c r="I87" i="3"/>
  <c r="I117" i="3"/>
  <c r="X123" i="3"/>
  <c r="Z123" i="3" s="1"/>
  <c r="AB123" i="3" s="1"/>
  <c r="L6" i="3"/>
  <c r="J125" i="3"/>
  <c r="L125" i="3"/>
  <c r="J374" i="23"/>
  <c r="H374" i="23"/>
  <c r="H371" i="23"/>
  <c r="H6" i="3"/>
  <c r="M49" i="46" s="1"/>
  <c r="H26" i="3"/>
  <c r="M50" i="46" s="1"/>
  <c r="C50" i="46" s="1"/>
  <c r="H37" i="3"/>
  <c r="M52" i="46" s="1"/>
  <c r="C52" i="46" s="1"/>
  <c r="H76" i="3"/>
  <c r="H87" i="3"/>
  <c r="H117" i="3"/>
  <c r="H125" i="3"/>
  <c r="J371" i="23"/>
  <c r="J6" i="3"/>
  <c r="J26" i="3"/>
  <c r="J37" i="3"/>
  <c r="J76" i="3"/>
  <c r="J87" i="3"/>
  <c r="J117" i="3"/>
  <c r="J107" i="3"/>
  <c r="L37" i="3"/>
  <c r="L26" i="3"/>
  <c r="J121" i="3"/>
  <c r="H121" i="3"/>
  <c r="I121" i="3"/>
  <c r="L121" i="3"/>
  <c r="L117" i="3"/>
  <c r="L107" i="3"/>
  <c r="L87" i="3"/>
  <c r="L76" i="3"/>
  <c r="L168" i="22" l="1"/>
  <c r="J168" i="22" s="1"/>
  <c r="L151" i="45"/>
  <c r="M151" i="45" s="1"/>
  <c r="F8" i="46"/>
  <c r="I36" i="3"/>
  <c r="I75" i="3" s="1"/>
  <c r="I124" i="3" s="1"/>
  <c r="G125" i="24"/>
  <c r="J125" i="24" s="1"/>
  <c r="J36" i="3"/>
  <c r="J75" i="3" s="1"/>
  <c r="F7" i="46"/>
  <c r="H36" i="3"/>
  <c r="H75" i="3" s="1"/>
  <c r="F6" i="46"/>
  <c r="L36" i="3"/>
  <c r="L75" i="3" s="1"/>
  <c r="L124" i="3" s="1"/>
  <c r="L127" i="3" s="1"/>
  <c r="F9" i="46"/>
  <c r="L154" i="45" l="1"/>
  <c r="M154" i="45" s="1"/>
  <c r="G9" i="46"/>
  <c r="I127" i="3"/>
  <c r="I4" i="23" s="1"/>
  <c r="G7" i="46"/>
  <c r="J124" i="3"/>
  <c r="G8" i="46"/>
  <c r="M125" i="24"/>
  <c r="R81" i="23" s="1"/>
  <c r="S81" i="23" s="1"/>
  <c r="U81" i="23" s="1"/>
  <c r="R9" i="23"/>
  <c r="C49" i="46"/>
  <c r="M51" i="46"/>
  <c r="G6" i="46"/>
  <c r="H124" i="3"/>
  <c r="H127" i="3" s="1"/>
  <c r="H249" i="1" l="1"/>
  <c r="H246" i="1" s="1"/>
  <c r="H229" i="1" s="1"/>
  <c r="H4" i="23"/>
  <c r="F48" i="25"/>
  <c r="K73" i="55"/>
  <c r="M73" i="55" s="1"/>
  <c r="K69" i="31"/>
  <c r="L69" i="31" s="1"/>
  <c r="I249" i="1"/>
  <c r="I128" i="3"/>
  <c r="R23" i="23"/>
  <c r="H128" i="3"/>
  <c r="J127" i="3"/>
  <c r="J4" i="23" s="1"/>
  <c r="H9" i="46"/>
  <c r="H8" i="46"/>
  <c r="M55" i="46"/>
  <c r="H6" i="46"/>
  <c r="M53" i="46"/>
  <c r="C53" i="46" s="1"/>
  <c r="C51" i="46"/>
  <c r="P69" i="31" l="1"/>
  <c r="M69" i="31"/>
  <c r="J249" i="1"/>
  <c r="J246" i="1" s="1"/>
  <c r="J229" i="1" s="1"/>
  <c r="H228" i="1"/>
  <c r="H252" i="1"/>
  <c r="H253" i="1"/>
  <c r="F7" i="19"/>
  <c r="F8" i="19"/>
  <c r="J8" i="19" s="1"/>
  <c r="J128" i="3"/>
  <c r="S23" i="23"/>
  <c r="AB9" i="48"/>
  <c r="L7" i="55" s="1"/>
  <c r="H7" i="46"/>
  <c r="F112" i="17"/>
  <c r="F119" i="17" s="1"/>
  <c r="F12" i="19"/>
  <c r="J12" i="19" s="1"/>
  <c r="N12" i="19" s="1"/>
  <c r="G26" i="19" s="1"/>
  <c r="P26" i="19" s="1"/>
  <c r="I112" i="17"/>
  <c r="I119" i="17" s="1"/>
  <c r="C55" i="46"/>
  <c r="M54" i="46"/>
  <c r="C54" i="46" s="1"/>
  <c r="J228" i="1" l="1"/>
  <c r="J252" i="1"/>
  <c r="I130" i="3"/>
  <c r="I253" i="1"/>
  <c r="G25" i="17"/>
  <c r="H130" i="3"/>
  <c r="J253" i="1"/>
  <c r="F9" i="19"/>
  <c r="J9" i="19" s="1"/>
  <c r="N9" i="19" s="1"/>
  <c r="G23" i="19" s="1"/>
  <c r="P23" i="19" s="1"/>
  <c r="H25" i="17"/>
  <c r="H22" i="17" s="1"/>
  <c r="H6" i="17" s="1"/>
  <c r="H5" i="17" s="1"/>
  <c r="J130" i="3"/>
  <c r="H112" i="17"/>
  <c r="H119" i="17" s="1"/>
  <c r="L128" i="3"/>
  <c r="F17" i="19" s="1"/>
  <c r="U23" i="23"/>
  <c r="K22" i="55" s="1"/>
  <c r="P7" i="55"/>
  <c r="L6" i="55"/>
  <c r="AB8" i="48"/>
  <c r="L249" i="1"/>
  <c r="H4" i="1"/>
  <c r="F25" i="17"/>
  <c r="F78" i="17" s="1"/>
  <c r="F75" i="17" s="1"/>
  <c r="F59" i="17" s="1"/>
  <c r="F58" i="17" s="1"/>
  <c r="K5" i="23"/>
  <c r="J7" i="19"/>
  <c r="F28" i="25"/>
  <c r="K253" i="1"/>
  <c r="I25" i="17"/>
  <c r="F120" i="17" l="1"/>
  <c r="F22" i="17"/>
  <c r="F6" i="17" s="1"/>
  <c r="F5" i="17" s="1"/>
  <c r="G78" i="17"/>
  <c r="G112" i="17" s="1"/>
  <c r="E7" i="46"/>
  <c r="F6" i="15"/>
  <c r="K6" i="15" s="1"/>
  <c r="M6" i="15" s="1"/>
  <c r="S6" i="15" s="1"/>
  <c r="U6" i="15" s="1"/>
  <c r="Q23" i="19" s="1"/>
  <c r="H78" i="17"/>
  <c r="H75" i="17" s="1"/>
  <c r="H59" i="17" s="1"/>
  <c r="H58" i="17" s="1"/>
  <c r="K21" i="31"/>
  <c r="L21" i="31" s="1"/>
  <c r="F15" i="19"/>
  <c r="F18" i="19" s="1"/>
  <c r="P6" i="55"/>
  <c r="AB22" i="48"/>
  <c r="L22" i="55" s="1"/>
  <c r="F5" i="15"/>
  <c r="K5" i="15" s="1"/>
  <c r="E6" i="46"/>
  <c r="I6" i="46" s="1"/>
  <c r="F121" i="17"/>
  <c r="J15" i="19"/>
  <c r="N7" i="19"/>
  <c r="I22" i="17"/>
  <c r="I6" i="17" s="1"/>
  <c r="I5" i="17" s="1"/>
  <c r="I78" i="17"/>
  <c r="I75" i="17" s="1"/>
  <c r="F9" i="15"/>
  <c r="K9" i="15" s="1"/>
  <c r="M9" i="15" s="1"/>
  <c r="S9" i="15" s="1"/>
  <c r="U9" i="15" s="1"/>
  <c r="Q26" i="19" s="1"/>
  <c r="E8" i="46"/>
  <c r="H120" i="17" l="1"/>
  <c r="H28" i="17"/>
  <c r="P22" i="55"/>
  <c r="L8" i="55"/>
  <c r="M22" i="55"/>
  <c r="F28" i="17"/>
  <c r="AB10" i="48"/>
  <c r="AC10" i="48" s="1"/>
  <c r="X10" i="48"/>
  <c r="V10" i="48"/>
  <c r="I28" i="17"/>
  <c r="I59" i="17"/>
  <c r="I58" i="17" s="1"/>
  <c r="I120" i="17"/>
  <c r="F12" i="15"/>
  <c r="K12" i="15"/>
  <c r="M5" i="15"/>
  <c r="N15" i="19"/>
  <c r="G22" i="19"/>
  <c r="P21" i="31"/>
  <c r="M21" i="31"/>
  <c r="P8" i="55" l="1"/>
  <c r="L5" i="55"/>
  <c r="P22" i="19"/>
  <c r="P29" i="19" s="1"/>
  <c r="G29" i="19"/>
  <c r="F34" i="19" s="1"/>
  <c r="J23" i="14" s="1"/>
  <c r="G23" i="14" s="1"/>
  <c r="M12" i="15"/>
  <c r="S5" i="15"/>
  <c r="H25" i="14" l="1"/>
  <c r="P5" i="55"/>
  <c r="L307" i="55"/>
  <c r="P307" i="55" s="1"/>
  <c r="S12" i="15"/>
  <c r="U5" i="15"/>
  <c r="G25" i="14"/>
  <c r="G26" i="14" s="1"/>
  <c r="L365" i="23" l="1"/>
  <c r="U12" i="15"/>
  <c r="Q22" i="19"/>
  <c r="Q29" i="19" s="1"/>
  <c r="L361" i="23" l="1"/>
  <c r="L360" i="23" l="1"/>
  <c r="R5" i="48" l="1"/>
  <c r="S5" i="48" l="1"/>
  <c r="AB175" i="48" l="1"/>
  <c r="AC175" i="48" s="1"/>
  <c r="U360" i="48" l="1"/>
  <c r="AB7" i="48"/>
  <c r="V349" i="48" l="1"/>
  <c r="AB349" i="48"/>
  <c r="U5" i="48"/>
  <c r="AC349" i="48" l="1"/>
  <c r="AB353" i="48"/>
  <c r="AB354" i="48" s="1"/>
  <c r="AB355" i="48" s="1"/>
  <c r="L313" i="55" s="1"/>
  <c r="L312" i="55" l="1"/>
  <c r="P313" i="55"/>
  <c r="L317" i="55"/>
  <c r="L3" i="55" s="1"/>
  <c r="M313" i="55"/>
  <c r="M312" i="55" s="1"/>
  <c r="M311" i="55" s="1"/>
  <c r="AC355" i="48"/>
  <c r="AB5" i="48"/>
  <c r="P312" i="55" l="1"/>
  <c r="L311" i="55"/>
  <c r="P311" i="55" s="1"/>
  <c r="K4" i="1" l="1"/>
  <c r="C8" i="46"/>
  <c r="I8" i="46" s="1"/>
  <c r="C7" i="46"/>
  <c r="I7" i="46" s="1"/>
  <c r="J4" i="1"/>
  <c r="Q6" i="1" l="1"/>
  <c r="Q4" i="1" s="1"/>
  <c r="T6" i="1"/>
  <c r="T4" i="1" s="1"/>
  <c r="O6" i="1"/>
  <c r="O4" i="1" s="1"/>
  <c r="R6" i="1"/>
  <c r="R4" i="1" s="1"/>
  <c r="N6" i="1"/>
  <c r="N4" i="1" s="1"/>
  <c r="U6" i="1"/>
  <c r="U4" i="1" s="1"/>
  <c r="AK7" i="1" l="1"/>
  <c r="AK6" i="1" s="1"/>
  <c r="AK4" i="1" s="1"/>
  <c r="L46" i="26"/>
  <c r="AL4" i="1" l="1"/>
  <c r="P126" i="3" l="1"/>
  <c r="V126" i="3" s="1"/>
  <c r="P131" i="23"/>
  <c r="S131" i="23" s="1"/>
  <c r="U131" i="23" s="1"/>
  <c r="F47" i="30"/>
  <c r="F46" i="30"/>
  <c r="G303" i="6"/>
  <c r="G27" i="6"/>
  <c r="G28" i="6"/>
  <c r="G23" i="6"/>
  <c r="G20" i="6"/>
  <c r="G24" i="6"/>
  <c r="G21" i="6"/>
  <c r="G25" i="6"/>
  <c r="G26" i="6"/>
  <c r="G22" i="6"/>
  <c r="G139" i="6"/>
  <c r="G157" i="6"/>
  <c r="G282" i="6"/>
  <c r="G278" i="6"/>
  <c r="G259" i="6"/>
  <c r="G255" i="6"/>
  <c r="G251" i="6"/>
  <c r="G247" i="6"/>
  <c r="G243" i="6"/>
  <c r="G237" i="6"/>
  <c r="G226" i="6"/>
  <c r="G221" i="6"/>
  <c r="G216" i="6"/>
  <c r="G205" i="6"/>
  <c r="G200" i="6"/>
  <c r="G196" i="6"/>
  <c r="G191" i="6"/>
  <c r="G181" i="6"/>
  <c r="G173" i="6"/>
  <c r="G169" i="6"/>
  <c r="G165" i="6"/>
  <c r="G161" i="6"/>
  <c r="G135" i="6"/>
  <c r="G130" i="6"/>
  <c r="G122" i="6"/>
  <c r="G117" i="6"/>
  <c r="G113" i="6"/>
  <c r="G109" i="6"/>
  <c r="G105" i="6"/>
  <c r="G100" i="6"/>
  <c r="G96" i="6"/>
  <c r="G92" i="6"/>
  <c r="G88" i="6"/>
  <c r="G84" i="6"/>
  <c r="G80" i="6"/>
  <c r="G74" i="6"/>
  <c r="G69" i="6"/>
  <c r="G63" i="6"/>
  <c r="G59" i="6"/>
  <c r="G55" i="6"/>
  <c r="G51" i="6"/>
  <c r="G46" i="6"/>
  <c r="G41" i="6"/>
  <c r="G37" i="6"/>
  <c r="G32" i="6"/>
  <c r="G222" i="6"/>
  <c r="G10" i="6"/>
  <c r="G308" i="6"/>
  <c r="G302" i="6"/>
  <c r="G296" i="6"/>
  <c r="G291" i="6"/>
  <c r="G287" i="6"/>
  <c r="G271" i="6"/>
  <c r="G267" i="6"/>
  <c r="G230" i="6"/>
  <c r="G155" i="6"/>
  <c r="G150" i="6"/>
  <c r="G144" i="6"/>
  <c r="G140" i="6"/>
  <c r="G19" i="6"/>
  <c r="G15" i="6"/>
  <c r="G281" i="6"/>
  <c r="G277" i="6"/>
  <c r="G262" i="6"/>
  <c r="G258" i="6"/>
  <c r="G254" i="6"/>
  <c r="G250" i="6"/>
  <c r="G246" i="6"/>
  <c r="G240" i="6"/>
  <c r="G236" i="6"/>
  <c r="G229" i="6"/>
  <c r="G225" i="6"/>
  <c r="G220" i="6"/>
  <c r="G204" i="6"/>
  <c r="G199" i="6"/>
  <c r="G195" i="6"/>
  <c r="G189" i="6"/>
  <c r="G180" i="6"/>
  <c r="G172" i="6"/>
  <c r="G168" i="6"/>
  <c r="G164" i="6"/>
  <c r="G160" i="6"/>
  <c r="G138" i="6"/>
  <c r="G134" i="6"/>
  <c r="G129" i="6"/>
  <c r="G120" i="6"/>
  <c r="G116" i="6"/>
  <c r="G112" i="6"/>
  <c r="G108" i="6"/>
  <c r="G104" i="6"/>
  <c r="G99" i="6"/>
  <c r="G95" i="6"/>
  <c r="G91" i="6"/>
  <c r="G87" i="6"/>
  <c r="G83" i="6"/>
  <c r="G78" i="6"/>
  <c r="G73" i="6"/>
  <c r="G68" i="6"/>
  <c r="G62" i="6"/>
  <c r="G58" i="6"/>
  <c r="G54" i="6"/>
  <c r="G49" i="6"/>
  <c r="G44" i="6"/>
  <c r="G40" i="6"/>
  <c r="G36" i="6"/>
  <c r="G31" i="6"/>
  <c r="G314" i="6"/>
  <c r="G307" i="6"/>
  <c r="G301" i="6"/>
  <c r="G294" i="6"/>
  <c r="G290" i="6"/>
  <c r="G286" i="6"/>
  <c r="G270" i="6"/>
  <c r="G266" i="6"/>
  <c r="G154" i="6"/>
  <c r="G149" i="6"/>
  <c r="G143" i="6"/>
  <c r="G18" i="6"/>
  <c r="G280" i="6"/>
  <c r="G276" i="6"/>
  <c r="G261" i="6"/>
  <c r="G257" i="6"/>
  <c r="G253" i="6"/>
  <c r="G249" i="6"/>
  <c r="G245" i="6"/>
  <c r="G239" i="6"/>
  <c r="G235" i="6"/>
  <c r="G228" i="6"/>
  <c r="G224" i="6"/>
  <c r="G219" i="6"/>
  <c r="G208" i="6"/>
  <c r="G202" i="6"/>
  <c r="G198" i="6"/>
  <c r="G193" i="6"/>
  <c r="G185" i="6"/>
  <c r="G177" i="6"/>
  <c r="G171" i="6"/>
  <c r="G167" i="6"/>
  <c r="G163" i="6"/>
  <c r="G159" i="6"/>
  <c r="G137" i="6"/>
  <c r="G132" i="6"/>
  <c r="G128" i="6"/>
  <c r="G119" i="6"/>
  <c r="G115" i="6"/>
  <c r="G111" i="6"/>
  <c r="G107" i="6"/>
  <c r="G103" i="6"/>
  <c r="G98" i="6"/>
  <c r="G94" i="6"/>
  <c r="G90" i="6"/>
  <c r="G86" i="6"/>
  <c r="G82" i="6"/>
  <c r="G77" i="6"/>
  <c r="G72" i="6"/>
  <c r="G67" i="6"/>
  <c r="G61" i="6"/>
  <c r="G57" i="6"/>
  <c r="G53" i="6"/>
  <c r="G48" i="6"/>
  <c r="G43" i="6"/>
  <c r="G39" i="6"/>
  <c r="G34" i="6"/>
  <c r="G285" i="6"/>
  <c r="G13" i="6"/>
  <c r="G311" i="6"/>
  <c r="G305" i="6"/>
  <c r="G298" i="6"/>
  <c r="G293" i="6"/>
  <c r="G289" i="6"/>
  <c r="G269" i="6"/>
  <c r="G265" i="6"/>
  <c r="G158" i="6"/>
  <c r="G153" i="6"/>
  <c r="G148" i="6"/>
  <c r="G142" i="6"/>
  <c r="G29" i="6"/>
  <c r="G17" i="6"/>
  <c r="G284" i="6"/>
  <c r="G279" i="6"/>
  <c r="G275" i="6"/>
  <c r="G260" i="6"/>
  <c r="G256" i="6"/>
  <c r="G252" i="6"/>
  <c r="G248" i="6"/>
  <c r="G244" i="6"/>
  <c r="G238" i="6"/>
  <c r="G234" i="6"/>
  <c r="G227" i="6"/>
  <c r="G223" i="6"/>
  <c r="G218" i="6"/>
  <c r="G206" i="6"/>
  <c r="G201" i="6"/>
  <c r="G197" i="6"/>
  <c r="G192" i="6"/>
  <c r="G183" i="6"/>
  <c r="G175" i="6"/>
  <c r="G170" i="6"/>
  <c r="G166" i="6"/>
  <c r="G162" i="6"/>
  <c r="G136" i="6"/>
  <c r="G131" i="6"/>
  <c r="G126" i="6"/>
  <c r="G118" i="6"/>
  <c r="G114" i="6"/>
  <c r="G110" i="6"/>
  <c r="G106" i="6"/>
  <c r="G102" i="6"/>
  <c r="G97" i="6"/>
  <c r="G93" i="6"/>
  <c r="G89" i="6"/>
  <c r="G85" i="6"/>
  <c r="G81" i="6"/>
  <c r="G75" i="6"/>
  <c r="G70" i="6"/>
  <c r="G66" i="6"/>
  <c r="G60" i="6"/>
  <c r="G56" i="6"/>
  <c r="G52" i="6"/>
  <c r="G47" i="6"/>
  <c r="G42" i="6"/>
  <c r="G38" i="6"/>
  <c r="G33" i="6"/>
  <c r="G309" i="6"/>
  <c r="G304" i="6"/>
  <c r="G297" i="6"/>
  <c r="G292" i="6"/>
  <c r="G288" i="6"/>
  <c r="G274" i="6"/>
  <c r="G268" i="6"/>
  <c r="G264" i="6"/>
  <c r="G156" i="6"/>
  <c r="G151" i="6"/>
  <c r="G146" i="6"/>
  <c r="G141" i="6"/>
  <c r="G16" i="6"/>
  <c r="G12" i="6"/>
  <c r="G147" i="6"/>
  <c r="G233" i="6"/>
  <c r="G133" i="6"/>
  <c r="G127" i="6"/>
  <c r="G14" i="6"/>
  <c r="G217" i="6"/>
  <c r="G232" i="6"/>
  <c r="F27" i="6"/>
  <c r="F20" i="6"/>
  <c r="F201" i="6"/>
  <c r="F251" i="6"/>
  <c r="F177" i="6"/>
  <c r="F200" i="6"/>
  <c r="H200" i="6" s="1"/>
  <c r="F234" i="6"/>
  <c r="F202" i="6"/>
  <c r="H202" i="6" s="1"/>
  <c r="F314" i="6"/>
  <c r="F206" i="6"/>
  <c r="F197" i="6"/>
  <c r="F287" i="6"/>
  <c r="H287" i="6" s="1"/>
  <c r="F293" i="6"/>
  <c r="F139" i="6"/>
  <c r="G215" i="6"/>
  <c r="G9" i="6"/>
  <c r="F208" i="6"/>
  <c r="F147" i="6"/>
  <c r="F157" i="6"/>
  <c r="F28" i="6"/>
  <c r="F181" i="6"/>
  <c r="F16" i="6"/>
  <c r="F15" i="6"/>
  <c r="H15" i="6" s="1"/>
  <c r="P19" i="1" s="1"/>
  <c r="V19" i="1" s="1"/>
  <c r="F17" i="6"/>
  <c r="F13" i="6"/>
  <c r="H13" i="6" s="1"/>
  <c r="P17" i="1" s="1"/>
  <c r="V17" i="1" s="1"/>
  <c r="F285" i="6"/>
  <c r="F264" i="6"/>
  <c r="H264" i="6" s="1"/>
  <c r="P67" i="3" s="1"/>
  <c r="V67" i="3" s="1"/>
  <c r="X67" i="3" s="1"/>
  <c r="Z67" i="3" s="1"/>
  <c r="AB67" i="3" s="1"/>
  <c r="F298" i="6"/>
  <c r="F58" i="6"/>
  <c r="F61" i="6"/>
  <c r="H61" i="6" s="1"/>
  <c r="P69" i="1" s="1"/>
  <c r="V69" i="1" s="1"/>
  <c r="F133" i="6"/>
  <c r="F18" i="6"/>
  <c r="F304" i="6"/>
  <c r="F244" i="6"/>
  <c r="F258" i="6"/>
  <c r="F246" i="6"/>
  <c r="F240" i="6"/>
  <c r="H240" i="6" s="1"/>
  <c r="P35" i="3" s="1"/>
  <c r="V35" i="3" s="1"/>
  <c r="X35" i="3" s="1"/>
  <c r="Z35" i="3" s="1"/>
  <c r="AB35" i="3" s="1"/>
  <c r="F166" i="6"/>
  <c r="F137" i="6"/>
  <c r="F159" i="6"/>
  <c r="H159" i="6" s="1"/>
  <c r="F127" i="6"/>
  <c r="F56" i="6"/>
  <c r="F259" i="6"/>
  <c r="H259" i="6" s="1"/>
  <c r="P62" i="3" s="1"/>
  <c r="V62" i="3" s="1"/>
  <c r="X62" i="3" s="1"/>
  <c r="Z62" i="3" s="1"/>
  <c r="AB62" i="3" s="1"/>
  <c r="F249" i="6"/>
  <c r="F269" i="6"/>
  <c r="F229" i="6"/>
  <c r="H229" i="6" s="1"/>
  <c r="P24" i="3" s="1"/>
  <c r="V24" i="3" s="1"/>
  <c r="X24" i="3" s="1"/>
  <c r="Z24" i="3" s="1"/>
  <c r="AB24" i="3" s="1"/>
  <c r="F161" i="6"/>
  <c r="F140" i="6"/>
  <c r="F129" i="6"/>
  <c r="H129" i="6" s="1"/>
  <c r="P153" i="1" s="1"/>
  <c r="V153" i="1" s="1"/>
  <c r="F134" i="6"/>
  <c r="F154" i="6"/>
  <c r="F25" i="6"/>
  <c r="F227" i="6"/>
  <c r="F280" i="6"/>
  <c r="H280" i="6" s="1"/>
  <c r="P83" i="3" s="1"/>
  <c r="V83" i="3" s="1"/>
  <c r="X83" i="3" s="1"/>
  <c r="Z83" i="3" s="1"/>
  <c r="AB83" i="3" s="1"/>
  <c r="F261" i="6"/>
  <c r="F255" i="6"/>
  <c r="F26" i="6"/>
  <c r="H26" i="6" s="1"/>
  <c r="G69" i="24" s="1"/>
  <c r="M69" i="24" s="1"/>
  <c r="N69" i="24" s="1"/>
  <c r="F223" i="6"/>
  <c r="H223" i="6" s="1"/>
  <c r="P18" i="3" s="1"/>
  <c r="V18" i="3" s="1"/>
  <c r="X18" i="3" s="1"/>
  <c r="Z18" i="3" s="1"/>
  <c r="AB18" i="3" s="1"/>
  <c r="F237" i="6"/>
  <c r="F10" i="6"/>
  <c r="H10" i="6" s="1"/>
  <c r="P12" i="1" s="1"/>
  <c r="V12" i="1" s="1"/>
  <c r="F24" i="6"/>
  <c r="H24" i="6" s="1"/>
  <c r="P28" i="1" s="1"/>
  <c r="V28" i="1" s="1"/>
  <c r="F168" i="6"/>
  <c r="F142" i="6"/>
  <c r="F29" i="6"/>
  <c r="F156" i="6"/>
  <c r="F220" i="6"/>
  <c r="F270" i="6"/>
  <c r="F172" i="6"/>
  <c r="H172" i="6" s="1"/>
  <c r="P205" i="1" s="1"/>
  <c r="V205" i="1" s="1"/>
  <c r="F278" i="6"/>
  <c r="H278" i="6" s="1"/>
  <c r="P81" i="3" s="1"/>
  <c r="V81" i="3" s="1"/>
  <c r="X81" i="3" s="1"/>
  <c r="Z81" i="3" s="1"/>
  <c r="AB81" i="3" s="1"/>
  <c r="F222" i="6"/>
  <c r="H222" i="6" s="1"/>
  <c r="P17" i="3" s="1"/>
  <c r="V17" i="3" s="1"/>
  <c r="X17" i="3" s="1"/>
  <c r="Z17" i="3" s="1"/>
  <c r="AB17" i="3" s="1"/>
  <c r="F228" i="6"/>
  <c r="F292" i="6"/>
  <c r="F130" i="6"/>
  <c r="F150" i="6"/>
  <c r="F141" i="6"/>
  <c r="F57" i="6"/>
  <c r="F170" i="6"/>
  <c r="F218" i="6"/>
  <c r="H218" i="6" s="1"/>
  <c r="P10" i="3" s="1"/>
  <c r="V10" i="3" s="1"/>
  <c r="X10" i="3" s="1"/>
  <c r="Z10" i="3" s="1"/>
  <c r="AB10" i="3" s="1"/>
  <c r="F216" i="6"/>
  <c r="H216" i="6" s="1"/>
  <c r="P8" i="3" s="1"/>
  <c r="V8" i="3" s="1"/>
  <c r="X8" i="3" s="1"/>
  <c r="Z8" i="3" s="1"/>
  <c r="AB8" i="3" s="1"/>
  <c r="F253" i="6"/>
  <c r="F54" i="6"/>
  <c r="H54" i="6" s="1"/>
  <c r="P61" i="1" s="1"/>
  <c r="V61" i="1" s="1"/>
  <c r="F225" i="6"/>
  <c r="F236" i="6"/>
  <c r="F294" i="6"/>
  <c r="F162" i="6"/>
  <c r="F136" i="6"/>
  <c r="F158" i="6"/>
  <c r="F128" i="6"/>
  <c r="F131" i="6"/>
  <c r="F21" i="6"/>
  <c r="H21" i="6" s="1"/>
  <c r="P25" i="1" s="1"/>
  <c r="V25" i="1" s="1"/>
  <c r="F53" i="6"/>
  <c r="H53" i="6" s="1"/>
  <c r="P60" i="1" s="1"/>
  <c r="V60" i="1" s="1"/>
  <c r="F238" i="6"/>
  <c r="F226" i="6"/>
  <c r="H226" i="6" s="1"/>
  <c r="P21" i="3" s="1"/>
  <c r="V21" i="3" s="1"/>
  <c r="X21" i="3" s="1"/>
  <c r="Z21" i="3" s="1"/>
  <c r="AB21" i="3" s="1"/>
  <c r="F148" i="6"/>
  <c r="H148" i="6" s="1"/>
  <c r="P174" i="1" s="1"/>
  <c r="V174" i="1" s="1"/>
  <c r="F267" i="6"/>
  <c r="F245" i="6"/>
  <c r="H245" i="6" s="1"/>
  <c r="P41" i="3" s="1"/>
  <c r="V41" i="3" s="1"/>
  <c r="X41" i="3" s="1"/>
  <c r="Z41" i="3" s="1"/>
  <c r="AB41" i="3" s="1"/>
  <c r="F164" i="6"/>
  <c r="F169" i="6"/>
  <c r="H169" i="6" s="1"/>
  <c r="P201" i="1" s="1"/>
  <c r="V201" i="1" s="1"/>
  <c r="F173" i="6"/>
  <c r="H173" i="6" s="1"/>
  <c r="P207" i="1" s="1"/>
  <c r="V207" i="1" s="1"/>
  <c r="F165" i="6"/>
  <c r="H165" i="6" s="1"/>
  <c r="P197" i="1" s="1"/>
  <c r="V197" i="1" s="1"/>
  <c r="F135" i="6"/>
  <c r="H135" i="6" s="1"/>
  <c r="P160" i="1" s="1"/>
  <c r="V160" i="1" s="1"/>
  <c r="F60" i="6"/>
  <c r="F52" i="6"/>
  <c r="H52" i="6" s="1"/>
  <c r="P59" i="1" s="1"/>
  <c r="V59" i="1" s="1"/>
  <c r="F167" i="6"/>
  <c r="F151" i="6"/>
  <c r="F144" i="6"/>
  <c r="F143" i="6"/>
  <c r="H143" i="6" s="1"/>
  <c r="P168" i="1" s="1"/>
  <c r="V168" i="1" s="1"/>
  <c r="F155" i="6"/>
  <c r="H155" i="6" s="1"/>
  <c r="P182" i="1" s="1"/>
  <c r="V182" i="1" s="1"/>
  <c r="F59" i="6"/>
  <c r="H59" i="6" s="1"/>
  <c r="P66" i="1" s="1"/>
  <c r="V66" i="1" s="1"/>
  <c r="F250" i="6"/>
  <c r="H250" i="6" s="1"/>
  <c r="P46" i="3" s="1"/>
  <c r="V46" i="3" s="1"/>
  <c r="X46" i="3" s="1"/>
  <c r="Z46" i="3" s="1"/>
  <c r="AB46" i="3" s="1"/>
  <c r="F257" i="6"/>
  <c r="F160" i="6"/>
  <c r="F114" i="6"/>
  <c r="H114" i="6" s="1"/>
  <c r="P132" i="1" s="1"/>
  <c r="V132" i="1" s="1"/>
  <c r="F34" i="6"/>
  <c r="H34" i="6" s="1"/>
  <c r="F33" i="6"/>
  <c r="H33" i="6" s="1"/>
  <c r="P40" i="1" s="1"/>
  <c r="V40" i="1" s="1"/>
  <c r="F78" i="6"/>
  <c r="H78" i="6" s="1"/>
  <c r="P93" i="1" s="1"/>
  <c r="V93" i="1" s="1"/>
  <c r="F132" i="6"/>
  <c r="H132" i="6" s="1"/>
  <c r="G75" i="24" s="1"/>
  <c r="M75" i="24" s="1"/>
  <c r="F289" i="6"/>
  <c r="H289" i="6" s="1"/>
  <c r="P93" i="3" s="1"/>
  <c r="V93" i="3" s="1"/>
  <c r="X93" i="3" s="1"/>
  <c r="Z93" i="3" s="1"/>
  <c r="AB93" i="3" s="1"/>
  <c r="F247" i="6"/>
  <c r="F83" i="6"/>
  <c r="H83" i="6" s="1"/>
  <c r="P98" i="1" s="1"/>
  <c r="V98" i="1" s="1"/>
  <c r="F260" i="6"/>
  <c r="F95" i="6"/>
  <c r="H95" i="6" s="1"/>
  <c r="P110" i="1" s="1"/>
  <c r="V110" i="1" s="1"/>
  <c r="F116" i="6"/>
  <c r="H116" i="6" s="1"/>
  <c r="P135" i="1" s="1"/>
  <c r="V135" i="1" s="1"/>
  <c r="F119" i="6"/>
  <c r="H119" i="6" s="1"/>
  <c r="P138" i="1" s="1"/>
  <c r="V138" i="1" s="1"/>
  <c r="F239" i="6"/>
  <c r="H239" i="6" s="1"/>
  <c r="P34" i="3" s="1"/>
  <c r="V34" i="3" s="1"/>
  <c r="X34" i="3" s="1"/>
  <c r="Z34" i="3" s="1"/>
  <c r="AB34" i="3" s="1"/>
  <c r="F252" i="6"/>
  <c r="F271" i="6"/>
  <c r="H271" i="6" s="1"/>
  <c r="P74" i="3" s="1"/>
  <c r="V74" i="3" s="1"/>
  <c r="X74" i="3" s="1"/>
  <c r="Z74" i="3" s="1"/>
  <c r="AB74" i="3" s="1"/>
  <c r="F265" i="6"/>
  <c r="H265" i="6" s="1"/>
  <c r="P68" i="3" s="1"/>
  <c r="V68" i="3" s="1"/>
  <c r="X68" i="3" s="1"/>
  <c r="Z68" i="3" s="1"/>
  <c r="AB68" i="3" s="1"/>
  <c r="F254" i="6"/>
  <c r="F55" i="6"/>
  <c r="F19" i="6"/>
  <c r="H19" i="6" s="1"/>
  <c r="P23" i="1" s="1"/>
  <c r="V23" i="1" s="1"/>
  <c r="X23" i="1" s="1"/>
  <c r="Z23" i="1" s="1"/>
  <c r="F74" i="6"/>
  <c r="H74" i="6" s="1"/>
  <c r="P88" i="1" s="1"/>
  <c r="V88" i="1" s="1"/>
  <c r="F103" i="6"/>
  <c r="H103" i="6" s="1"/>
  <c r="P121" i="1" s="1"/>
  <c r="V121" i="1" s="1"/>
  <c r="F97" i="6"/>
  <c r="F75" i="6"/>
  <c r="H75" i="6" s="1"/>
  <c r="P89" i="1" s="1"/>
  <c r="V89" i="1" s="1"/>
  <c r="F82" i="6"/>
  <c r="F256" i="6"/>
  <c r="H256" i="6" s="1"/>
  <c r="P59" i="3" s="1"/>
  <c r="V59" i="3" s="1"/>
  <c r="X59" i="3" s="1"/>
  <c r="Z59" i="3" s="1"/>
  <c r="AB59" i="3" s="1"/>
  <c r="F81" i="6"/>
  <c r="H81" i="6" s="1"/>
  <c r="P96" i="1" s="1"/>
  <c r="V96" i="1" s="1"/>
  <c r="F109" i="6"/>
  <c r="H109" i="6" s="1"/>
  <c r="P127" i="1" s="1"/>
  <c r="V127" i="1" s="1"/>
  <c r="F106" i="6"/>
  <c r="H106" i="6" s="1"/>
  <c r="P124" i="1" s="1"/>
  <c r="V124" i="1" s="1"/>
  <c r="F110" i="6"/>
  <c r="H110" i="6" s="1"/>
  <c r="P128" i="1" s="1"/>
  <c r="V128" i="1" s="1"/>
  <c r="F105" i="6"/>
  <c r="H105" i="6" s="1"/>
  <c r="P123" i="1" s="1"/>
  <c r="V123" i="1" s="1"/>
  <c r="F230" i="6"/>
  <c r="H230" i="6" s="1"/>
  <c r="P25" i="3" s="1"/>
  <c r="V25" i="3" s="1"/>
  <c r="X25" i="3" s="1"/>
  <c r="Z25" i="3" s="1"/>
  <c r="AB25" i="3" s="1"/>
  <c r="F39" i="6"/>
  <c r="F41" i="6"/>
  <c r="H41" i="6" s="1"/>
  <c r="P48" i="1" s="1"/>
  <c r="V48" i="1" s="1"/>
  <c r="F68" i="6"/>
  <c r="F42" i="6"/>
  <c r="H42" i="6" s="1"/>
  <c r="P49" i="1" s="1"/>
  <c r="V49" i="1" s="1"/>
  <c r="F120" i="6"/>
  <c r="H120" i="6" s="1"/>
  <c r="P139" i="1" s="1"/>
  <c r="V139" i="1" s="1"/>
  <c r="F44" i="6"/>
  <c r="H44" i="6" s="1"/>
  <c r="P51" i="1" s="1"/>
  <c r="V51" i="1" s="1"/>
  <c r="F277" i="6"/>
  <c r="H277" i="6" s="1"/>
  <c r="P80" i="3" s="1"/>
  <c r="V80" i="3" s="1"/>
  <c r="X80" i="3" s="1"/>
  <c r="Z80" i="3" s="1"/>
  <c r="AB80" i="3" s="1"/>
  <c r="F233" i="6"/>
  <c r="H233" i="6" s="1"/>
  <c r="P28" i="3" s="1"/>
  <c r="V28" i="3" s="1"/>
  <c r="X28" i="3" s="1"/>
  <c r="Z28" i="3" s="1"/>
  <c r="AB28" i="3" s="1"/>
  <c r="F138" i="6"/>
  <c r="H138" i="6" s="1"/>
  <c r="G78" i="24" s="1"/>
  <c r="M78" i="24" s="1"/>
  <c r="F248" i="6"/>
  <c r="F84" i="6"/>
  <c r="F40" i="6"/>
  <c r="F94" i="6"/>
  <c r="H94" i="6" s="1"/>
  <c r="P109" i="1" s="1"/>
  <c r="V109" i="1" s="1"/>
  <c r="F69" i="6"/>
  <c r="H69" i="6" s="1"/>
  <c r="P82" i="1" s="1"/>
  <c r="V82" i="1" s="1"/>
  <c r="F111" i="6"/>
  <c r="H111" i="6" s="1"/>
  <c r="P129" i="1" s="1"/>
  <c r="V129" i="1" s="1"/>
  <c r="F73" i="6"/>
  <c r="F70" i="6"/>
  <c r="H70" i="6" s="1"/>
  <c r="P83" i="1" s="1"/>
  <c r="V83" i="1" s="1"/>
  <c r="F108" i="6"/>
  <c r="F38" i="6"/>
  <c r="H38" i="6" s="1"/>
  <c r="P45" i="1" s="1"/>
  <c r="V45" i="1" s="1"/>
  <c r="F107" i="6"/>
  <c r="H107" i="6" s="1"/>
  <c r="P125" i="1" s="1"/>
  <c r="V125" i="1" s="1"/>
  <c r="F118" i="6"/>
  <c r="F149" i="6"/>
  <c r="H149" i="6" s="1"/>
  <c r="P175" i="1" s="1"/>
  <c r="V175" i="1" s="1"/>
  <c r="F98" i="6"/>
  <c r="H98" i="6" s="1"/>
  <c r="P113" i="1" s="1"/>
  <c r="V113" i="1" s="1"/>
  <c r="F263" i="6"/>
  <c r="F43" i="6"/>
  <c r="F37" i="6"/>
  <c r="H37" i="6" s="1"/>
  <c r="P44" i="1" s="1"/>
  <c r="V44" i="1" s="1"/>
  <c r="F90" i="6"/>
  <c r="H90" i="6" s="1"/>
  <c r="P105" i="1" s="1"/>
  <c r="V105" i="1" s="1"/>
  <c r="F113" i="6"/>
  <c r="H113" i="6" s="1"/>
  <c r="P131" i="1" s="1"/>
  <c r="V131" i="1" s="1"/>
  <c r="F88" i="6"/>
  <c r="F290" i="6"/>
  <c r="H290" i="6" s="1"/>
  <c r="P94" i="3" s="1"/>
  <c r="V94" i="3" s="1"/>
  <c r="X94" i="3" s="1"/>
  <c r="Z94" i="3" s="1"/>
  <c r="AB94" i="3" s="1"/>
  <c r="F100" i="6"/>
  <c r="H100" i="6" s="1"/>
  <c r="P115" i="1" s="1"/>
  <c r="V115" i="1" s="1"/>
  <c r="F99" i="6"/>
  <c r="H99" i="6" s="1"/>
  <c r="P114" i="1" s="1"/>
  <c r="V114" i="1" s="1"/>
  <c r="F67" i="6"/>
  <c r="H67" i="6" s="1"/>
  <c r="P77" i="1" s="1"/>
  <c r="V77" i="1" s="1"/>
  <c r="F89" i="6"/>
  <c r="F96" i="6"/>
  <c r="H96" i="6" s="1"/>
  <c r="P111" i="1" s="1"/>
  <c r="V111" i="1" s="1"/>
  <c r="F112" i="6"/>
  <c r="F266" i="6"/>
  <c r="F199" i="6"/>
  <c r="H199" i="6" s="1"/>
  <c r="P241" i="1" s="1"/>
  <c r="V241" i="1" s="1"/>
  <c r="X241" i="1" s="1"/>
  <c r="Z241" i="1" s="1"/>
  <c r="F288" i="6"/>
  <c r="H288" i="6" s="1"/>
  <c r="P92" i="3" s="1"/>
  <c r="V92" i="3" s="1"/>
  <c r="X92" i="3" s="1"/>
  <c r="Z92" i="3" s="1"/>
  <c r="AB92" i="3" s="1"/>
  <c r="F291" i="6"/>
  <c r="H291" i="6" s="1"/>
  <c r="P95" i="3" s="1"/>
  <c r="V95" i="3" s="1"/>
  <c r="X95" i="3" s="1"/>
  <c r="Z95" i="3" s="1"/>
  <c r="AB95" i="3" s="1"/>
  <c r="F302" i="6"/>
  <c r="F224" i="6"/>
  <c r="F86" i="6"/>
  <c r="F104" i="6"/>
  <c r="F87" i="6"/>
  <c r="H87" i="6" s="1"/>
  <c r="P102" i="1" s="1"/>
  <c r="V102" i="1" s="1"/>
  <c r="F49" i="6"/>
  <c r="H49" i="6" s="1"/>
  <c r="P56" i="1" s="1"/>
  <c r="V56" i="1" s="1"/>
  <c r="F262" i="6"/>
  <c r="F92" i="6"/>
  <c r="F91" i="6"/>
  <c r="H91" i="6" s="1"/>
  <c r="P106" i="1" s="1"/>
  <c r="V106" i="1" s="1"/>
  <c r="F268" i="6"/>
  <c r="F48" i="6"/>
  <c r="F305" i="6"/>
  <c r="H305" i="6" s="1"/>
  <c r="P113" i="3" s="1"/>
  <c r="V113" i="3" s="1"/>
  <c r="X113" i="3" s="1"/>
  <c r="Z113" i="3" s="1"/>
  <c r="AB113" i="3" s="1"/>
  <c r="F85" i="6"/>
  <c r="H85" i="6" s="1"/>
  <c r="P100" i="1" s="1"/>
  <c r="V100" i="1" s="1"/>
  <c r="F93" i="6"/>
  <c r="F217" i="6"/>
  <c r="F31" i="6"/>
  <c r="F297" i="6"/>
  <c r="F221" i="6"/>
  <c r="H221" i="6" s="1"/>
  <c r="P16" i="3" s="1"/>
  <c r="V16" i="3" s="1"/>
  <c r="X16" i="3" s="1"/>
  <c r="Z16" i="3" s="1"/>
  <c r="AB16" i="3" s="1"/>
  <c r="F282" i="6"/>
  <c r="H282" i="6" s="1"/>
  <c r="P86" i="3" s="1"/>
  <c r="V86" i="3" s="1"/>
  <c r="X86" i="3" s="1"/>
  <c r="Z86" i="3" s="1"/>
  <c r="AB86" i="3" s="1"/>
  <c r="F235" i="6"/>
  <c r="H235" i="6" s="1"/>
  <c r="P30" i="3" s="1"/>
  <c r="V30" i="3" s="1"/>
  <c r="X30" i="3" s="1"/>
  <c r="Z30" i="3" s="1"/>
  <c r="AB30" i="3" s="1"/>
  <c r="F219" i="6"/>
  <c r="F63" i="6"/>
  <c r="H63" i="6" s="1"/>
  <c r="P73" i="1" s="1"/>
  <c r="F281" i="6"/>
  <c r="H281" i="6" s="1"/>
  <c r="P84" i="3" s="1"/>
  <c r="V84" i="3" s="1"/>
  <c r="X84" i="3" s="1"/>
  <c r="Z84" i="3" s="1"/>
  <c r="AB84" i="3" s="1"/>
  <c r="F117" i="6"/>
  <c r="F279" i="6"/>
  <c r="H279" i="6" s="1"/>
  <c r="P82" i="3" s="1"/>
  <c r="V82" i="3" s="1"/>
  <c r="X82" i="3" s="1"/>
  <c r="Z82" i="3" s="1"/>
  <c r="AB82" i="3" s="1"/>
  <c r="F286" i="6"/>
  <c r="F47" i="6"/>
  <c r="F175" i="6"/>
  <c r="H175" i="6" s="1"/>
  <c r="P209" i="1" s="1"/>
  <c r="F185" i="6"/>
  <c r="H185" i="6" s="1"/>
  <c r="P220" i="1" s="1"/>
  <c r="P219" i="1" s="1"/>
  <c r="F146" i="6"/>
  <c r="F183" i="6"/>
  <c r="H183" i="6" s="1"/>
  <c r="P218" i="1" s="1"/>
  <c r="F296" i="6"/>
  <c r="F196" i="6"/>
  <c r="F77" i="6"/>
  <c r="F180" i="6"/>
  <c r="H180" i="6" s="1"/>
  <c r="P215" i="1" s="1"/>
  <c r="F122" i="6"/>
  <c r="F80" i="6"/>
  <c r="H80" i="6" s="1"/>
  <c r="P95" i="1" s="1"/>
  <c r="F192" i="6"/>
  <c r="F198" i="6"/>
  <c r="H198" i="6" s="1"/>
  <c r="P240" i="1" s="1"/>
  <c r="V240" i="1" s="1"/>
  <c r="F72" i="6"/>
  <c r="H72" i="6" s="1"/>
  <c r="P85" i="1" s="1"/>
  <c r="F163" i="6"/>
  <c r="H163" i="6" s="1"/>
  <c r="P195" i="1" s="1"/>
  <c r="V195" i="1" s="1"/>
  <c r="F36" i="6"/>
  <c r="F22" i="6"/>
  <c r="F12" i="6"/>
  <c r="H12" i="6" s="1"/>
  <c r="G67" i="24" s="1"/>
  <c r="M67" i="24" s="1"/>
  <c r="F23" i="6"/>
  <c r="F195" i="6"/>
  <c r="H195" i="6" s="1"/>
  <c r="P237" i="1" s="1"/>
  <c r="F14" i="6"/>
  <c r="H14" i="6" s="1"/>
  <c r="F115" i="6"/>
  <c r="F102" i="6"/>
  <c r="F66" i="6"/>
  <c r="F205" i="6"/>
  <c r="H205" i="6" s="1"/>
  <c r="P248" i="1" s="1"/>
  <c r="V248" i="1" s="1"/>
  <c r="F62" i="6"/>
  <c r="H62" i="6" s="1"/>
  <c r="P72" i="1" s="1"/>
  <c r="F51" i="6"/>
  <c r="F171" i="6"/>
  <c r="H171" i="6" s="1"/>
  <c r="P203" i="1" s="1"/>
  <c r="F126" i="6"/>
  <c r="H126" i="6" s="1"/>
  <c r="F284" i="6"/>
  <c r="H284" i="6" s="1"/>
  <c r="P88" i="3" s="1"/>
  <c r="V88" i="3" s="1"/>
  <c r="X88" i="3" s="1"/>
  <c r="Z88" i="3" s="1"/>
  <c r="AB88" i="3" s="1"/>
  <c r="F275" i="6"/>
  <c r="H275" i="6" s="1"/>
  <c r="F232" i="6"/>
  <c r="F243" i="6"/>
  <c r="F274" i="6"/>
  <c r="F276" i="6"/>
  <c r="H276" i="6" s="1"/>
  <c r="P79" i="3" s="1"/>
  <c r="V79" i="3" s="1"/>
  <c r="X79" i="3" s="1"/>
  <c r="Z79" i="3" s="1"/>
  <c r="AB79" i="3" s="1"/>
  <c r="F191" i="6"/>
  <c r="F193" i="6"/>
  <c r="H193" i="6" s="1"/>
  <c r="P235" i="1" s="1"/>
  <c r="V235" i="1" s="1"/>
  <c r="X235" i="1" s="1"/>
  <c r="F309" i="6"/>
  <c r="F311" i="6"/>
  <c r="H311" i="6" s="1"/>
  <c r="P122" i="3" s="1"/>
  <c r="P121" i="3" s="1"/>
  <c r="F301" i="6"/>
  <c r="H301" i="6" s="1"/>
  <c r="P108" i="3" s="1"/>
  <c r="F307" i="6"/>
  <c r="H307" i="6" s="1"/>
  <c r="P118" i="3" s="1"/>
  <c r="F303" i="6"/>
  <c r="H303" i="6" s="1"/>
  <c r="F204" i="6"/>
  <c r="F215" i="6"/>
  <c r="F189" i="6"/>
  <c r="H189" i="6" s="1"/>
  <c r="P231" i="1" s="1"/>
  <c r="F46" i="6"/>
  <c r="F308" i="6"/>
  <c r="F32" i="6"/>
  <c r="H32" i="6" s="1"/>
  <c r="P39" i="1" s="1"/>
  <c r="F9" i="6"/>
  <c r="H238" i="6" l="1"/>
  <c r="P33" i="3" s="1"/>
  <c r="V33" i="3" s="1"/>
  <c r="X33" i="3" s="1"/>
  <c r="Z33" i="3" s="1"/>
  <c r="AB33" i="3" s="1"/>
  <c r="L165" i="22"/>
  <c r="J165" i="22" s="1"/>
  <c r="L125" i="22"/>
  <c r="J125" i="22" s="1"/>
  <c r="L130" i="22"/>
  <c r="L114" i="45" s="1"/>
  <c r="M114" i="45" s="1"/>
  <c r="L148" i="22"/>
  <c r="L122" i="22"/>
  <c r="L122" i="45" s="1"/>
  <c r="M122" i="45" s="1"/>
  <c r="L117" i="22"/>
  <c r="L101" i="45" s="1"/>
  <c r="M101" i="45" s="1"/>
  <c r="L131" i="22"/>
  <c r="L125" i="45" s="1"/>
  <c r="M125" i="45" s="1"/>
  <c r="L112" i="22"/>
  <c r="L98" i="45" s="1"/>
  <c r="M98" i="45" s="1"/>
  <c r="L107" i="22"/>
  <c r="L94" i="45" s="1"/>
  <c r="M94" i="45" s="1"/>
  <c r="L92" i="22"/>
  <c r="Z235" i="1"/>
  <c r="H246" i="6"/>
  <c r="P42" i="3" s="1"/>
  <c r="V42" i="3" s="1"/>
  <c r="X42" i="3" s="1"/>
  <c r="Z42" i="3" s="1"/>
  <c r="AB42" i="3" s="1"/>
  <c r="H134" i="6"/>
  <c r="P159" i="1" s="1"/>
  <c r="V159" i="1" s="1"/>
  <c r="P150" i="1"/>
  <c r="V150" i="1" s="1"/>
  <c r="G72" i="24"/>
  <c r="M72" i="24" s="1"/>
  <c r="H274" i="6"/>
  <c r="P77" i="3" s="1"/>
  <c r="H166" i="6"/>
  <c r="P198" i="1" s="1"/>
  <c r="V198" i="1" s="1"/>
  <c r="H128" i="6"/>
  <c r="P152" i="1" s="1"/>
  <c r="V152" i="1" s="1"/>
  <c r="H249" i="6"/>
  <c r="P45" i="3" s="1"/>
  <c r="V45" i="3" s="1"/>
  <c r="X45" i="3" s="1"/>
  <c r="Z45" i="3" s="1"/>
  <c r="AB45" i="3" s="1"/>
  <c r="H118" i="6"/>
  <c r="P137" i="1" s="1"/>
  <c r="V137" i="1" s="1"/>
  <c r="H47" i="6"/>
  <c r="P54" i="1" s="1"/>
  <c r="H9" i="6"/>
  <c r="P11" i="1" s="1"/>
  <c r="H232" i="6"/>
  <c r="P27" i="3" s="1"/>
  <c r="V27" i="3" s="1"/>
  <c r="H269" i="6"/>
  <c r="P72" i="3" s="1"/>
  <c r="V72" i="3" s="1"/>
  <c r="X72" i="3" s="1"/>
  <c r="Z72" i="3" s="1"/>
  <c r="AB72" i="3" s="1"/>
  <c r="H154" i="6"/>
  <c r="G79" i="24" s="1"/>
  <c r="M79" i="24" s="1"/>
  <c r="H20" i="6"/>
  <c r="P24" i="1" s="1"/>
  <c r="V24" i="1" s="1"/>
  <c r="X24" i="1" s="1"/>
  <c r="Z24" i="1" s="1"/>
  <c r="H253" i="6"/>
  <c r="P54" i="3" s="1"/>
  <c r="V54" i="3" s="1"/>
  <c r="X54" i="3" s="1"/>
  <c r="Z54" i="3" s="1"/>
  <c r="AB54" i="3" s="1"/>
  <c r="H66" i="6"/>
  <c r="P76" i="1" s="1"/>
  <c r="H286" i="6"/>
  <c r="P90" i="3" s="1"/>
  <c r="V90" i="3" s="1"/>
  <c r="X90" i="3" s="1"/>
  <c r="Z90" i="3" s="1"/>
  <c r="AB90" i="3" s="1"/>
  <c r="H308" i="6"/>
  <c r="P119" i="3" s="1"/>
  <c r="V119" i="3" s="1"/>
  <c r="X119" i="3" s="1"/>
  <c r="Z119" i="3" s="1"/>
  <c r="AB119" i="3" s="1"/>
  <c r="H227" i="6"/>
  <c r="P22" i="3" s="1"/>
  <c r="V22" i="3" s="1"/>
  <c r="X22" i="3" s="1"/>
  <c r="Z22" i="3" s="1"/>
  <c r="AB22" i="3" s="1"/>
  <c r="H158" i="6"/>
  <c r="P184" i="1" s="1"/>
  <c r="V184" i="1" s="1"/>
  <c r="H137" i="6"/>
  <c r="P162" i="1" s="1"/>
  <c r="V162" i="1" s="1"/>
  <c r="H192" i="6"/>
  <c r="P234" i="1" s="1"/>
  <c r="V234" i="1" s="1"/>
  <c r="H141" i="6"/>
  <c r="P166" i="1" s="1"/>
  <c r="V166" i="1" s="1"/>
  <c r="H89" i="6"/>
  <c r="P104" i="1" s="1"/>
  <c r="V104" i="1" s="1"/>
  <c r="L146" i="22"/>
  <c r="L132" i="45" s="1"/>
  <c r="M132" i="45" s="1"/>
  <c r="L105" i="22"/>
  <c r="L91" i="45" s="1"/>
  <c r="M91" i="45" s="1"/>
  <c r="L147" i="22"/>
  <c r="L153" i="22"/>
  <c r="J153" i="22" s="1"/>
  <c r="W116" i="23"/>
  <c r="L149" i="22"/>
  <c r="L137" i="22"/>
  <c r="L129" i="45" s="1"/>
  <c r="M129" i="45" s="1"/>
  <c r="H146" i="6"/>
  <c r="P172" i="1" s="1"/>
  <c r="H93" i="6"/>
  <c r="P108" i="1" s="1"/>
  <c r="V108" i="1" s="1"/>
  <c r="H23" i="6"/>
  <c r="P27" i="1" s="1"/>
  <c r="V27" i="1" s="1"/>
  <c r="H219" i="6"/>
  <c r="P13" i="3" s="1"/>
  <c r="V13" i="3" s="1"/>
  <c r="X13" i="3" s="1"/>
  <c r="Z13" i="3" s="1"/>
  <c r="AB13" i="3" s="1"/>
  <c r="H266" i="6"/>
  <c r="P69" i="3" s="1"/>
  <c r="V69" i="3" s="1"/>
  <c r="X69" i="3" s="1"/>
  <c r="Z69" i="3" s="1"/>
  <c r="AB69" i="3" s="1"/>
  <c r="H25" i="6"/>
  <c r="P30" i="1" s="1"/>
  <c r="V30" i="1" s="1"/>
  <c r="H204" i="6"/>
  <c r="P247" i="1" s="1"/>
  <c r="V247" i="1" s="1"/>
  <c r="H104" i="6"/>
  <c r="P122" i="1" s="1"/>
  <c r="V122" i="1" s="1"/>
  <c r="H77" i="6"/>
  <c r="P91" i="1" s="1"/>
  <c r="H255" i="6"/>
  <c r="P58" i="3" s="1"/>
  <c r="V58" i="3" s="1"/>
  <c r="X58" i="3" s="1"/>
  <c r="Z58" i="3" s="1"/>
  <c r="AB58" i="3" s="1"/>
  <c r="H46" i="6"/>
  <c r="P53" i="1" s="1"/>
  <c r="H296" i="6"/>
  <c r="P102" i="3" s="1"/>
  <c r="H117" i="6"/>
  <c r="P136" i="1" s="1"/>
  <c r="V136" i="1" s="1"/>
  <c r="H31" i="6"/>
  <c r="P14" i="1" s="1"/>
  <c r="P13" i="1" s="1"/>
  <c r="H257" i="6"/>
  <c r="P60" i="3" s="1"/>
  <c r="V60" i="3" s="1"/>
  <c r="X60" i="3" s="1"/>
  <c r="Z60" i="3" s="1"/>
  <c r="AB60" i="3" s="1"/>
  <c r="H267" i="6"/>
  <c r="P70" i="3" s="1"/>
  <c r="V70" i="3" s="1"/>
  <c r="X70" i="3" s="1"/>
  <c r="Z70" i="3" s="1"/>
  <c r="AB70" i="3" s="1"/>
  <c r="H161" i="6"/>
  <c r="P191" i="1" s="1"/>
  <c r="V191" i="1" s="1"/>
  <c r="H84" i="6"/>
  <c r="P99" i="1" s="1"/>
  <c r="V99" i="1" s="1"/>
  <c r="H68" i="6"/>
  <c r="P81" i="1" s="1"/>
  <c r="V81" i="1" s="1"/>
  <c r="X81" i="1" s="1"/>
  <c r="H102" i="6"/>
  <c r="P120" i="1" s="1"/>
  <c r="V120" i="1" s="1"/>
  <c r="H262" i="6"/>
  <c r="P65" i="3" s="1"/>
  <c r="V65" i="3" s="1"/>
  <c r="X65" i="3" s="1"/>
  <c r="Z65" i="3" s="1"/>
  <c r="AB65" i="3" s="1"/>
  <c r="H58" i="6"/>
  <c r="P65" i="1" s="1"/>
  <c r="V65" i="1" s="1"/>
  <c r="H112" i="6"/>
  <c r="P130" i="1" s="1"/>
  <c r="V130" i="1" s="1"/>
  <c r="H40" i="6"/>
  <c r="P47" i="1" s="1"/>
  <c r="V47" i="1" s="1"/>
  <c r="H22" i="6"/>
  <c r="P26" i="1" s="1"/>
  <c r="H48" i="6"/>
  <c r="P55" i="1" s="1"/>
  <c r="H86" i="6"/>
  <c r="P101" i="1" s="1"/>
  <c r="V101" i="1" s="1"/>
  <c r="H55" i="6"/>
  <c r="P62" i="1" s="1"/>
  <c r="V62" i="1" s="1"/>
  <c r="H285" i="6"/>
  <c r="E89" i="24" s="1"/>
  <c r="G89" i="24" s="1"/>
  <c r="H196" i="6"/>
  <c r="P238" i="1" s="1"/>
  <c r="V238" i="1" s="1"/>
  <c r="H309" i="6"/>
  <c r="P120" i="3" s="1"/>
  <c r="V120" i="3" s="1"/>
  <c r="X120" i="3" s="1"/>
  <c r="Z120" i="3" s="1"/>
  <c r="AB120" i="3" s="1"/>
  <c r="H92" i="6"/>
  <c r="P107" i="1" s="1"/>
  <c r="V107" i="1" s="1"/>
  <c r="H181" i="6"/>
  <c r="P216" i="1" s="1"/>
  <c r="V216" i="1" s="1"/>
  <c r="H237" i="6"/>
  <c r="P32" i="3" s="1"/>
  <c r="V32" i="3" s="1"/>
  <c r="X32" i="3" s="1"/>
  <c r="Z32" i="3" s="1"/>
  <c r="AB32" i="3" s="1"/>
  <c r="H157" i="6"/>
  <c r="P189" i="1" s="1"/>
  <c r="V189" i="1" s="1"/>
  <c r="X189" i="1" s="1"/>
  <c r="Z189" i="1" s="1"/>
  <c r="H144" i="6"/>
  <c r="P170" i="1" s="1"/>
  <c r="V170" i="1" s="1"/>
  <c r="H254" i="6"/>
  <c r="P57" i="3" s="1"/>
  <c r="V57" i="3" s="1"/>
  <c r="X57" i="3" s="1"/>
  <c r="Z57" i="3" s="1"/>
  <c r="AB57" i="3" s="1"/>
  <c r="H131" i="6"/>
  <c r="P155" i="1" s="1"/>
  <c r="V155" i="1" s="1"/>
  <c r="W76" i="23"/>
  <c r="H297" i="6"/>
  <c r="P103" i="3" s="1"/>
  <c r="V103" i="3" s="1"/>
  <c r="X103" i="3" s="1"/>
  <c r="Z103" i="3" s="1"/>
  <c r="AB103" i="3" s="1"/>
  <c r="H39" i="6"/>
  <c r="P46" i="1" s="1"/>
  <c r="V46" i="1" s="1"/>
  <c r="H160" i="6"/>
  <c r="G81" i="24" s="1"/>
  <c r="M81" i="24" s="1"/>
  <c r="P175" i="23" s="1"/>
  <c r="S175" i="23" s="1"/>
  <c r="U175" i="23" s="1"/>
  <c r="H167" i="6"/>
  <c r="P199" i="1" s="1"/>
  <c r="V199" i="1" s="1"/>
  <c r="H170" i="6"/>
  <c r="P202" i="1" s="1"/>
  <c r="V202" i="1" s="1"/>
  <c r="H294" i="6"/>
  <c r="P99" i="3" s="1"/>
  <c r="V99" i="3" s="1"/>
  <c r="X99" i="3" s="1"/>
  <c r="Z99" i="3" s="1"/>
  <c r="AB99" i="3" s="1"/>
  <c r="H57" i="6"/>
  <c r="P64" i="1" s="1"/>
  <c r="V64" i="1" s="1"/>
  <c r="H236" i="6"/>
  <c r="P31" i="3" s="1"/>
  <c r="V31" i="3" s="1"/>
  <c r="X31" i="3" s="1"/>
  <c r="Z31" i="3" s="1"/>
  <c r="AB31" i="3" s="1"/>
  <c r="H268" i="6"/>
  <c r="P71" i="3" s="1"/>
  <c r="V71" i="3" s="1"/>
  <c r="X71" i="3" s="1"/>
  <c r="Z71" i="3" s="1"/>
  <c r="AB71" i="3" s="1"/>
  <c r="H260" i="6"/>
  <c r="P63" i="3" s="1"/>
  <c r="V63" i="3" s="1"/>
  <c r="X63" i="3" s="1"/>
  <c r="Z63" i="3" s="1"/>
  <c r="AB63" i="3" s="1"/>
  <c r="H208" i="6"/>
  <c r="P251" i="1" s="1"/>
  <c r="P250" i="1" s="1"/>
  <c r="H314" i="6"/>
  <c r="H292" i="6"/>
  <c r="P96" i="3" s="1"/>
  <c r="V96" i="3" s="1"/>
  <c r="X96" i="3" s="1"/>
  <c r="Z96" i="3" s="1"/>
  <c r="AB96" i="3" s="1"/>
  <c r="H140" i="6"/>
  <c r="G76" i="24" s="1"/>
  <c r="M76" i="24" s="1"/>
  <c r="N76" i="24" s="1"/>
  <c r="H18" i="6"/>
  <c r="P22" i="1" s="1"/>
  <c r="V22" i="1" s="1"/>
  <c r="H251" i="6"/>
  <c r="H234" i="6"/>
  <c r="H217" i="6"/>
  <c r="P9" i="3" s="1"/>
  <c r="V9" i="3" s="1"/>
  <c r="X9" i="3" s="1"/>
  <c r="Z9" i="3" s="1"/>
  <c r="AB9" i="3" s="1"/>
  <c r="H56" i="6"/>
  <c r="P63" i="1" s="1"/>
  <c r="V63" i="1" s="1"/>
  <c r="H244" i="6"/>
  <c r="P39" i="3" s="1"/>
  <c r="V39" i="3" s="1"/>
  <c r="X39" i="3" s="1"/>
  <c r="Z39" i="3" s="1"/>
  <c r="AB39" i="3" s="1"/>
  <c r="H16" i="6"/>
  <c r="P20" i="1" s="1"/>
  <c r="V20" i="1" s="1"/>
  <c r="H88" i="6"/>
  <c r="P103" i="1" s="1"/>
  <c r="V103" i="1" s="1"/>
  <c r="H51" i="6"/>
  <c r="P58" i="1" s="1"/>
  <c r="V58" i="1" s="1"/>
  <c r="H293" i="6"/>
  <c r="H28" i="6"/>
  <c r="G70" i="24" s="1"/>
  <c r="H270" i="6"/>
  <c r="P73" i="3" s="1"/>
  <c r="V73" i="3" s="1"/>
  <c r="X73" i="3" s="1"/>
  <c r="Z73" i="3" s="1"/>
  <c r="AB73" i="3" s="1"/>
  <c r="H258" i="6"/>
  <c r="P61" i="3" s="1"/>
  <c r="V61" i="3" s="1"/>
  <c r="X61" i="3" s="1"/>
  <c r="Z61" i="3" s="1"/>
  <c r="AB61" i="3" s="1"/>
  <c r="H201" i="6"/>
  <c r="H36" i="6"/>
  <c r="P43" i="1" s="1"/>
  <c r="H224" i="6"/>
  <c r="P19" i="3" s="1"/>
  <c r="V19" i="3" s="1"/>
  <c r="X19" i="3" s="1"/>
  <c r="Z19" i="3" s="1"/>
  <c r="AB19" i="3" s="1"/>
  <c r="H108" i="6"/>
  <c r="P126" i="1" s="1"/>
  <c r="V126" i="1" s="1"/>
  <c r="H248" i="6"/>
  <c r="P44" i="3" s="1"/>
  <c r="V44" i="3" s="1"/>
  <c r="X44" i="3" s="1"/>
  <c r="Z44" i="3" s="1"/>
  <c r="AB44" i="3" s="1"/>
  <c r="H150" i="6"/>
  <c r="P176" i="1" s="1"/>
  <c r="V176" i="1" s="1"/>
  <c r="H220" i="6"/>
  <c r="P14" i="3" s="1"/>
  <c r="V14" i="3" s="1"/>
  <c r="X14" i="3" s="1"/>
  <c r="Z14" i="3" s="1"/>
  <c r="AB14" i="3" s="1"/>
  <c r="H122" i="6"/>
  <c r="P145" i="1" s="1"/>
  <c r="V145" i="1" s="1"/>
  <c r="V144" i="1" s="1"/>
  <c r="H302" i="6"/>
  <c r="P109" i="3" s="1"/>
  <c r="V109" i="3" s="1"/>
  <c r="X109" i="3" s="1"/>
  <c r="Z109" i="3" s="1"/>
  <c r="AB109" i="3" s="1"/>
  <c r="H43" i="6"/>
  <c r="P50" i="1" s="1"/>
  <c r="V50" i="1" s="1"/>
  <c r="H82" i="6"/>
  <c r="P97" i="1" s="1"/>
  <c r="V97" i="1" s="1"/>
  <c r="H151" i="6"/>
  <c r="P177" i="1" s="1"/>
  <c r="V177" i="1" s="1"/>
  <c r="H164" i="6"/>
  <c r="P196" i="1" s="1"/>
  <c r="V196" i="1" s="1"/>
  <c r="H127" i="6"/>
  <c r="G73" i="24" s="1"/>
  <c r="M73" i="24" s="1"/>
  <c r="H304" i="6"/>
  <c r="P112" i="3" s="1"/>
  <c r="V112" i="3" s="1"/>
  <c r="X112" i="3" s="1"/>
  <c r="Z112" i="3" s="1"/>
  <c r="AB112" i="3" s="1"/>
  <c r="H115" i="6"/>
  <c r="P134" i="1" s="1"/>
  <c r="V134" i="1" s="1"/>
  <c r="H73" i="6"/>
  <c r="P87" i="1" s="1"/>
  <c r="V87" i="1" s="1"/>
  <c r="H29" i="6"/>
  <c r="P36" i="1" s="1"/>
  <c r="V36" i="1" s="1"/>
  <c r="H243" i="6"/>
  <c r="P38" i="3" s="1"/>
  <c r="V38" i="3" s="1"/>
  <c r="H191" i="6"/>
  <c r="P233" i="1" s="1"/>
  <c r="H97" i="6"/>
  <c r="P112" i="1" s="1"/>
  <c r="V112" i="1" s="1"/>
  <c r="H261" i="6"/>
  <c r="P64" i="3" s="1"/>
  <c r="V64" i="3" s="1"/>
  <c r="X64" i="3" s="1"/>
  <c r="Z64" i="3" s="1"/>
  <c r="AB64" i="3" s="1"/>
  <c r="H60" i="6"/>
  <c r="P68" i="1" s="1"/>
  <c r="V68" i="1" s="1"/>
  <c r="H136" i="6"/>
  <c r="P161" i="1" s="1"/>
  <c r="V161" i="1" s="1"/>
  <c r="H139" i="6"/>
  <c r="P164" i="1" s="1"/>
  <c r="V164" i="1" s="1"/>
  <c r="H225" i="6"/>
  <c r="P20" i="3" s="1"/>
  <c r="V20" i="3" s="1"/>
  <c r="X20" i="3" s="1"/>
  <c r="Z20" i="3" s="1"/>
  <c r="AB20" i="3" s="1"/>
  <c r="H130" i="6"/>
  <c r="P154" i="1" s="1"/>
  <c r="V154" i="1" s="1"/>
  <c r="H252" i="6"/>
  <c r="P53" i="3" s="1"/>
  <c r="V53" i="3" s="1"/>
  <c r="X53" i="3" s="1"/>
  <c r="Z53" i="3" s="1"/>
  <c r="AB53" i="3" s="1"/>
  <c r="H247" i="6"/>
  <c r="P43" i="3" s="1"/>
  <c r="V43" i="3" s="1"/>
  <c r="X43" i="3" s="1"/>
  <c r="Z43" i="3" s="1"/>
  <c r="AB43" i="3" s="1"/>
  <c r="H228" i="6"/>
  <c r="P23" i="3" s="1"/>
  <c r="V23" i="3" s="1"/>
  <c r="X23" i="3" s="1"/>
  <c r="Z23" i="3" s="1"/>
  <c r="AB23" i="3" s="1"/>
  <c r="H142" i="6"/>
  <c r="P167" i="1" s="1"/>
  <c r="V167" i="1" s="1"/>
  <c r="H162" i="6"/>
  <c r="P194" i="1" s="1"/>
  <c r="V194" i="1" s="1"/>
  <c r="H133" i="6"/>
  <c r="G74" i="24" s="1"/>
  <c r="M74" i="24" s="1"/>
  <c r="P150" i="23" s="1"/>
  <c r="S150" i="23" s="1"/>
  <c r="U150" i="23" s="1"/>
  <c r="H298" i="6"/>
  <c r="P105" i="3" s="1"/>
  <c r="V105" i="3" s="1"/>
  <c r="X105" i="3" s="1"/>
  <c r="Z105" i="3" s="1"/>
  <c r="AB105" i="3" s="1"/>
  <c r="H177" i="6"/>
  <c r="H156" i="6"/>
  <c r="P183" i="1" s="1"/>
  <c r="V183" i="1" s="1"/>
  <c r="Y19" i="38"/>
  <c r="Z19" i="38" s="1"/>
  <c r="AC19" i="38" s="1"/>
  <c r="H206" i="6"/>
  <c r="H168" i="6"/>
  <c r="P200" i="1" s="1"/>
  <c r="V200" i="1" s="1"/>
  <c r="G210" i="6"/>
  <c r="H27" i="6"/>
  <c r="P34" i="1" s="1"/>
  <c r="V34" i="1" s="1"/>
  <c r="X34" i="1" s="1"/>
  <c r="Z34" i="1" s="1"/>
  <c r="H197" i="6"/>
  <c r="H17" i="6"/>
  <c r="P21" i="1" s="1"/>
  <c r="V21" i="1" s="1"/>
  <c r="H147" i="6"/>
  <c r="P173" i="1" s="1"/>
  <c r="V173" i="1" s="1"/>
  <c r="G80" i="24"/>
  <c r="M80" i="24" s="1"/>
  <c r="P185" i="1"/>
  <c r="V185" i="1" s="1"/>
  <c r="P90" i="1"/>
  <c r="V91" i="1"/>
  <c r="V90" i="1" s="1"/>
  <c r="V125" i="3"/>
  <c r="X126" i="3"/>
  <c r="Z126" i="3" s="1"/>
  <c r="AB126" i="3" s="1"/>
  <c r="F318" i="6"/>
  <c r="P125" i="3"/>
  <c r="V220" i="1"/>
  <c r="V219" i="1" s="1"/>
  <c r="P163" i="1"/>
  <c r="V163" i="1" s="1"/>
  <c r="P181" i="1"/>
  <c r="V181" i="1" s="1"/>
  <c r="K109" i="31"/>
  <c r="L109" i="31" s="1"/>
  <c r="M109" i="31" s="1"/>
  <c r="K111" i="55"/>
  <c r="M111" i="55" s="1"/>
  <c r="M11" i="14"/>
  <c r="Y13" i="38"/>
  <c r="Z13" i="38" s="1"/>
  <c r="V118" i="3"/>
  <c r="V39" i="1"/>
  <c r="V85" i="1"/>
  <c r="V108" i="3"/>
  <c r="V122" i="3"/>
  <c r="V77" i="3"/>
  <c r="V76" i="1"/>
  <c r="V95" i="1"/>
  <c r="P230" i="1"/>
  <c r="V231" i="1"/>
  <c r="U378" i="23"/>
  <c r="U378" i="48"/>
  <c r="P115" i="3"/>
  <c r="V115" i="3" s="1"/>
  <c r="X115" i="3" s="1"/>
  <c r="Z115" i="3" s="1"/>
  <c r="AB115" i="3" s="1"/>
  <c r="H215" i="6"/>
  <c r="V172" i="1"/>
  <c r="U377" i="48"/>
  <c r="U377" i="23"/>
  <c r="L152" i="45"/>
  <c r="M152" i="45" s="1"/>
  <c r="P78" i="3"/>
  <c r="V78" i="3" s="1"/>
  <c r="X78" i="3" s="1"/>
  <c r="Z78" i="3" s="1"/>
  <c r="AB78" i="3" s="1"/>
  <c r="E88" i="24"/>
  <c r="P208" i="1"/>
  <c r="V209" i="1"/>
  <c r="P16" i="1"/>
  <c r="V237" i="1"/>
  <c r="V215" i="1"/>
  <c r="P217" i="1"/>
  <c r="V218" i="1"/>
  <c r="U376" i="48"/>
  <c r="U376" i="23"/>
  <c r="P18" i="1"/>
  <c r="V18" i="1" s="1"/>
  <c r="G66" i="24"/>
  <c r="M16" i="14"/>
  <c r="P86" i="1"/>
  <c r="V86" i="1" s="1"/>
  <c r="P41" i="1"/>
  <c r="V41" i="1" s="1"/>
  <c r="P157" i="1"/>
  <c r="V157" i="1" s="1"/>
  <c r="P33" i="1"/>
  <c r="V33" i="1" s="1"/>
  <c r="P147" i="23" l="1"/>
  <c r="S147" i="23" s="1"/>
  <c r="U147" i="23" s="1"/>
  <c r="K149" i="55" s="1"/>
  <c r="M66" i="24"/>
  <c r="P128" i="23" s="1"/>
  <c r="L117" i="45"/>
  <c r="M117" i="45" s="1"/>
  <c r="J130" i="22"/>
  <c r="J117" i="22"/>
  <c r="J131" i="22"/>
  <c r="J122" i="22"/>
  <c r="P146" i="23"/>
  <c r="S146" i="23" s="1"/>
  <c r="U146" i="23" s="1"/>
  <c r="F57" i="25" s="1"/>
  <c r="J112" i="22"/>
  <c r="J107" i="22"/>
  <c r="W81" i="23"/>
  <c r="L124" i="22"/>
  <c r="J124" i="22" s="1"/>
  <c r="V180" i="23"/>
  <c r="L110" i="22"/>
  <c r="J110" i="22" s="1"/>
  <c r="L104" i="22"/>
  <c r="J104" i="22" s="1"/>
  <c r="L113" i="22"/>
  <c r="L164" i="22"/>
  <c r="J164" i="22" s="1"/>
  <c r="L133" i="22"/>
  <c r="L126" i="45" s="1"/>
  <c r="M126" i="45" s="1"/>
  <c r="L119" i="22"/>
  <c r="L102" i="45" s="1"/>
  <c r="M102" i="45" s="1"/>
  <c r="L116" i="22"/>
  <c r="J116" i="22" s="1"/>
  <c r="L151" i="22"/>
  <c r="L144" i="45" s="1"/>
  <c r="M144" i="45" s="1"/>
  <c r="L135" i="22"/>
  <c r="J135" i="22" s="1"/>
  <c r="L123" i="22"/>
  <c r="L124" i="45" s="1"/>
  <c r="M124" i="45" s="1"/>
  <c r="L127" i="22"/>
  <c r="L120" i="45" s="1"/>
  <c r="M120" i="45" s="1"/>
  <c r="L115" i="22"/>
  <c r="L100" i="45" s="1"/>
  <c r="M100" i="45" s="1"/>
  <c r="L134" i="22"/>
  <c r="J134" i="22" s="1"/>
  <c r="L120" i="22"/>
  <c r="L110" i="45" s="1"/>
  <c r="M110" i="45" s="1"/>
  <c r="L128" i="22"/>
  <c r="J128" i="22" s="1"/>
  <c r="L132" i="22"/>
  <c r="L123" i="45" s="1"/>
  <c r="M123" i="45" s="1"/>
  <c r="L136" i="22"/>
  <c r="J136" i="22" s="1"/>
  <c r="W15" i="48"/>
  <c r="L33" i="22"/>
  <c r="J33" i="22" s="1"/>
  <c r="Z81" i="1"/>
  <c r="AC178" i="48"/>
  <c r="L173" i="22"/>
  <c r="J173" i="22" s="1"/>
  <c r="U379" i="23"/>
  <c r="E56" i="24"/>
  <c r="G56" i="24" s="1"/>
  <c r="J56" i="24" s="1"/>
  <c r="U379" i="48"/>
  <c r="W20" i="48"/>
  <c r="P89" i="3"/>
  <c r="V89" i="3" s="1"/>
  <c r="V102" i="3"/>
  <c r="V100" i="3" s="1"/>
  <c r="P100" i="3"/>
  <c r="P232" i="1"/>
  <c r="P214" i="1"/>
  <c r="P213" i="1" s="1"/>
  <c r="L158" i="22"/>
  <c r="J158" i="22" s="1"/>
  <c r="J146" i="22"/>
  <c r="L141" i="45"/>
  <c r="M141" i="45" s="1"/>
  <c r="G68" i="24"/>
  <c r="M68" i="24" s="1"/>
  <c r="P129" i="23" s="1"/>
  <c r="S129" i="23" s="1"/>
  <c r="U129" i="23" s="1"/>
  <c r="K107" i="31" s="1"/>
  <c r="L107" i="31" s="1"/>
  <c r="P75" i="1"/>
  <c r="L156" i="22"/>
  <c r="L140" i="45" s="1"/>
  <c r="M140" i="45" s="1"/>
  <c r="U365" i="48"/>
  <c r="V251" i="1"/>
  <c r="V250" i="1" s="1"/>
  <c r="P117" i="3"/>
  <c r="J105" i="22"/>
  <c r="P52" i="1"/>
  <c r="G77" i="24"/>
  <c r="M77" i="24" s="1"/>
  <c r="N77" i="24" s="1"/>
  <c r="W14" i="48"/>
  <c r="J137" i="22"/>
  <c r="V14" i="1"/>
  <c r="V13" i="1" s="1"/>
  <c r="P236" i="1"/>
  <c r="L108" i="22"/>
  <c r="J108" i="22" s="1"/>
  <c r="L103" i="22"/>
  <c r="L92" i="45" s="1"/>
  <c r="M92" i="45" s="1"/>
  <c r="L162" i="22"/>
  <c r="J162" i="22" s="1"/>
  <c r="L121" i="22"/>
  <c r="J121" i="22" s="1"/>
  <c r="P165" i="1"/>
  <c r="V165" i="1" s="1"/>
  <c r="W51" i="23"/>
  <c r="L138" i="22"/>
  <c r="L128" i="45" s="1"/>
  <c r="M128" i="45" s="1"/>
  <c r="L126" i="22"/>
  <c r="J126" i="22" s="1"/>
  <c r="U381" i="48"/>
  <c r="L159" i="22"/>
  <c r="L137" i="45" s="1"/>
  <c r="M137" i="45" s="1"/>
  <c r="W62" i="48"/>
  <c r="L171" i="22"/>
  <c r="L114" i="22"/>
  <c r="L113" i="45" s="1"/>
  <c r="M113" i="45" s="1"/>
  <c r="W13" i="23"/>
  <c r="L154" i="22"/>
  <c r="L142" i="45" s="1"/>
  <c r="M142" i="45" s="1"/>
  <c r="L102" i="22"/>
  <c r="P190" i="1"/>
  <c r="V190" i="1" s="1"/>
  <c r="P35" i="1"/>
  <c r="V35" i="1" s="1"/>
  <c r="X35" i="1" s="1"/>
  <c r="Z35" i="1" s="1"/>
  <c r="U381" i="23"/>
  <c r="U368" i="48"/>
  <c r="U370" i="48"/>
  <c r="P144" i="1"/>
  <c r="P26" i="3"/>
  <c r="P119" i="1"/>
  <c r="P151" i="1"/>
  <c r="V151" i="1" s="1"/>
  <c r="P57" i="1"/>
  <c r="V233" i="1"/>
  <c r="V232" i="1" s="1"/>
  <c r="P158" i="1"/>
  <c r="V158" i="1" s="1"/>
  <c r="P42" i="1"/>
  <c r="V43" i="1"/>
  <c r="V42" i="1" s="1"/>
  <c r="P94" i="1"/>
  <c r="P171" i="1"/>
  <c r="M70" i="24"/>
  <c r="N70" i="24" s="1"/>
  <c r="K147" i="31"/>
  <c r="L147" i="31" s="1"/>
  <c r="K148" i="55"/>
  <c r="M148" i="55" s="1"/>
  <c r="J89" i="24"/>
  <c r="K148" i="31"/>
  <c r="L148" i="31" s="1"/>
  <c r="P148" i="31" s="1"/>
  <c r="U374" i="48"/>
  <c r="H17" i="33"/>
  <c r="G17" i="33" s="1"/>
  <c r="W63" i="23"/>
  <c r="U374" i="23"/>
  <c r="X125" i="3"/>
  <c r="P109" i="31"/>
  <c r="K127" i="31"/>
  <c r="L127" i="31" s="1"/>
  <c r="K128" i="55"/>
  <c r="M128" i="55" s="1"/>
  <c r="S128" i="23"/>
  <c r="V217" i="1"/>
  <c r="V236" i="1"/>
  <c r="V16" i="1"/>
  <c r="G90" i="24"/>
  <c r="J90" i="24" s="1"/>
  <c r="M90" i="24" s="1"/>
  <c r="G88" i="24"/>
  <c r="J88" i="24" s="1"/>
  <c r="M88" i="24" s="1"/>
  <c r="L135" i="45"/>
  <c r="M135" i="45" s="1"/>
  <c r="J149" i="22"/>
  <c r="J148" i="22"/>
  <c r="L134" i="45"/>
  <c r="M134" i="45" s="1"/>
  <c r="X122" i="3"/>
  <c r="Z122" i="3" s="1"/>
  <c r="AB122" i="3" s="1"/>
  <c r="V121" i="3"/>
  <c r="V119" i="1"/>
  <c r="V208" i="1"/>
  <c r="V171" i="1"/>
  <c r="V38" i="1"/>
  <c r="J92" i="22"/>
  <c r="L80" i="45"/>
  <c r="M80" i="45" s="1"/>
  <c r="V94" i="1"/>
  <c r="P38" i="1"/>
  <c r="V26" i="3"/>
  <c r="X27" i="3"/>
  <c r="Z27" i="3" s="1"/>
  <c r="AB27" i="3" s="1"/>
  <c r="X118" i="3"/>
  <c r="Z118" i="3" s="1"/>
  <c r="AB118" i="3" s="1"/>
  <c r="V117" i="3"/>
  <c r="G24" i="39"/>
  <c r="F24" i="39"/>
  <c r="AC13" i="38"/>
  <c r="V214" i="1"/>
  <c r="P7" i="3"/>
  <c r="V84" i="1"/>
  <c r="M84" i="24"/>
  <c r="P47" i="23"/>
  <c r="V75" i="1"/>
  <c r="P84" i="1"/>
  <c r="J147" i="22"/>
  <c r="L133" i="45"/>
  <c r="M133" i="45" s="1"/>
  <c r="X38" i="3"/>
  <c r="Z38" i="3" s="1"/>
  <c r="AB38" i="3" s="1"/>
  <c r="V76" i="3"/>
  <c r="X77" i="3"/>
  <c r="Z77" i="3" s="1"/>
  <c r="AB77" i="3" s="1"/>
  <c r="V107" i="3"/>
  <c r="X108" i="3"/>
  <c r="Z108" i="3" s="1"/>
  <c r="AB108" i="3" s="1"/>
  <c r="L145" i="45"/>
  <c r="M145" i="45" s="1"/>
  <c r="X231" i="1"/>
  <c r="V230" i="1"/>
  <c r="P76" i="3"/>
  <c r="P8" i="1"/>
  <c r="V11" i="1"/>
  <c r="P107" i="3"/>
  <c r="G96" i="24" l="1"/>
  <c r="K123" i="31"/>
  <c r="L123" i="31" s="1"/>
  <c r="P123" i="31" s="1"/>
  <c r="K124" i="55"/>
  <c r="M124" i="55" s="1"/>
  <c r="E60" i="24"/>
  <c r="X17" i="33"/>
  <c r="L116" i="45"/>
  <c r="M116" i="45" s="1"/>
  <c r="Z125" i="3"/>
  <c r="J151" i="22"/>
  <c r="L150" i="45"/>
  <c r="M150" i="45" s="1"/>
  <c r="L90" i="45"/>
  <c r="M90" i="45" s="1"/>
  <c r="J115" i="22"/>
  <c r="J127" i="22"/>
  <c r="L119" i="45"/>
  <c r="M119" i="45" s="1"/>
  <c r="J133" i="22"/>
  <c r="J132" i="22"/>
  <c r="J119" i="22"/>
  <c r="J120" i="22"/>
  <c r="L97" i="45"/>
  <c r="M97" i="45" s="1"/>
  <c r="J123" i="22"/>
  <c r="L109" i="22"/>
  <c r="W22" i="23"/>
  <c r="L111" i="45"/>
  <c r="M111" i="45" s="1"/>
  <c r="L115" i="45"/>
  <c r="M115" i="45" s="1"/>
  <c r="L127" i="45"/>
  <c r="M127" i="45" s="1"/>
  <c r="L145" i="22"/>
  <c r="J113" i="22"/>
  <c r="L99" i="45"/>
  <c r="M99" i="45" s="1"/>
  <c r="X121" i="3"/>
  <c r="L106" i="22"/>
  <c r="T6" i="31" s="1"/>
  <c r="L167" i="22"/>
  <c r="L11" i="45"/>
  <c r="M11" i="45" s="1"/>
  <c r="L90" i="22"/>
  <c r="Z231" i="1"/>
  <c r="Z230" i="1" s="1"/>
  <c r="P87" i="3"/>
  <c r="X102" i="3"/>
  <c r="Z102" i="3" s="1"/>
  <c r="AB102" i="3" s="1"/>
  <c r="I24" i="39"/>
  <c r="K24" i="39" s="1"/>
  <c r="X251" i="1"/>
  <c r="Z251" i="1" s="1"/>
  <c r="Z250" i="1" s="1"/>
  <c r="K109" i="55"/>
  <c r="M109" i="55" s="1"/>
  <c r="L138" i="45"/>
  <c r="M138" i="45" s="1"/>
  <c r="Y17" i="33"/>
  <c r="J156" i="22"/>
  <c r="J159" i="22"/>
  <c r="L148" i="45"/>
  <c r="M148" i="45" s="1"/>
  <c r="L95" i="45"/>
  <c r="M95" i="45" s="1"/>
  <c r="J138" i="22"/>
  <c r="J154" i="22"/>
  <c r="J103" i="22"/>
  <c r="L112" i="45"/>
  <c r="M112" i="45" s="1"/>
  <c r="L172" i="22"/>
  <c r="J172" i="22" s="1"/>
  <c r="L89" i="45"/>
  <c r="M89" i="45" s="1"/>
  <c r="J102" i="22"/>
  <c r="L109" i="45"/>
  <c r="M109" i="45" s="1"/>
  <c r="L121" i="45"/>
  <c r="M121" i="45" s="1"/>
  <c r="J114" i="22"/>
  <c r="P15" i="1"/>
  <c r="P7" i="1" s="1"/>
  <c r="V149" i="1"/>
  <c r="P149" i="1"/>
  <c r="P74" i="1"/>
  <c r="P130" i="23"/>
  <c r="S130" i="23" s="1"/>
  <c r="U130" i="23" s="1"/>
  <c r="K108" i="31" s="1"/>
  <c r="L108" i="31" s="1"/>
  <c r="M108" i="31" s="1"/>
  <c r="M89" i="24"/>
  <c r="P62" i="23" s="1"/>
  <c r="S62" i="23" s="1"/>
  <c r="U62" i="23" s="1"/>
  <c r="P151" i="23"/>
  <c r="V213" i="1"/>
  <c r="P147" i="31"/>
  <c r="M147" i="31"/>
  <c r="E95" i="24"/>
  <c r="V74" i="1"/>
  <c r="L153" i="45"/>
  <c r="M153" i="45" s="1"/>
  <c r="J171" i="22"/>
  <c r="M107" i="31"/>
  <c r="P107" i="31"/>
  <c r="H7" i="33"/>
  <c r="G7" i="33" s="1"/>
  <c r="X26" i="3"/>
  <c r="N50" i="46" s="1"/>
  <c r="D50" i="46" s="1"/>
  <c r="W34" i="23"/>
  <c r="U372" i="48"/>
  <c r="X107" i="3"/>
  <c r="U372" i="23"/>
  <c r="H14" i="33"/>
  <c r="G14" i="33" s="1"/>
  <c r="M56" i="24"/>
  <c r="O9" i="23" s="1"/>
  <c r="M8" i="14"/>
  <c r="X230" i="1"/>
  <c r="E28" i="39" s="1"/>
  <c r="Y9" i="38"/>
  <c r="G38" i="26"/>
  <c r="S47" i="23"/>
  <c r="U47" i="23" s="1"/>
  <c r="V8" i="1"/>
  <c r="U128" i="23"/>
  <c r="P9" i="23"/>
  <c r="P111" i="23"/>
  <c r="M127" i="31"/>
  <c r="P127" i="31"/>
  <c r="P6" i="3"/>
  <c r="P36" i="3" s="1"/>
  <c r="V7" i="3"/>
  <c r="X89" i="3"/>
  <c r="Z89" i="3" s="1"/>
  <c r="AB89" i="3" s="1"/>
  <c r="V87" i="3"/>
  <c r="U375" i="48"/>
  <c r="X76" i="3"/>
  <c r="W110" i="48"/>
  <c r="H11" i="33"/>
  <c r="G11" i="33" s="1"/>
  <c r="X117" i="3"/>
  <c r="H15" i="33"/>
  <c r="G15" i="33" s="1"/>
  <c r="H13" i="33" l="1"/>
  <c r="G13" i="33" s="1"/>
  <c r="M123" i="31"/>
  <c r="X250" i="1"/>
  <c r="X7" i="33"/>
  <c r="X14" i="33"/>
  <c r="X15" i="33"/>
  <c r="X11" i="33"/>
  <c r="AB125" i="3"/>
  <c r="Z121" i="3"/>
  <c r="Z117" i="3"/>
  <c r="Z107" i="3"/>
  <c r="Z76" i="3"/>
  <c r="Z26" i="3"/>
  <c r="L157" i="22"/>
  <c r="J157" i="22" s="1"/>
  <c r="L152" i="22"/>
  <c r="T9" i="31" s="1"/>
  <c r="U380" i="23"/>
  <c r="U380" i="48"/>
  <c r="X100" i="3"/>
  <c r="W90" i="23"/>
  <c r="Y11" i="33"/>
  <c r="Y7" i="33"/>
  <c r="Y15" i="33"/>
  <c r="Y14" i="33"/>
  <c r="P6" i="1"/>
  <c r="K110" i="55"/>
  <c r="M110" i="55" s="1"/>
  <c r="F52" i="25"/>
  <c r="F41" i="30" s="1"/>
  <c r="P108" i="31"/>
  <c r="W62" i="23"/>
  <c r="S151" i="23"/>
  <c r="U151" i="23" s="1"/>
  <c r="F21" i="25"/>
  <c r="F21" i="30" s="1"/>
  <c r="K58" i="55"/>
  <c r="M58" i="55" s="1"/>
  <c r="K57" i="31"/>
  <c r="L57" i="31" s="1"/>
  <c r="M96" i="24"/>
  <c r="K45" i="31"/>
  <c r="L45" i="31" s="1"/>
  <c r="K46" i="55"/>
  <c r="M46" i="55" s="1"/>
  <c r="F15" i="25"/>
  <c r="J167" i="22"/>
  <c r="L146" i="45"/>
  <c r="M146" i="45" s="1"/>
  <c r="T38" i="26"/>
  <c r="S21" i="23"/>
  <c r="Z9" i="38"/>
  <c r="Y8" i="38"/>
  <c r="S9" i="23"/>
  <c r="V6" i="3"/>
  <c r="X7" i="3"/>
  <c r="Z7" i="3" s="1"/>
  <c r="Y37" i="38"/>
  <c r="L131" i="45"/>
  <c r="M131" i="45" s="1"/>
  <c r="J145" i="22"/>
  <c r="J90" i="22"/>
  <c r="L78" i="45"/>
  <c r="M78" i="45" s="1"/>
  <c r="J106" i="22"/>
  <c r="M40" i="46"/>
  <c r="L93" i="45"/>
  <c r="M93" i="45" s="1"/>
  <c r="S111" i="23"/>
  <c r="K108" i="55"/>
  <c r="F51" i="25"/>
  <c r="K106" i="31"/>
  <c r="L96" i="45"/>
  <c r="M96" i="45" s="1"/>
  <c r="J109" i="22"/>
  <c r="W61" i="48"/>
  <c r="X87" i="3"/>
  <c r="U373" i="48"/>
  <c r="H12" i="33"/>
  <c r="G12" i="33" s="1"/>
  <c r="U373" i="23"/>
  <c r="Y13" i="33" l="1"/>
  <c r="X13" i="33"/>
  <c r="X12" i="33"/>
  <c r="AB117" i="3"/>
  <c r="AB26" i="3"/>
  <c r="AB121" i="3"/>
  <c r="AB76" i="3"/>
  <c r="AB107" i="3"/>
  <c r="M42" i="46"/>
  <c r="T8" i="31"/>
  <c r="L136" i="45"/>
  <c r="M136" i="45" s="1"/>
  <c r="Z100" i="3"/>
  <c r="Z87" i="3"/>
  <c r="L101" i="22"/>
  <c r="T5" i="31" s="1"/>
  <c r="Y12" i="33"/>
  <c r="P57" i="31"/>
  <c r="M57" i="31"/>
  <c r="K129" i="55"/>
  <c r="M129" i="55" s="1"/>
  <c r="K128" i="31"/>
  <c r="L128" i="31" s="1"/>
  <c r="F58" i="25"/>
  <c r="Z8" i="38"/>
  <c r="E23" i="39"/>
  <c r="E22" i="39" s="1"/>
  <c r="AC9" i="38"/>
  <c r="U21" i="23"/>
  <c r="Y33" i="38"/>
  <c r="F10" i="46"/>
  <c r="F11" i="46" s="1"/>
  <c r="V36" i="3"/>
  <c r="U111" i="23"/>
  <c r="W111" i="23" s="1"/>
  <c r="J152" i="22"/>
  <c r="L139" i="45"/>
  <c r="M139" i="45" s="1"/>
  <c r="M43" i="46"/>
  <c r="U9" i="23"/>
  <c r="U370" i="23" s="1"/>
  <c r="L106" i="31"/>
  <c r="H6" i="33"/>
  <c r="G6" i="33" s="1"/>
  <c r="X6" i="3"/>
  <c r="F15" i="30"/>
  <c r="M108" i="55"/>
  <c r="P45" i="31"/>
  <c r="M45" i="31"/>
  <c r="X6" i="33" l="1"/>
  <c r="X8" i="33" s="1"/>
  <c r="AB87" i="3"/>
  <c r="AB100" i="3"/>
  <c r="Z6" i="3"/>
  <c r="Z36" i="3" s="1"/>
  <c r="AB7" i="3"/>
  <c r="Y6" i="33"/>
  <c r="Y8" i="33" s="1"/>
  <c r="M128" i="31"/>
  <c r="P128" i="31"/>
  <c r="K7" i="31"/>
  <c r="L7" i="31" s="1"/>
  <c r="F7" i="25"/>
  <c r="K7" i="55"/>
  <c r="U7" i="55"/>
  <c r="U9" i="55" s="1"/>
  <c r="U10" i="55" s="1"/>
  <c r="J101" i="22"/>
  <c r="L88" i="45"/>
  <c r="M88" i="45" s="1"/>
  <c r="M39" i="46"/>
  <c r="F13" i="46"/>
  <c r="F12" i="46"/>
  <c r="P106" i="31"/>
  <c r="M106" i="31"/>
  <c r="C41" i="46"/>
  <c r="N49" i="46"/>
  <c r="X36" i="3"/>
  <c r="H8" i="33"/>
  <c r="U375" i="23"/>
  <c r="F39" i="25"/>
  <c r="K103" i="55"/>
  <c r="K99" i="31"/>
  <c r="F33" i="25"/>
  <c r="K20" i="55"/>
  <c r="K19" i="31"/>
  <c r="E26" i="39"/>
  <c r="E30" i="39" s="1"/>
  <c r="AB6" i="3" l="1"/>
  <c r="AB36" i="3" s="1"/>
  <c r="F36" i="30"/>
  <c r="F28" i="30"/>
  <c r="K6" i="31"/>
  <c r="L99" i="31"/>
  <c r="K62" i="31"/>
  <c r="K63" i="55"/>
  <c r="M103" i="55"/>
  <c r="M63" i="55" s="1"/>
  <c r="G8" i="33"/>
  <c r="K6" i="55"/>
  <c r="M7" i="55"/>
  <c r="D41" i="46"/>
  <c r="E41" i="46" s="1"/>
  <c r="F7" i="30"/>
  <c r="K8" i="55"/>
  <c r="M20" i="55"/>
  <c r="M8" i="55" s="1"/>
  <c r="S8" i="33"/>
  <c r="AC8" i="33"/>
  <c r="H34" i="33"/>
  <c r="K8" i="31"/>
  <c r="L19" i="31"/>
  <c r="D49" i="46"/>
  <c r="N51" i="46"/>
  <c r="M6" i="55" l="1"/>
  <c r="AB8" i="33"/>
  <c r="P7" i="31"/>
  <c r="M7" i="31"/>
  <c r="L6" i="31"/>
  <c r="P99" i="31"/>
  <c r="L62" i="31"/>
  <c r="P62" i="31" s="1"/>
  <c r="M99" i="31"/>
  <c r="M62" i="31" s="1"/>
  <c r="D51" i="46"/>
  <c r="L8" i="31"/>
  <c r="P8" i="31" s="1"/>
  <c r="M19" i="31"/>
  <c r="M8" i="31" s="1"/>
  <c r="P19" i="31"/>
  <c r="M6" i="31" l="1"/>
  <c r="P6" i="31"/>
  <c r="W18" i="23" l="1"/>
  <c r="W16" i="23" l="1"/>
  <c r="W15" i="23" l="1"/>
  <c r="W14" i="23" l="1"/>
  <c r="O347" i="23" l="1"/>
  <c r="O346" i="23" s="1"/>
  <c r="L362" i="23"/>
  <c r="O344" i="23" l="1"/>
  <c r="O343" i="23" s="1"/>
  <c r="O323" i="23" s="1"/>
  <c r="O301" i="23" s="1"/>
  <c r="O300" i="23" s="1"/>
  <c r="O3" i="23"/>
  <c r="O8" i="23"/>
  <c r="L5" i="23"/>
  <c r="O242" i="23" l="1"/>
  <c r="O184" i="23" s="1"/>
  <c r="O183" i="23" s="1"/>
  <c r="O362" i="23"/>
  <c r="U358" i="23"/>
  <c r="K314" i="31"/>
  <c r="L314" i="31" s="1"/>
  <c r="K316" i="55"/>
  <c r="M316" i="55" s="1"/>
  <c r="O177" i="23" l="1"/>
  <c r="O127" i="23" s="1"/>
  <c r="O75" i="23" s="1"/>
  <c r="O10" i="23" s="1"/>
  <c r="O7" i="23" s="1"/>
  <c r="O360" i="23" s="1"/>
  <c r="O361" i="23"/>
  <c r="M314" i="31"/>
  <c r="P314" i="31"/>
  <c r="O349" i="23" l="1"/>
  <c r="O5" i="23" s="1"/>
  <c r="L164" i="1"/>
  <c r="X164" i="1" s="1"/>
  <c r="Z164" i="1" s="1"/>
  <c r="Q347" i="23" l="1"/>
  <c r="Q346" i="23" s="1"/>
  <c r="L245" i="1"/>
  <c r="X245" i="1" s="1"/>
  <c r="Z245" i="1" s="1"/>
  <c r="Q344" i="23" l="1"/>
  <c r="Q343" i="23" s="1"/>
  <c r="Q323" i="23" s="1"/>
  <c r="Q301" i="23" s="1"/>
  <c r="Q300" i="23" s="1"/>
  <c r="N347" i="23"/>
  <c r="N346" i="23" s="1"/>
  <c r="M20" i="14"/>
  <c r="Y23" i="38"/>
  <c r="Z23" i="38" s="1"/>
  <c r="AC23" i="38" s="1"/>
  <c r="N344" i="23" l="1"/>
  <c r="N343" i="23" s="1"/>
  <c r="N323" i="23" s="1"/>
  <c r="N301" i="23" s="1"/>
  <c r="N300" i="23" s="1"/>
  <c r="Q242" i="23"/>
  <c r="Q184" i="23" s="1"/>
  <c r="Q183" i="23" s="1"/>
  <c r="Q362" i="23"/>
  <c r="L27" i="1"/>
  <c r="X27" i="1" s="1"/>
  <c r="Z27" i="1" s="1"/>
  <c r="L185" i="1"/>
  <c r="X185" i="1" s="1"/>
  <c r="Z185" i="1" s="1"/>
  <c r="L138" i="1"/>
  <c r="X138" i="1" s="1"/>
  <c r="Z138" i="1" s="1"/>
  <c r="L132" i="1"/>
  <c r="X132" i="1" s="1"/>
  <c r="Z132" i="1" s="1"/>
  <c r="L205" i="1"/>
  <c r="X205" i="1" s="1"/>
  <c r="L163" i="1"/>
  <c r="X163" i="1" s="1"/>
  <c r="Z163" i="1" s="1"/>
  <c r="L190" i="1"/>
  <c r="X190" i="1" s="1"/>
  <c r="Z190" i="1" s="1"/>
  <c r="L201" i="1"/>
  <c r="X201" i="1" s="1"/>
  <c r="Z201" i="1" s="1"/>
  <c r="L121" i="1"/>
  <c r="X121" i="1" s="1"/>
  <c r="Z121" i="1" s="1"/>
  <c r="L151" i="1"/>
  <c r="X151" i="1" s="1"/>
  <c r="Z151" i="1" s="1"/>
  <c r="L155" i="1"/>
  <c r="X155" i="1" s="1"/>
  <c r="Z155" i="1" s="1"/>
  <c r="L183" i="1"/>
  <c r="X183" i="1" s="1"/>
  <c r="Z183" i="1" s="1"/>
  <c r="L25" i="1"/>
  <c r="X25" i="1" s="1"/>
  <c r="L123" i="1"/>
  <c r="X123" i="1" s="1"/>
  <c r="Z123" i="1" s="1"/>
  <c r="L64" i="1"/>
  <c r="X64" i="1" s="1"/>
  <c r="Z64" i="1" s="1"/>
  <c r="L104" i="1"/>
  <c r="X104" i="1" s="1"/>
  <c r="Z104" i="1" s="1"/>
  <c r="L108" i="1"/>
  <c r="X108" i="1" s="1"/>
  <c r="Z108" i="1" s="1"/>
  <c r="L51" i="1"/>
  <c r="X51" i="1" s="1"/>
  <c r="Z51" i="1" s="1"/>
  <c r="L56" i="1"/>
  <c r="X56" i="1" s="1"/>
  <c r="Z56" i="1" s="1"/>
  <c r="L196" i="1"/>
  <c r="X196" i="1" s="1"/>
  <c r="Z196" i="1" s="1"/>
  <c r="L12" i="1"/>
  <c r="X12" i="1" s="1"/>
  <c r="Z12" i="1" s="1"/>
  <c r="L129" i="1"/>
  <c r="X129" i="1" s="1"/>
  <c r="Z129" i="1" s="1"/>
  <c r="L102" i="1"/>
  <c r="X102" i="1" s="1"/>
  <c r="Z102" i="1" s="1"/>
  <c r="L45" i="1"/>
  <c r="X45" i="1" s="1"/>
  <c r="L115" i="1"/>
  <c r="X115" i="1" s="1"/>
  <c r="L162" i="1"/>
  <c r="X162" i="1" s="1"/>
  <c r="Z162" i="1" s="1"/>
  <c r="L17" i="1"/>
  <c r="X17" i="1" s="1"/>
  <c r="Z17" i="1" s="1"/>
  <c r="L87" i="1"/>
  <c r="X87" i="1" s="1"/>
  <c r="Z87" i="1" s="1"/>
  <c r="L11" i="1"/>
  <c r="X11" i="1" s="1"/>
  <c r="L20" i="1"/>
  <c r="X20" i="1" s="1"/>
  <c r="Z20" i="1" s="1"/>
  <c r="L176" i="1"/>
  <c r="X176" i="1" s="1"/>
  <c r="L40" i="1"/>
  <c r="X40" i="1" s="1"/>
  <c r="Z40" i="1" s="1"/>
  <c r="L111" i="1"/>
  <c r="X111" i="1" s="1"/>
  <c r="Z111" i="1" s="1"/>
  <c r="L181" i="1"/>
  <c r="X181" i="1" s="1"/>
  <c r="Z181" i="1" s="1"/>
  <c r="L194" i="1"/>
  <c r="X194" i="1" s="1"/>
  <c r="Z194" i="1" s="1"/>
  <c r="L19" i="1"/>
  <c r="X19" i="1" s="1"/>
  <c r="Z19" i="1" s="1"/>
  <c r="L175" i="1"/>
  <c r="X175" i="1" s="1"/>
  <c r="L165" i="1"/>
  <c r="X165" i="1" s="1"/>
  <c r="Z165" i="1" s="1"/>
  <c r="L48" i="1"/>
  <c r="X48" i="1" s="1"/>
  <c r="L105" i="1"/>
  <c r="X105" i="1" s="1"/>
  <c r="Z105" i="1" s="1"/>
  <c r="L30" i="1"/>
  <c r="X30" i="1" s="1"/>
  <c r="Z30" i="1" s="1"/>
  <c r="L128" i="1"/>
  <c r="X128" i="1" s="1"/>
  <c r="Z128" i="1" s="1"/>
  <c r="L93" i="1"/>
  <c r="X93" i="1" s="1"/>
  <c r="Z93" i="1" s="1"/>
  <c r="L73" i="1"/>
  <c r="V31" i="12" s="1"/>
  <c r="L109" i="1"/>
  <c r="X109" i="1" s="1"/>
  <c r="Z109" i="1" s="1"/>
  <c r="L173" i="1"/>
  <c r="X173" i="1" s="1"/>
  <c r="Z173" i="1" s="1"/>
  <c r="L159" i="1"/>
  <c r="X159" i="1" s="1"/>
  <c r="Z159" i="1" s="1"/>
  <c r="L49" i="1"/>
  <c r="X49" i="1" s="1"/>
  <c r="L168" i="1"/>
  <c r="X168" i="1" s="1"/>
  <c r="Z168" i="1" s="1"/>
  <c r="L200" i="1"/>
  <c r="X200" i="1" s="1"/>
  <c r="Z200" i="1" s="1"/>
  <c r="L161" i="1"/>
  <c r="X161" i="1" s="1"/>
  <c r="Z161" i="1" s="1"/>
  <c r="L167" i="1"/>
  <c r="X167" i="1" s="1"/>
  <c r="Z167" i="1" s="1"/>
  <c r="L18" i="1"/>
  <c r="X18" i="1" s="1"/>
  <c r="L62" i="1"/>
  <c r="X62" i="1" s="1"/>
  <c r="Z62" i="1" s="1"/>
  <c r="L112" i="1"/>
  <c r="X112" i="1" s="1"/>
  <c r="L28" i="1"/>
  <c r="X28" i="1" s="1"/>
  <c r="Z28" i="1" s="1"/>
  <c r="L136" i="1"/>
  <c r="X136" i="1" s="1"/>
  <c r="Z136" i="1" s="1"/>
  <c r="L44" i="1"/>
  <c r="X44" i="1" s="1"/>
  <c r="L195" i="1"/>
  <c r="X195" i="1" s="1"/>
  <c r="Z195" i="1" s="1"/>
  <c r="L55" i="1"/>
  <c r="L158" i="1"/>
  <c r="X158" i="1" s="1"/>
  <c r="Z158" i="1" s="1"/>
  <c r="L33" i="1"/>
  <c r="X33" i="1" s="1"/>
  <c r="L46" i="1"/>
  <c r="X46" i="1" s="1"/>
  <c r="L170" i="1"/>
  <c r="X170" i="1" s="1"/>
  <c r="Z170" i="1" s="1"/>
  <c r="L96" i="1"/>
  <c r="X96" i="1" s="1"/>
  <c r="L191" i="1"/>
  <c r="X191" i="1" s="1"/>
  <c r="Z191" i="1" s="1"/>
  <c r="L114" i="1"/>
  <c r="X114" i="1" s="1"/>
  <c r="L26" i="1"/>
  <c r="L216" i="1"/>
  <c r="X216" i="1" s="1"/>
  <c r="L139" i="1"/>
  <c r="X139" i="1" s="1"/>
  <c r="Z139" i="1" s="1"/>
  <c r="L110" i="1"/>
  <c r="X110" i="1" s="1"/>
  <c r="Z110" i="1" s="1"/>
  <c r="L47" i="1"/>
  <c r="X47" i="1" s="1"/>
  <c r="L154" i="1"/>
  <c r="X154" i="1" s="1"/>
  <c r="Z154" i="1" s="1"/>
  <c r="L140" i="1"/>
  <c r="X140" i="1" s="1"/>
  <c r="Z140" i="1" s="1"/>
  <c r="L68" i="1"/>
  <c r="X68" i="1" s="1"/>
  <c r="Z68" i="1" s="1"/>
  <c r="L65" i="1"/>
  <c r="X65" i="1" s="1"/>
  <c r="Z65" i="1" s="1"/>
  <c r="L98" i="1"/>
  <c r="X98" i="1" s="1"/>
  <c r="L152" i="1"/>
  <c r="X152" i="1" s="1"/>
  <c r="Z152" i="1" s="1"/>
  <c r="L127" i="1"/>
  <c r="X127" i="1" s="1"/>
  <c r="Z127" i="1" s="1"/>
  <c r="L135" i="1"/>
  <c r="X135" i="1" s="1"/>
  <c r="Z135" i="1" s="1"/>
  <c r="L107" i="1"/>
  <c r="X107" i="1" s="1"/>
  <c r="Z107" i="1" s="1"/>
  <c r="L131" i="1"/>
  <c r="X131" i="1" s="1"/>
  <c r="Z131" i="1" s="1"/>
  <c r="L106" i="1"/>
  <c r="X106" i="1" s="1"/>
  <c r="Z106" i="1" s="1"/>
  <c r="L122" i="1"/>
  <c r="X122" i="1" s="1"/>
  <c r="Z122" i="1" s="1"/>
  <c r="L182" i="1"/>
  <c r="X182" i="1" s="1"/>
  <c r="Z182" i="1" s="1"/>
  <c r="L83" i="1"/>
  <c r="X83" i="1" s="1"/>
  <c r="Z83" i="1" s="1"/>
  <c r="L197" i="1"/>
  <c r="X197" i="1" s="1"/>
  <c r="Z197" i="1" s="1"/>
  <c r="L97" i="1"/>
  <c r="X97" i="1" s="1"/>
  <c r="L137" i="1"/>
  <c r="X137" i="1" s="1"/>
  <c r="Z137" i="1" s="1"/>
  <c r="L66" i="1"/>
  <c r="X66" i="1" s="1"/>
  <c r="Z66" i="1" s="1"/>
  <c r="L100" i="1"/>
  <c r="X100" i="1" s="1"/>
  <c r="Z100" i="1" s="1"/>
  <c r="L60" i="1"/>
  <c r="X60" i="1" s="1"/>
  <c r="Z60" i="1" s="1"/>
  <c r="L125" i="1"/>
  <c r="X125" i="1" s="1"/>
  <c r="Z125" i="1" s="1"/>
  <c r="L157" i="1"/>
  <c r="X157" i="1" s="1"/>
  <c r="Z157" i="1" s="1"/>
  <c r="L184" i="1"/>
  <c r="X184" i="1" s="1"/>
  <c r="Z184" i="1" s="1"/>
  <c r="L126" i="1"/>
  <c r="X126" i="1" s="1"/>
  <c r="Z126" i="1" s="1"/>
  <c r="L174" i="1"/>
  <c r="X174" i="1" s="1"/>
  <c r="L89" i="1"/>
  <c r="X89" i="1" s="1"/>
  <c r="Z89" i="1" s="1"/>
  <c r="L153" i="1"/>
  <c r="X153" i="1" s="1"/>
  <c r="Z153" i="1" s="1"/>
  <c r="L50" i="1"/>
  <c r="X50" i="1" s="1"/>
  <c r="L101" i="1"/>
  <c r="X101" i="1" s="1"/>
  <c r="Z101" i="1" s="1"/>
  <c r="L22" i="1"/>
  <c r="X22" i="1" s="1"/>
  <c r="Z22" i="1" s="1"/>
  <c r="L54" i="1"/>
  <c r="V46" i="12" s="1"/>
  <c r="V50" i="12" s="1"/>
  <c r="S212" i="1" s="1"/>
  <c r="V212" i="1" s="1"/>
  <c r="X212" i="1" s="1"/>
  <c r="Z212" i="1" s="1"/>
  <c r="L99" i="1"/>
  <c r="X99" i="1" s="1"/>
  <c r="L204" i="1"/>
  <c r="X204" i="1" s="1"/>
  <c r="Z204" i="1" s="1"/>
  <c r="L113" i="1"/>
  <c r="X113" i="1" s="1"/>
  <c r="L103" i="1"/>
  <c r="X103" i="1" s="1"/>
  <c r="Z103" i="1" s="1"/>
  <c r="L177" i="1"/>
  <c r="X177" i="1" s="1"/>
  <c r="Z177" i="1" s="1"/>
  <c r="L69" i="1"/>
  <c r="X69" i="1" s="1"/>
  <c r="Z69" i="1" s="1"/>
  <c r="L59" i="1"/>
  <c r="X59" i="1" s="1"/>
  <c r="Z59" i="1" s="1"/>
  <c r="L160" i="1"/>
  <c r="X160" i="1" s="1"/>
  <c r="Z160" i="1" s="1"/>
  <c r="L36" i="1"/>
  <c r="X36" i="1" s="1"/>
  <c r="L202" i="1"/>
  <c r="X202" i="1" s="1"/>
  <c r="Z202" i="1" s="1"/>
  <c r="L199" i="1"/>
  <c r="X199" i="1" s="1"/>
  <c r="Z199" i="1" s="1"/>
  <c r="L77" i="1"/>
  <c r="X77" i="1" s="1"/>
  <c r="L21" i="1"/>
  <c r="X21" i="1" s="1"/>
  <c r="Z21" i="1" s="1"/>
  <c r="L134" i="1"/>
  <c r="X134" i="1" s="1"/>
  <c r="Z134" i="1" s="1"/>
  <c r="L198" i="1"/>
  <c r="X198" i="1" s="1"/>
  <c r="Z198" i="1" s="1"/>
  <c r="L61" i="1"/>
  <c r="X61" i="1" s="1"/>
  <c r="L124" i="1"/>
  <c r="X124" i="1" s="1"/>
  <c r="Z124" i="1" s="1"/>
  <c r="L82" i="1"/>
  <c r="X82" i="1" s="1"/>
  <c r="L88" i="1"/>
  <c r="X88" i="1" s="1"/>
  <c r="Z88" i="1" s="1"/>
  <c r="L166" i="1"/>
  <c r="X166" i="1" s="1"/>
  <c r="Z166" i="1" s="1"/>
  <c r="L207" i="1"/>
  <c r="X207" i="1" s="1"/>
  <c r="L63" i="1"/>
  <c r="X63" i="1" s="1"/>
  <c r="Z63" i="1" s="1"/>
  <c r="Q177" i="23" l="1"/>
  <c r="Q127" i="23" s="1"/>
  <c r="Q75" i="23" s="1"/>
  <c r="Q10" i="23" s="1"/>
  <c r="Q8" i="23" s="1"/>
  <c r="Q7" i="23" s="1"/>
  <c r="Q360" i="23" s="1"/>
  <c r="Q361" i="23"/>
  <c r="N242" i="23"/>
  <c r="N184" i="23" s="1"/>
  <c r="N183" i="23" s="1"/>
  <c r="N362" i="23"/>
  <c r="L57" i="22"/>
  <c r="J57" i="22" s="1"/>
  <c r="Z112" i="1"/>
  <c r="L78" i="22"/>
  <c r="J78" i="22" s="1"/>
  <c r="Z176" i="1"/>
  <c r="L27" i="22"/>
  <c r="J27" i="22" s="1"/>
  <c r="Z61" i="1"/>
  <c r="L39" i="22"/>
  <c r="L35" i="45" s="1"/>
  <c r="M35" i="45" s="1"/>
  <c r="Z98" i="1"/>
  <c r="L84" i="22"/>
  <c r="J84" i="22" s="1"/>
  <c r="Z216" i="1"/>
  <c r="L77" i="22"/>
  <c r="J77" i="22" s="1"/>
  <c r="Z175" i="1"/>
  <c r="L72" i="22"/>
  <c r="J72" i="22" s="1"/>
  <c r="Z205" i="1"/>
  <c r="L38" i="22"/>
  <c r="L34" i="45" s="1"/>
  <c r="M34" i="45" s="1"/>
  <c r="Z97" i="1"/>
  <c r="L74" i="22"/>
  <c r="L155" i="45" s="1"/>
  <c r="M155" i="45" s="1"/>
  <c r="Z207" i="1"/>
  <c r="L59" i="22"/>
  <c r="J59" i="22" s="1"/>
  <c r="Z114" i="1"/>
  <c r="L28" i="22"/>
  <c r="L52" i="45" s="1"/>
  <c r="M52" i="45" s="1"/>
  <c r="Z77" i="1"/>
  <c r="L58" i="22"/>
  <c r="L29" i="45" s="1"/>
  <c r="M29" i="45" s="1"/>
  <c r="Z113" i="1"/>
  <c r="L40" i="22"/>
  <c r="J40" i="22" s="1"/>
  <c r="Z99" i="1"/>
  <c r="L30" i="22"/>
  <c r="J30" i="22" s="1"/>
  <c r="Z82" i="1"/>
  <c r="L76" i="22"/>
  <c r="J76" i="22" s="1"/>
  <c r="Z174" i="1"/>
  <c r="L37" i="22"/>
  <c r="J37" i="22" s="1"/>
  <c r="Z96" i="1"/>
  <c r="L60" i="22"/>
  <c r="L31" i="45" s="1"/>
  <c r="M31" i="45" s="1"/>
  <c r="Z115" i="1"/>
  <c r="L18" i="22"/>
  <c r="J18" i="22" s="1"/>
  <c r="Z46" i="1"/>
  <c r="L19" i="22"/>
  <c r="L24" i="45" s="1"/>
  <c r="M24" i="45" s="1"/>
  <c r="Z47" i="1"/>
  <c r="L21" i="22"/>
  <c r="J21" i="22" s="1"/>
  <c r="Z49" i="1"/>
  <c r="L17" i="22"/>
  <c r="L22" i="45" s="1"/>
  <c r="M22" i="45" s="1"/>
  <c r="Z45" i="1"/>
  <c r="L20" i="22"/>
  <c r="J20" i="22" s="1"/>
  <c r="Z48" i="1"/>
  <c r="L22" i="22"/>
  <c r="L27" i="45" s="1"/>
  <c r="M27" i="45" s="1"/>
  <c r="Z50" i="1"/>
  <c r="L16" i="22"/>
  <c r="J16" i="22" s="1"/>
  <c r="Z44" i="1"/>
  <c r="L13" i="22"/>
  <c r="J13" i="22" s="1"/>
  <c r="Z36" i="1"/>
  <c r="L12" i="22"/>
  <c r="J12" i="22" s="1"/>
  <c r="Z33" i="1"/>
  <c r="L14" i="22"/>
  <c r="L10" i="45" s="1"/>
  <c r="M10" i="45" s="1"/>
  <c r="Z25" i="1"/>
  <c r="L9" i="22"/>
  <c r="L7" i="45" s="1"/>
  <c r="M7" i="45" s="1"/>
  <c r="Z18" i="1"/>
  <c r="L6" i="22"/>
  <c r="L3" i="45" s="1"/>
  <c r="M3" i="45" s="1"/>
  <c r="Z11" i="1"/>
  <c r="L42" i="22"/>
  <c r="J42" i="22" s="1"/>
  <c r="L8" i="22"/>
  <c r="L6" i="45" s="1"/>
  <c r="M6" i="45" s="1"/>
  <c r="L52" i="22"/>
  <c r="L45" i="22"/>
  <c r="L41" i="45" s="1"/>
  <c r="M41" i="45" s="1"/>
  <c r="L41" i="22"/>
  <c r="J41" i="22" s="1"/>
  <c r="L43" i="22"/>
  <c r="L75" i="22"/>
  <c r="L66" i="22"/>
  <c r="L25" i="22"/>
  <c r="L67" i="22"/>
  <c r="L49" i="22"/>
  <c r="L70" i="22"/>
  <c r="L31" i="22"/>
  <c r="J31" i="22" s="1"/>
  <c r="L44" i="22"/>
  <c r="L40" i="45" s="1"/>
  <c r="M40" i="45" s="1"/>
  <c r="L51" i="22"/>
  <c r="L46" i="22"/>
  <c r="S55" i="1"/>
  <c r="V55" i="1" s="1"/>
  <c r="X55" i="1" s="1"/>
  <c r="Z55" i="1" s="1"/>
  <c r="DR28" i="11"/>
  <c r="L85" i="1"/>
  <c r="V32" i="12"/>
  <c r="S26" i="1" s="1"/>
  <c r="S73" i="1"/>
  <c r="V73" i="1" s="1"/>
  <c r="X73" i="1" s="1"/>
  <c r="Z73" i="1" s="1"/>
  <c r="L180" i="1"/>
  <c r="DT28" i="11"/>
  <c r="DR34" i="11"/>
  <c r="G17" i="17"/>
  <c r="G70" i="17" s="1"/>
  <c r="L240" i="1"/>
  <c r="X240" i="1" s="1"/>
  <c r="G17" i="26"/>
  <c r="T17" i="26" s="1"/>
  <c r="L58" i="1"/>
  <c r="L86" i="1"/>
  <c r="X86" i="1" s="1"/>
  <c r="L41" i="1"/>
  <c r="X41" i="1" s="1"/>
  <c r="Z41" i="1" s="1"/>
  <c r="G11" i="17"/>
  <c r="G64" i="17" s="1"/>
  <c r="L234" i="1"/>
  <c r="X234" i="1" s="1"/>
  <c r="G19" i="17"/>
  <c r="G72" i="17" s="1"/>
  <c r="L242" i="1"/>
  <c r="X242" i="1" s="1"/>
  <c r="DS28" i="11"/>
  <c r="L120" i="1"/>
  <c r="I94" i="1"/>
  <c r="L95" i="1"/>
  <c r="G16" i="17"/>
  <c r="G69" i="17" s="1"/>
  <c r="L239" i="1"/>
  <c r="X239" i="1" s="1"/>
  <c r="Z239" i="1" s="1"/>
  <c r="G20" i="17"/>
  <c r="G73" i="17" s="1"/>
  <c r="L243" i="1"/>
  <c r="X243" i="1" s="1"/>
  <c r="Z243" i="1" s="1"/>
  <c r="I232" i="1"/>
  <c r="G10" i="17"/>
  <c r="L233" i="1"/>
  <c r="I38" i="1"/>
  <c r="L39" i="1"/>
  <c r="G21" i="17"/>
  <c r="G74" i="17" s="1"/>
  <c r="L244" i="1"/>
  <c r="X244" i="1" s="1"/>
  <c r="I246" i="1"/>
  <c r="G23" i="17"/>
  <c r="L247" i="1"/>
  <c r="G24" i="17"/>
  <c r="G77" i="17" s="1"/>
  <c r="G118" i="17" s="1"/>
  <c r="G119" i="17" s="1"/>
  <c r="L248" i="1"/>
  <c r="X248" i="1" s="1"/>
  <c r="G15" i="17"/>
  <c r="G68" i="17" s="1"/>
  <c r="L238" i="1"/>
  <c r="X238" i="1" s="1"/>
  <c r="I149" i="1"/>
  <c r="L150" i="1"/>
  <c r="I52" i="1"/>
  <c r="L53" i="1"/>
  <c r="L14" i="1"/>
  <c r="L157" i="45" l="1"/>
  <c r="M157" i="45" s="1"/>
  <c r="Q349" i="23"/>
  <c r="Q5" i="23" s="1"/>
  <c r="N177" i="23"/>
  <c r="N127" i="23" s="1"/>
  <c r="N75" i="23" s="1"/>
  <c r="N10" i="23" s="1"/>
  <c r="N8" i="23" s="1"/>
  <c r="N7" i="23" s="1"/>
  <c r="N360" i="23" s="1"/>
  <c r="N361" i="23"/>
  <c r="L28" i="45"/>
  <c r="M28" i="45" s="1"/>
  <c r="L65" i="45"/>
  <c r="M65" i="45" s="1"/>
  <c r="L66" i="45"/>
  <c r="M66" i="45" s="1"/>
  <c r="L68" i="45"/>
  <c r="M68" i="45" s="1"/>
  <c r="L30" i="45"/>
  <c r="M30" i="45" s="1"/>
  <c r="L72" i="45"/>
  <c r="M72" i="45" s="1"/>
  <c r="J58" i="22"/>
  <c r="L53" i="45"/>
  <c r="M53" i="45" s="1"/>
  <c r="L25" i="45"/>
  <c r="M25" i="45" s="1"/>
  <c r="J28" i="22"/>
  <c r="L16" i="45"/>
  <c r="M16" i="45" s="1"/>
  <c r="L23" i="45"/>
  <c r="M23" i="45" s="1"/>
  <c r="J74" i="22"/>
  <c r="L36" i="45"/>
  <c r="M36" i="45" s="1"/>
  <c r="L33" i="45"/>
  <c r="M33" i="45" s="1"/>
  <c r="L50" i="45"/>
  <c r="M50" i="45" s="1"/>
  <c r="J17" i="22"/>
  <c r="J60" i="22"/>
  <c r="L26" i="45"/>
  <c r="M26" i="45" s="1"/>
  <c r="J9" i="22"/>
  <c r="L21" i="45"/>
  <c r="M21" i="45" s="1"/>
  <c r="L94" i="22"/>
  <c r="J94" i="22" s="1"/>
  <c r="Z238" i="1"/>
  <c r="L93" i="22"/>
  <c r="J93" i="22" s="1"/>
  <c r="Z234" i="1"/>
  <c r="L98" i="22"/>
  <c r="J98" i="22" s="1"/>
  <c r="Z244" i="1"/>
  <c r="J14" i="22"/>
  <c r="L100" i="22"/>
  <c r="J100" i="22" s="1"/>
  <c r="Z248" i="1"/>
  <c r="L55" i="22"/>
  <c r="J55" i="22" s="1"/>
  <c r="Z86" i="1"/>
  <c r="J19" i="22"/>
  <c r="J22" i="22"/>
  <c r="J39" i="22"/>
  <c r="J38" i="22"/>
  <c r="L64" i="45"/>
  <c r="M64" i="45" s="1"/>
  <c r="L97" i="22"/>
  <c r="J97" i="22" s="1"/>
  <c r="Z242" i="1"/>
  <c r="L95" i="22"/>
  <c r="J95" i="22" s="1"/>
  <c r="Z240" i="1"/>
  <c r="J6" i="22"/>
  <c r="L38" i="45"/>
  <c r="M38" i="45" s="1"/>
  <c r="L37" i="45"/>
  <c r="M37" i="45" s="1"/>
  <c r="J45" i="22"/>
  <c r="J8" i="22"/>
  <c r="J44" i="22"/>
  <c r="J46" i="22"/>
  <c r="L42" i="45"/>
  <c r="M42" i="45" s="1"/>
  <c r="J67" i="22"/>
  <c r="L63" i="45"/>
  <c r="M63" i="45" s="1"/>
  <c r="L45" i="45"/>
  <c r="M45" i="45" s="1"/>
  <c r="J49" i="22"/>
  <c r="J25" i="22"/>
  <c r="L17" i="45"/>
  <c r="M17" i="45" s="1"/>
  <c r="L48" i="45"/>
  <c r="M48" i="45" s="1"/>
  <c r="J51" i="22"/>
  <c r="J52" i="22"/>
  <c r="L49" i="45"/>
  <c r="M49" i="45" s="1"/>
  <c r="J75" i="22"/>
  <c r="L156" i="45"/>
  <c r="M156" i="45" s="1"/>
  <c r="J70" i="22"/>
  <c r="L61" i="45"/>
  <c r="M61" i="45" s="1"/>
  <c r="L59" i="45"/>
  <c r="M59" i="45" s="1"/>
  <c r="J66" i="22"/>
  <c r="J43" i="22"/>
  <c r="L39" i="45"/>
  <c r="M39" i="45" s="1"/>
  <c r="I15" i="1"/>
  <c r="L16" i="1"/>
  <c r="L84" i="1"/>
  <c r="X85" i="1"/>
  <c r="I217" i="1"/>
  <c r="L218" i="1"/>
  <c r="L94" i="1"/>
  <c r="X95" i="1"/>
  <c r="Y22" i="38"/>
  <c r="G25" i="33" s="1"/>
  <c r="M19" i="14"/>
  <c r="Y20" i="38"/>
  <c r="G26" i="33" s="1"/>
  <c r="M17" i="14"/>
  <c r="S15" i="1"/>
  <c r="V26" i="1"/>
  <c r="I84" i="1"/>
  <c r="I42" i="1"/>
  <c r="L43" i="1"/>
  <c r="I144" i="1"/>
  <c r="L145" i="1"/>
  <c r="M13" i="14"/>
  <c r="Y16" i="38"/>
  <c r="Z16" i="38" s="1"/>
  <c r="M14" i="14"/>
  <c r="Y17" i="38"/>
  <c r="Z17" i="38" s="1"/>
  <c r="I171" i="1"/>
  <c r="L172" i="1"/>
  <c r="L149" i="1"/>
  <c r="X150" i="1"/>
  <c r="G63" i="17"/>
  <c r="G9" i="17"/>
  <c r="X120" i="1"/>
  <c r="L13" i="1"/>
  <c r="X14" i="1"/>
  <c r="M15" i="14"/>
  <c r="Y18" i="38"/>
  <c r="Z18" i="38" s="1"/>
  <c r="AC18" i="38" s="1"/>
  <c r="I8" i="1"/>
  <c r="L10" i="1"/>
  <c r="M22" i="14"/>
  <c r="Y26" i="38"/>
  <c r="Z26" i="38" s="1"/>
  <c r="AC26" i="38" s="1"/>
  <c r="L246" i="1"/>
  <c r="X247" i="1"/>
  <c r="I75" i="1"/>
  <c r="L76" i="1"/>
  <c r="G76" i="17"/>
  <c r="G75" i="17" s="1"/>
  <c r="G120" i="17" s="1"/>
  <c r="G22" i="17"/>
  <c r="L38" i="1"/>
  <c r="X39" i="1"/>
  <c r="Z39" i="1" s="1"/>
  <c r="Z38" i="1" s="1"/>
  <c r="X58" i="1"/>
  <c r="I214" i="1"/>
  <c r="L215" i="1"/>
  <c r="L52" i="1"/>
  <c r="M18" i="14"/>
  <c r="Y21" i="38"/>
  <c r="Z21" i="38" s="1"/>
  <c r="AC21" i="38" s="1"/>
  <c r="I236" i="1"/>
  <c r="I229" i="1" s="1"/>
  <c r="I228" i="1" s="1"/>
  <c r="E9" i="46" s="1"/>
  <c r="G14" i="17"/>
  <c r="L237" i="1"/>
  <c r="I90" i="1"/>
  <c r="L91" i="1"/>
  <c r="L232" i="1"/>
  <c r="X233" i="1"/>
  <c r="M10" i="14"/>
  <c r="Y12" i="38"/>
  <c r="Z12" i="38" s="1"/>
  <c r="AC12" i="38" s="1"/>
  <c r="N349" i="23" l="1"/>
  <c r="N5" i="23" s="1"/>
  <c r="L84" i="45"/>
  <c r="M84" i="45" s="1"/>
  <c r="L86" i="45"/>
  <c r="M86" i="45" s="1"/>
  <c r="L82" i="45"/>
  <c r="M82" i="45" s="1"/>
  <c r="L81" i="45"/>
  <c r="M81" i="45" s="1"/>
  <c r="L48" i="22"/>
  <c r="J48" i="22" s="1"/>
  <c r="Z120" i="1"/>
  <c r="L26" i="22"/>
  <c r="L18" i="45" s="1"/>
  <c r="M18" i="45" s="1"/>
  <c r="Z58" i="1"/>
  <c r="L85" i="45"/>
  <c r="M85" i="45" s="1"/>
  <c r="L54" i="22"/>
  <c r="J54" i="22" s="1"/>
  <c r="Z85" i="1"/>
  <c r="Z84" i="1" s="1"/>
  <c r="L65" i="22"/>
  <c r="J65" i="22" s="1"/>
  <c r="Z150" i="1"/>
  <c r="Z149" i="1" s="1"/>
  <c r="L91" i="22"/>
  <c r="J91" i="22" s="1"/>
  <c r="Z233" i="1"/>
  <c r="Z232" i="1" s="1"/>
  <c r="L99" i="22"/>
  <c r="L87" i="45" s="1"/>
  <c r="M87" i="45" s="1"/>
  <c r="Z247" i="1"/>
  <c r="L36" i="22"/>
  <c r="J36" i="22" s="1"/>
  <c r="Z95" i="1"/>
  <c r="Z94" i="1" s="1"/>
  <c r="L24" i="22"/>
  <c r="J24" i="22" s="1"/>
  <c r="Z14" i="1"/>
  <c r="Z13" i="1" s="1"/>
  <c r="Z20" i="38"/>
  <c r="G21" i="39"/>
  <c r="L72" i="1"/>
  <c r="I57" i="1"/>
  <c r="I7" i="1" s="1"/>
  <c r="L75" i="1"/>
  <c r="X76" i="1"/>
  <c r="X10" i="1"/>
  <c r="L8" i="1"/>
  <c r="L90" i="1"/>
  <c r="X91" i="1"/>
  <c r="Z91" i="1" s="1"/>
  <c r="Z90" i="1" s="1"/>
  <c r="M21" i="14"/>
  <c r="Y25" i="38"/>
  <c r="G23" i="33" s="1"/>
  <c r="L236" i="1"/>
  <c r="L229" i="1" s="1"/>
  <c r="X237" i="1"/>
  <c r="L144" i="1"/>
  <c r="X145" i="1"/>
  <c r="Z145" i="1" s="1"/>
  <c r="Z144" i="1" s="1"/>
  <c r="L217" i="1"/>
  <c r="X218" i="1"/>
  <c r="G24" i="26"/>
  <c r="T24" i="26" s="1"/>
  <c r="X149" i="1"/>
  <c r="G67" i="17"/>
  <c r="G66" i="17" s="1"/>
  <c r="G110" i="17" s="1"/>
  <c r="G13" i="17"/>
  <c r="G6" i="17" s="1"/>
  <c r="G5" i="17" s="1"/>
  <c r="G28" i="17" s="1"/>
  <c r="L214" i="1"/>
  <c r="X215" i="1"/>
  <c r="I219" i="1"/>
  <c r="I213" i="1" s="1"/>
  <c r="L220" i="1"/>
  <c r="G16" i="26"/>
  <c r="T16" i="26" s="1"/>
  <c r="X84" i="1"/>
  <c r="X13" i="1"/>
  <c r="G9" i="26"/>
  <c r="T9" i="26" s="1"/>
  <c r="M9" i="14"/>
  <c r="G39" i="26"/>
  <c r="Y11" i="38"/>
  <c r="X232" i="1"/>
  <c r="F28" i="39" s="1"/>
  <c r="L42" i="1"/>
  <c r="X43" i="1"/>
  <c r="G18" i="26"/>
  <c r="T18" i="26" s="1"/>
  <c r="X94" i="1"/>
  <c r="I208" i="1"/>
  <c r="L209" i="1"/>
  <c r="L15" i="1"/>
  <c r="X16" i="1"/>
  <c r="L171" i="1"/>
  <c r="X172" i="1"/>
  <c r="Z172" i="1" s="1"/>
  <c r="Z171" i="1" s="1"/>
  <c r="X38" i="1"/>
  <c r="G99" i="17"/>
  <c r="G100" i="17" s="1"/>
  <c r="G62" i="17"/>
  <c r="X26" i="1"/>
  <c r="V15" i="1"/>
  <c r="Z22" i="38"/>
  <c r="H25" i="33" s="1"/>
  <c r="X25" i="33" s="1"/>
  <c r="Z25" i="38" l="1"/>
  <c r="J26" i="22"/>
  <c r="L79" i="45"/>
  <c r="M79" i="45" s="1"/>
  <c r="J99" i="22"/>
  <c r="L54" i="45"/>
  <c r="M54" i="45" s="1"/>
  <c r="L44" i="45"/>
  <c r="M44" i="45" s="1"/>
  <c r="L57" i="45"/>
  <c r="M57" i="45" s="1"/>
  <c r="L96" i="22"/>
  <c r="L83" i="45" s="1"/>
  <c r="M83" i="45" s="1"/>
  <c r="Z237" i="1"/>
  <c r="Z236" i="1" s="1"/>
  <c r="L29" i="22"/>
  <c r="J29" i="22" s="1"/>
  <c r="Z76" i="1"/>
  <c r="Z75" i="1" s="1"/>
  <c r="L32" i="45"/>
  <c r="M32" i="45" s="1"/>
  <c r="L86" i="22"/>
  <c r="J86" i="22" s="1"/>
  <c r="Z218" i="1"/>
  <c r="Z217" i="1" s="1"/>
  <c r="L83" i="22"/>
  <c r="L71" i="45" s="1"/>
  <c r="M71" i="45" s="1"/>
  <c r="Z215" i="1"/>
  <c r="Z214" i="1" s="1"/>
  <c r="L15" i="22"/>
  <c r="J15" i="22" s="1"/>
  <c r="Z43" i="1"/>
  <c r="Z42" i="1" s="1"/>
  <c r="L4" i="45"/>
  <c r="M4" i="45" s="1"/>
  <c r="L7" i="22"/>
  <c r="J7" i="22" s="1"/>
  <c r="Z16" i="1"/>
  <c r="L10" i="22"/>
  <c r="L13" i="45" s="1"/>
  <c r="M13" i="45" s="1"/>
  <c r="Z26" i="1"/>
  <c r="L5" i="22"/>
  <c r="J5" i="22" s="1"/>
  <c r="Z10" i="1"/>
  <c r="Z8" i="1" s="1"/>
  <c r="L32" i="22"/>
  <c r="J32" i="22" s="1"/>
  <c r="G20" i="26"/>
  <c r="T20" i="26" s="1"/>
  <c r="G21" i="33"/>
  <c r="H26" i="33"/>
  <c r="X26" i="33" s="1"/>
  <c r="I21" i="39"/>
  <c r="K21" i="39" s="1"/>
  <c r="G101" i="17"/>
  <c r="G59" i="17"/>
  <c r="G58" i="17" s="1"/>
  <c r="L228" i="1"/>
  <c r="X8" i="1"/>
  <c r="G8" i="26"/>
  <c r="L203" i="1"/>
  <c r="L179" i="1" s="1"/>
  <c r="I179" i="1"/>
  <c r="I148" i="1" s="1"/>
  <c r="I147" i="1" s="1"/>
  <c r="X171" i="1"/>
  <c r="X144" i="1"/>
  <c r="G15" i="26"/>
  <c r="X75" i="1"/>
  <c r="L57" i="1"/>
  <c r="L7" i="1" s="1"/>
  <c r="Z11" i="38"/>
  <c r="Y10" i="38"/>
  <c r="Y34" i="38" s="1"/>
  <c r="X15" i="1"/>
  <c r="G10" i="26"/>
  <c r="T10" i="26" s="1"/>
  <c r="G11" i="26"/>
  <c r="T11" i="26" s="1"/>
  <c r="X42" i="1"/>
  <c r="T39" i="26"/>
  <c r="M12" i="14"/>
  <c r="G40" i="26"/>
  <c r="T40" i="26" s="1"/>
  <c r="Y15" i="38"/>
  <c r="X236" i="1"/>
  <c r="G28" i="39" s="1"/>
  <c r="M5" i="14"/>
  <c r="X90" i="1"/>
  <c r="L219" i="1"/>
  <c r="L213" i="1" s="1"/>
  <c r="X220" i="1"/>
  <c r="AB22" i="38"/>
  <c r="G20" i="39"/>
  <c r="L208" i="1"/>
  <c r="X209" i="1"/>
  <c r="G31" i="26"/>
  <c r="T31" i="26" s="1"/>
  <c r="X214" i="1"/>
  <c r="G32" i="26"/>
  <c r="T32" i="26" s="1"/>
  <c r="X217" i="1"/>
  <c r="X14" i="16" l="1"/>
  <c r="X15" i="16" s="1"/>
  <c r="M38" i="46"/>
  <c r="J96" i="22"/>
  <c r="L51" i="45"/>
  <c r="M51" i="45" s="1"/>
  <c r="L5" i="45"/>
  <c r="M5" i="45" s="1"/>
  <c r="J83" i="22"/>
  <c r="J10" i="22"/>
  <c r="L20" i="45"/>
  <c r="M20" i="45" s="1"/>
  <c r="L88" i="22"/>
  <c r="J88" i="22" s="1"/>
  <c r="Z220" i="1"/>
  <c r="Z219" i="1" s="1"/>
  <c r="Z213" i="1" s="1"/>
  <c r="L73" i="45"/>
  <c r="M73" i="45" s="1"/>
  <c r="L79" i="22"/>
  <c r="J79" i="22" s="1"/>
  <c r="Z209" i="1"/>
  <c r="Z208" i="1" s="1"/>
  <c r="Z15" i="1"/>
  <c r="L2" i="45"/>
  <c r="M2" i="45" s="1"/>
  <c r="L55" i="45"/>
  <c r="M55" i="45" s="1"/>
  <c r="AB20" i="38"/>
  <c r="AC20" i="38" s="1"/>
  <c r="Y26" i="33"/>
  <c r="H19" i="39"/>
  <c r="I19" i="39" s="1"/>
  <c r="K19" i="39" s="1"/>
  <c r="H23" i="33"/>
  <c r="AB25" i="38"/>
  <c r="AC25" i="38" s="1"/>
  <c r="Y25" i="33"/>
  <c r="V35" i="12"/>
  <c r="V36" i="12" s="1"/>
  <c r="AC22" i="38"/>
  <c r="I20" i="39"/>
  <c r="T8" i="26"/>
  <c r="G85" i="30"/>
  <c r="W355" i="23"/>
  <c r="W355" i="48"/>
  <c r="T15" i="26"/>
  <c r="X219" i="1"/>
  <c r="X213" i="1" s="1"/>
  <c r="G33" i="26"/>
  <c r="T33" i="26" s="1"/>
  <c r="G27" i="26"/>
  <c r="T27" i="26" s="1"/>
  <c r="X208" i="1"/>
  <c r="Z10" i="38"/>
  <c r="AC11" i="38"/>
  <c r="F23" i="39"/>
  <c r="F22" i="39" s="1"/>
  <c r="I252" i="1"/>
  <c r="D9" i="46"/>
  <c r="Z15" i="38"/>
  <c r="G25" i="39" s="1"/>
  <c r="Y14" i="38"/>
  <c r="Y35" i="38" s="1"/>
  <c r="L148" i="1"/>
  <c r="L147" i="1" s="1"/>
  <c r="L252" i="1" s="1"/>
  <c r="S72" i="1" l="1"/>
  <c r="V72" i="1" s="1"/>
  <c r="I25" i="39"/>
  <c r="K25" i="39" s="1"/>
  <c r="G22" i="39"/>
  <c r="G17" i="39"/>
  <c r="H21" i="33"/>
  <c r="S21" i="33" s="1"/>
  <c r="X23" i="33"/>
  <c r="X21" i="33" s="1"/>
  <c r="L67" i="45"/>
  <c r="M67" i="45" s="1"/>
  <c r="L70" i="45"/>
  <c r="M70" i="45" s="1"/>
  <c r="Y23" i="33"/>
  <c r="Y21" i="33" s="1"/>
  <c r="F26" i="39"/>
  <c r="F30" i="39" s="1"/>
  <c r="H23" i="39"/>
  <c r="H22" i="39" s="1"/>
  <c r="AE14" i="16"/>
  <c r="AE15" i="16" s="1"/>
  <c r="AB35" i="12"/>
  <c r="AA35" i="12"/>
  <c r="E129" i="24"/>
  <c r="G129" i="24" s="1"/>
  <c r="J129" i="24" s="1"/>
  <c r="H29" i="26"/>
  <c r="U29" i="26" s="1"/>
  <c r="X29" i="26" s="1"/>
  <c r="V4" i="12"/>
  <c r="S203" i="1"/>
  <c r="AA36" i="12"/>
  <c r="AB36" i="12"/>
  <c r="K20" i="39"/>
  <c r="Z14" i="38"/>
  <c r="S57" i="1" l="1"/>
  <c r="G26" i="39"/>
  <c r="G30" i="39" s="1"/>
  <c r="I23" i="39"/>
  <c r="I22" i="39" s="1"/>
  <c r="X72" i="1"/>
  <c r="V57" i="1"/>
  <c r="M129" i="24"/>
  <c r="R152" i="23" s="1"/>
  <c r="S152" i="23" s="1"/>
  <c r="U152" i="23" s="1"/>
  <c r="R136" i="23"/>
  <c r="S179" i="1"/>
  <c r="V203" i="1"/>
  <c r="L64" i="22" l="1"/>
  <c r="J64" i="22" s="1"/>
  <c r="Z72" i="1"/>
  <c r="Z57" i="1" s="1"/>
  <c r="K23" i="39"/>
  <c r="K22" i="39" s="1"/>
  <c r="S136" i="23"/>
  <c r="X57" i="1"/>
  <c r="G13" i="26"/>
  <c r="K130" i="55"/>
  <c r="M130" i="55" s="1"/>
  <c r="K129" i="31"/>
  <c r="L129" i="31" s="1"/>
  <c r="F59" i="25"/>
  <c r="F48" i="30" s="1"/>
  <c r="X203" i="1"/>
  <c r="L76" i="45" l="1"/>
  <c r="M76" i="45" s="1"/>
  <c r="L89" i="22"/>
  <c r="L77" i="45" s="1"/>
  <c r="M77" i="45" s="1"/>
  <c r="Z203" i="1"/>
  <c r="M129" i="31"/>
  <c r="P129" i="31"/>
  <c r="T13" i="26"/>
  <c r="L130" i="1"/>
  <c r="I74" i="1"/>
  <c r="I6" i="1" s="1"/>
  <c r="U136" i="23"/>
  <c r="J89" i="22" l="1"/>
  <c r="I4" i="1"/>
  <c r="C9" i="46"/>
  <c r="X130" i="1"/>
  <c r="L119" i="1"/>
  <c r="L74" i="1" s="1"/>
  <c r="L6" i="1" s="1"/>
  <c r="L4" i="1" s="1"/>
  <c r="K116" i="55"/>
  <c r="K115" i="31"/>
  <c r="F53" i="25"/>
  <c r="L50" i="22" l="1"/>
  <c r="J50" i="22" s="1"/>
  <c r="Z130" i="1"/>
  <c r="Z119" i="1" s="1"/>
  <c r="Z74" i="1" s="1"/>
  <c r="I9" i="46"/>
  <c r="L115" i="31"/>
  <c r="K105" i="31"/>
  <c r="X119" i="1"/>
  <c r="G19" i="26"/>
  <c r="M116" i="55"/>
  <c r="M107" i="55" s="1"/>
  <c r="K107" i="55"/>
  <c r="F42" i="30"/>
  <c r="F39" i="30" s="1"/>
  <c r="F50" i="25"/>
  <c r="L46" i="45" l="1"/>
  <c r="M46" i="45" s="1"/>
  <c r="X74" i="1"/>
  <c r="W125" i="48"/>
  <c r="M115" i="31"/>
  <c r="M105" i="31" s="1"/>
  <c r="P115" i="31"/>
  <c r="L105" i="31"/>
  <c r="T19" i="26"/>
  <c r="H14" i="26"/>
  <c r="U14" i="26" l="1"/>
  <c r="X14" i="26" s="1"/>
  <c r="P105" i="31"/>
  <c r="S347" i="23" l="1"/>
  <c r="S346" i="23" s="1"/>
  <c r="R347" i="23"/>
  <c r="R346" i="23" s="1"/>
  <c r="S344" i="23" l="1"/>
  <c r="S343" i="23" s="1"/>
  <c r="S323" i="23" s="1"/>
  <c r="S301" i="23" s="1"/>
  <c r="S300" i="23" s="1"/>
  <c r="R344" i="23"/>
  <c r="R343" i="23" s="1"/>
  <c r="R323" i="23" s="1"/>
  <c r="R301" i="23" s="1"/>
  <c r="R300" i="23" s="1"/>
  <c r="R8" i="23"/>
  <c r="R3" i="23"/>
  <c r="F153" i="6"/>
  <c r="G263" i="6"/>
  <c r="R242" i="23" l="1"/>
  <c r="R184" i="23" s="1"/>
  <c r="R183" i="23" s="1"/>
  <c r="R362" i="23"/>
  <c r="S242" i="23"/>
  <c r="S184" i="23" s="1"/>
  <c r="S183" i="23" s="1"/>
  <c r="S362" i="23"/>
  <c r="G318" i="6"/>
  <c r="G4" i="6" s="1"/>
  <c r="H263" i="6"/>
  <c r="N4" i="6"/>
  <c r="H153" i="6"/>
  <c r="F210" i="6"/>
  <c r="F4" i="6" s="1"/>
  <c r="R361" i="23" l="1"/>
  <c r="S361" i="23"/>
  <c r="H4" i="6"/>
  <c r="P180" i="1"/>
  <c r="H212" i="6"/>
  <c r="P66" i="3"/>
  <c r="H3" i="6" l="1"/>
  <c r="P37" i="3"/>
  <c r="P75" i="3" s="1"/>
  <c r="P124" i="3" s="1"/>
  <c r="V66" i="3"/>
  <c r="V180" i="1"/>
  <c r="P179" i="1"/>
  <c r="P148" i="1" s="1"/>
  <c r="P147" i="1" s="1"/>
  <c r="V179" i="1" l="1"/>
  <c r="X180" i="1"/>
  <c r="V37" i="3"/>
  <c r="V75" i="3" s="1"/>
  <c r="X66" i="3"/>
  <c r="Z66" i="3" s="1"/>
  <c r="AB66" i="3" s="1"/>
  <c r="P127" i="3"/>
  <c r="P4" i="23"/>
  <c r="L129" i="22" l="1"/>
  <c r="T7" i="31" s="1"/>
  <c r="T10" i="31" s="1"/>
  <c r="T11" i="31" s="1"/>
  <c r="L69" i="22"/>
  <c r="Z180" i="1"/>
  <c r="Z179" i="1" s="1"/>
  <c r="P249" i="1"/>
  <c r="P128" i="3"/>
  <c r="X37" i="3"/>
  <c r="H9" i="33"/>
  <c r="G9" i="33" s="1"/>
  <c r="G10" i="46"/>
  <c r="G11" i="46" s="1"/>
  <c r="V124" i="3"/>
  <c r="X179" i="1"/>
  <c r="G26" i="26"/>
  <c r="T26" i="26" s="1"/>
  <c r="X9" i="33" l="1"/>
  <c r="X10" i="33" s="1"/>
  <c r="G10" i="33"/>
  <c r="G16" i="33" s="1"/>
  <c r="G18" i="33" s="1"/>
  <c r="G31" i="33" s="1"/>
  <c r="M41" i="46"/>
  <c r="D42" i="46" s="1"/>
  <c r="D43" i="46" s="1"/>
  <c r="D40" i="46" s="1"/>
  <c r="Z37" i="3"/>
  <c r="Z75" i="3" s="1"/>
  <c r="Z124" i="3" s="1"/>
  <c r="Z127" i="3" s="1"/>
  <c r="Z128" i="3" s="1"/>
  <c r="L118" i="45"/>
  <c r="M118" i="45" s="1"/>
  <c r="J129" i="22"/>
  <c r="J69" i="22"/>
  <c r="L60" i="45"/>
  <c r="M60" i="45" s="1"/>
  <c r="P253" i="1"/>
  <c r="P254" i="1"/>
  <c r="Y9" i="33"/>
  <c r="Y10" i="33" s="1"/>
  <c r="H10" i="33"/>
  <c r="N52" i="46"/>
  <c r="X75" i="3"/>
  <c r="V128" i="3"/>
  <c r="X128" i="3" s="1"/>
  <c r="P130" i="3"/>
  <c r="P246" i="1"/>
  <c r="P229" i="1" s="1"/>
  <c r="V249" i="1"/>
  <c r="V127" i="3"/>
  <c r="H10" i="46" s="1"/>
  <c r="H11" i="46" s="1"/>
  <c r="S4" i="23"/>
  <c r="S3" i="23" s="1"/>
  <c r="P129" i="3"/>
  <c r="V129" i="3" s="1"/>
  <c r="AB37" i="3" l="1"/>
  <c r="AB75" i="3" s="1"/>
  <c r="AB124" i="3" s="1"/>
  <c r="AB127" i="3" s="1"/>
  <c r="AB128" i="3" s="1"/>
  <c r="X16" i="33"/>
  <c r="AB10" i="33"/>
  <c r="Y16" i="33"/>
  <c r="AC10" i="33"/>
  <c r="C42" i="46"/>
  <c r="E42" i="46" s="1"/>
  <c r="X124" i="3"/>
  <c r="X127" i="3" s="1"/>
  <c r="P228" i="1"/>
  <c r="P252" i="1"/>
  <c r="P4" i="1" s="1"/>
  <c r="N53" i="46"/>
  <c r="D53" i="46" s="1"/>
  <c r="D52" i="46"/>
  <c r="G27" i="33"/>
  <c r="G28" i="33" s="1"/>
  <c r="H35" i="33"/>
  <c r="H16" i="33"/>
  <c r="S10" i="33"/>
  <c r="V246" i="1"/>
  <c r="V229" i="1" s="1"/>
  <c r="V253" i="1"/>
  <c r="X249" i="1"/>
  <c r="H13" i="46"/>
  <c r="W9" i="48"/>
  <c r="H19" i="33"/>
  <c r="G19" i="33" s="1"/>
  <c r="W9" i="23"/>
  <c r="H12" i="46"/>
  <c r="X19" i="33" l="1"/>
  <c r="Z130" i="3"/>
  <c r="Z249" i="1"/>
  <c r="Z246" i="1" s="1"/>
  <c r="Z229" i="1" s="1"/>
  <c r="Z228" i="1" s="1"/>
  <c r="X32" i="33"/>
  <c r="G32" i="33"/>
  <c r="AB27" i="38"/>
  <c r="Y18" i="33"/>
  <c r="AC16" i="33"/>
  <c r="X18" i="33"/>
  <c r="AB16" i="33"/>
  <c r="H32" i="33"/>
  <c r="H18" i="39"/>
  <c r="H17" i="39" s="1"/>
  <c r="J7" i="30"/>
  <c r="Y27" i="38"/>
  <c r="Z27" i="38" s="1"/>
  <c r="AC27" i="38" s="1"/>
  <c r="M23" i="14"/>
  <c r="X246" i="1"/>
  <c r="G41" i="26"/>
  <c r="F3" i="25"/>
  <c r="N55" i="46"/>
  <c r="X129" i="3"/>
  <c r="G31" i="19"/>
  <c r="C43" i="46"/>
  <c r="E43" i="46" s="1"/>
  <c r="H18" i="33"/>
  <c r="H36" i="33"/>
  <c r="S16" i="33"/>
  <c r="X253" i="1"/>
  <c r="V228" i="1"/>
  <c r="E10" i="46" s="1"/>
  <c r="H20" i="33" l="1"/>
  <c r="G20" i="33" s="1"/>
  <c r="Z129" i="3"/>
  <c r="AB129" i="3" s="1"/>
  <c r="Y27" i="33"/>
  <c r="Y31" i="33"/>
  <c r="Y19" i="33"/>
  <c r="AC18" i="33"/>
  <c r="X27" i="33"/>
  <c r="X31" i="33"/>
  <c r="AB18" i="33"/>
  <c r="H28" i="39"/>
  <c r="I28" i="39" s="1"/>
  <c r="X229" i="1"/>
  <c r="K28" i="39" s="1"/>
  <c r="E11" i="46"/>
  <c r="H37" i="33"/>
  <c r="H31" i="33"/>
  <c r="S18" i="33"/>
  <c r="H27" i="33"/>
  <c r="Y24" i="38"/>
  <c r="Y7" i="38" s="1"/>
  <c r="Y6" i="38" s="1"/>
  <c r="N54" i="46"/>
  <c r="D54" i="46" s="1"/>
  <c r="D55" i="46"/>
  <c r="T41" i="26"/>
  <c r="H37" i="26"/>
  <c r="H26" i="39"/>
  <c r="I18" i="39"/>
  <c r="X20" i="33" l="1"/>
  <c r="S20" i="33"/>
  <c r="I17" i="39"/>
  <c r="L18" i="39"/>
  <c r="H30" i="39"/>
  <c r="X28" i="33"/>
  <c r="AB27" i="33"/>
  <c r="Y28" i="33"/>
  <c r="AC27" i="33"/>
  <c r="Z24" i="38"/>
  <c r="Z7" i="38" s="1"/>
  <c r="Z6" i="38" s="1"/>
  <c r="AD27" i="38"/>
  <c r="Z31" i="38"/>
  <c r="Y32" i="38"/>
  <c r="X228" i="1"/>
  <c r="E13" i="46" s="1"/>
  <c r="K18" i="39"/>
  <c r="K17" i="39" s="1"/>
  <c r="U37" i="26"/>
  <c r="X37" i="26" s="1"/>
  <c r="H42" i="26"/>
  <c r="S27" i="33"/>
  <c r="H28" i="33"/>
  <c r="S29" i="33" s="1"/>
  <c r="Y36" i="38"/>
  <c r="L17" i="39" l="1"/>
  <c r="M17" i="39"/>
  <c r="I26" i="39"/>
  <c r="I30" i="39" s="1"/>
  <c r="K26" i="39"/>
  <c r="K30" i="39" s="1"/>
  <c r="Y4" i="38"/>
  <c r="Y31" i="38"/>
  <c r="C40" i="46"/>
  <c r="E12" i="46"/>
  <c r="U43" i="26"/>
  <c r="X43" i="26" s="1"/>
  <c r="E40" i="46" l="1"/>
  <c r="U347" i="23" l="1"/>
  <c r="U346" i="23" s="1"/>
  <c r="U344" i="23" l="1"/>
  <c r="U343" i="23" s="1"/>
  <c r="U323" i="23" s="1"/>
  <c r="V323" i="23" s="1"/>
  <c r="U369" i="23"/>
  <c r="U301" i="23"/>
  <c r="U300" i="23" l="1"/>
  <c r="U362" i="23" s="1"/>
  <c r="U368" i="23"/>
  <c r="U242" i="23"/>
  <c r="V300" i="23" l="1"/>
  <c r="U184" i="23"/>
  <c r="V242" i="23"/>
  <c r="W242" i="23"/>
  <c r="U365" i="23"/>
  <c r="U183" i="23" l="1"/>
  <c r="V184" i="23"/>
  <c r="U361" i="23" l="1"/>
  <c r="V183" i="23"/>
  <c r="F11" i="25" l="1"/>
  <c r="U75" i="23"/>
  <c r="U10" i="23" l="1"/>
  <c r="V75" i="23"/>
  <c r="F8" i="25"/>
  <c r="F6" i="25" s="1"/>
  <c r="F11" i="30"/>
  <c r="F8" i="30" s="1"/>
  <c r="J8" i="30" l="1"/>
  <c r="F6" i="30"/>
  <c r="G5" i="30" s="1"/>
  <c r="G81" i="30" s="1"/>
  <c r="G84" i="30" s="1"/>
  <c r="V10" i="23"/>
  <c r="U8" i="23"/>
  <c r="G3" i="30" l="1"/>
  <c r="G86" i="30"/>
  <c r="P347" i="23"/>
  <c r="P346" i="23" s="1"/>
  <c r="P344" i="23"/>
  <c r="P343" i="23" s="1"/>
  <c r="P323" i="23"/>
  <c r="P301" i="23"/>
  <c r="P242" i="23"/>
  <c r="P184" i="23"/>
  <c r="P177" i="23"/>
  <c r="P127" i="23"/>
  <c r="P75" i="23"/>
  <c r="P10" i="23"/>
  <c r="P8" i="23"/>
  <c r="P3" i="23"/>
  <c r="J368" i="23"/>
  <c r="H369" i="23"/>
  <c r="H365" i="23"/>
  <c r="H367" i="23"/>
  <c r="H368" i="23"/>
  <c r="J366" i="23"/>
  <c r="I367" i="23"/>
  <c r="J367" i="23"/>
  <c r="I365" i="23"/>
  <c r="I369" i="23"/>
  <c r="I366" i="23"/>
  <c r="I368" i="23"/>
  <c r="J369" i="23"/>
  <c r="H366" i="23"/>
  <c r="J365" i="23"/>
  <c r="I323" i="23"/>
  <c r="I301" i="23"/>
  <c r="I242" i="23"/>
  <c r="I184" i="23"/>
  <c r="I177" i="23"/>
  <c r="I127" i="23"/>
  <c r="I75" i="23"/>
  <c r="I10" i="23"/>
  <c r="I8" i="23"/>
  <c r="J362" i="23"/>
  <c r="J360" i="23"/>
  <c r="H361" i="23"/>
  <c r="I183" i="23" l="1"/>
  <c r="I361" i="23" s="1"/>
  <c r="P183" i="23"/>
  <c r="P361" i="23" s="1"/>
  <c r="P300" i="23"/>
  <c r="P362" i="23" s="1"/>
  <c r="I7" i="23"/>
  <c r="I360" i="23" s="1"/>
  <c r="P7" i="23"/>
  <c r="P360" i="23" s="1"/>
  <c r="I300" i="23"/>
  <c r="I362" i="23" s="1"/>
  <c r="H362" i="23"/>
  <c r="J361" i="23"/>
  <c r="H5" i="23" l="1"/>
  <c r="H360" i="23"/>
  <c r="P349" i="23"/>
  <c r="P5" i="23" s="1"/>
  <c r="J5" i="23"/>
  <c r="I349" i="23"/>
  <c r="I5" i="23" l="1"/>
  <c r="I358" i="23"/>
  <c r="S54" i="1"/>
  <c r="V54" i="1" s="1"/>
  <c r="X54" i="1" l="1"/>
  <c r="Z54" i="1" l="1"/>
  <c r="U127" i="23"/>
  <c r="V127" i="23" s="1"/>
  <c r="S8" i="23"/>
  <c r="S10" i="23"/>
  <c r="S75" i="23"/>
  <c r="S127" i="23"/>
  <c r="R10" i="23"/>
  <c r="R75" i="23"/>
  <c r="R127" i="23"/>
  <c r="E130" i="24"/>
  <c r="E134" i="24" s="1"/>
  <c r="S211" i="1"/>
  <c r="S53" i="1"/>
  <c r="S52" i="1" s="1"/>
  <c r="S7" i="1" s="1"/>
  <c r="S6" i="1" s="1"/>
  <c r="G130" i="24" l="1"/>
  <c r="J130" i="24" s="1"/>
  <c r="M130" i="24" s="1"/>
  <c r="R182" i="23" s="1"/>
  <c r="S182" i="23" s="1"/>
  <c r="W127" i="23"/>
  <c r="V211" i="1"/>
  <c r="S210" i="1"/>
  <c r="S148" i="1" s="1"/>
  <c r="S147" i="1" s="1"/>
  <c r="S252" i="1" s="1"/>
  <c r="S4" i="1" s="1"/>
  <c r="R181" i="23"/>
  <c r="V53" i="1"/>
  <c r="V52" i="1" l="1"/>
  <c r="V7" i="1" s="1"/>
  <c r="V6" i="1" s="1"/>
  <c r="X53" i="1"/>
  <c r="S181" i="23"/>
  <c r="R177" i="23"/>
  <c r="R7" i="23" s="1"/>
  <c r="V210" i="1"/>
  <c r="V148" i="1" s="1"/>
  <c r="V147" i="1" s="1"/>
  <c r="X211" i="1"/>
  <c r="V252" i="1" l="1"/>
  <c r="D10" i="46"/>
  <c r="D11" i="46" s="1"/>
  <c r="R360" i="23"/>
  <c r="R349" i="23"/>
  <c r="R5" i="23" s="1"/>
  <c r="Z211" i="1"/>
  <c r="Z210" i="1" s="1"/>
  <c r="Z148" i="1" s="1"/>
  <c r="Z147" i="1" s="1"/>
  <c r="Z252" i="1" s="1"/>
  <c r="L68" i="22"/>
  <c r="X210" i="1"/>
  <c r="X148" i="1" s="1"/>
  <c r="X147" i="1" s="1"/>
  <c r="G28" i="26"/>
  <c r="U182" i="23"/>
  <c r="U181" i="23"/>
  <c r="S177" i="23"/>
  <c r="S7" i="23" s="1"/>
  <c r="Z53" i="1"/>
  <c r="Z52" i="1" s="1"/>
  <c r="Z7" i="1" s="1"/>
  <c r="Z6" i="1" s="1"/>
  <c r="X52" i="1"/>
  <c r="X7" i="1" s="1"/>
  <c r="X6" i="1" s="1"/>
  <c r="L23" i="22"/>
  <c r="G12" i="26"/>
  <c r="C10" i="46"/>
  <c r="V4" i="1"/>
  <c r="C11" i="46" l="1"/>
  <c r="I10" i="46"/>
  <c r="X252" i="1"/>
  <c r="X4" i="1" s="1"/>
  <c r="C39" i="46"/>
  <c r="T12" i="26"/>
  <c r="H7" i="26"/>
  <c r="T28" i="26"/>
  <c r="H23" i="26"/>
  <c r="C38" i="46"/>
  <c r="S349" i="23"/>
  <c r="S5" i="23" s="1"/>
  <c r="S360" i="23"/>
  <c r="J68" i="22"/>
  <c r="L62" i="45"/>
  <c r="M62" i="45" s="1"/>
  <c r="M37" i="46"/>
  <c r="D39" i="46" s="1"/>
  <c r="U177" i="23"/>
  <c r="U7" i="23" s="1"/>
  <c r="K153" i="31"/>
  <c r="F64" i="25"/>
  <c r="F5" i="25" s="1"/>
  <c r="F102" i="25" s="1"/>
  <c r="F105" i="25" s="1"/>
  <c r="K154" i="55"/>
  <c r="D13" i="46"/>
  <c r="D12" i="46"/>
  <c r="L19" i="45"/>
  <c r="M19" i="45" s="1"/>
  <c r="J23" i="22"/>
  <c r="J3" i="22" s="1"/>
  <c r="L3" i="22"/>
  <c r="M36" i="46"/>
  <c r="D38" i="46" s="1"/>
  <c r="K155" i="55"/>
  <c r="M155" i="55" s="1"/>
  <c r="K154" i="31"/>
  <c r="L154" i="31" s="1"/>
  <c r="D44" i="46" l="1"/>
  <c r="U360" i="23"/>
  <c r="U349" i="23"/>
  <c r="H35" i="26"/>
  <c r="U23" i="26"/>
  <c r="X23" i="26" s="1"/>
  <c r="M154" i="31"/>
  <c r="P154" i="31"/>
  <c r="U7" i="26"/>
  <c r="X7" i="26" s="1"/>
  <c r="H46" i="26"/>
  <c r="H21" i="26"/>
  <c r="E39" i="46"/>
  <c r="K150" i="55"/>
  <c r="K5" i="55" s="1"/>
  <c r="K307" i="55" s="1"/>
  <c r="M154" i="55"/>
  <c r="M150" i="55" s="1"/>
  <c r="M5" i="55" s="1"/>
  <c r="F106" i="25"/>
  <c r="F109" i="25"/>
  <c r="F107" i="25"/>
  <c r="E38" i="46"/>
  <c r="C44" i="46"/>
  <c r="K149" i="31"/>
  <c r="K5" i="31" s="1"/>
  <c r="K305" i="31" s="1"/>
  <c r="K315" i="31" s="1"/>
  <c r="K3" i="31" s="1"/>
  <c r="L153" i="31"/>
  <c r="C13" i="46"/>
  <c r="C12" i="46"/>
  <c r="P153" i="31" l="1"/>
  <c r="M153" i="31"/>
  <c r="M149" i="31" s="1"/>
  <c r="M5" i="31" s="1"/>
  <c r="L149" i="31"/>
  <c r="V349" i="23"/>
  <c r="U5" i="23"/>
  <c r="M307" i="55"/>
  <c r="K317" i="55"/>
  <c r="K3" i="55" s="1"/>
  <c r="H43" i="26"/>
  <c r="U44" i="26" s="1"/>
  <c r="U35" i="26"/>
  <c r="X35" i="26" s="1"/>
  <c r="U21" i="26"/>
  <c r="X21" i="26" s="1"/>
  <c r="X44" i="26" l="1"/>
  <c r="U45" i="26"/>
  <c r="U46" i="26"/>
  <c r="P149" i="31"/>
  <c r="L5" i="31"/>
  <c r="H45" i="26"/>
  <c r="P5" i="31" l="1"/>
  <c r="L305" i="31"/>
  <c r="P305" i="31" l="1"/>
  <c r="M305" i="31"/>
  <c r="L315" i="31"/>
  <c r="L3" i="31" s="1"/>
</calcChain>
</file>

<file path=xl/comments1.xml><?xml version="1.0" encoding="utf-8"?>
<comments xmlns="http://schemas.openxmlformats.org/spreadsheetml/2006/main">
  <authors>
    <author>SPwC-X460</author>
  </authors>
  <commentList>
    <comment ref="A1" authorId="0" shapeId="0">
      <text>
        <r>
          <rPr>
            <sz val="9"/>
            <color indexed="81"/>
            <rFont val="돋움"/>
            <family val="3"/>
            <charset val="129"/>
          </rPr>
          <t>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1" authorId="0" shapeId="0">
      <text>
        <r>
          <rPr>
            <sz val="9"/>
            <color indexed="81"/>
            <rFont val="돋움"/>
            <family val="3"/>
            <charset val="129"/>
          </rPr>
          <t>계정과목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C1" authorId="0" shapeId="0">
      <text>
        <r>
          <rPr>
            <sz val="9"/>
            <color indexed="81"/>
            <rFont val="돋움"/>
            <family val="3"/>
            <charset val="129"/>
          </rPr>
          <t>계정과목명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D1" authorId="0" shapeId="0">
      <text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보고부문</t>
        </r>
        <r>
          <rPr>
            <sz val="9"/>
            <color indexed="81"/>
            <rFont val="Tahoma"/>
            <family val="2"/>
          </rPr>
          <t xml:space="preserve"> 
(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E1" authorId="0" shapeId="0">
      <text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보고부문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) 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1" authorId="0" shapeId="0">
      <text>
        <r>
          <rPr>
            <sz val="9"/>
            <color indexed="81"/>
            <rFont val="돋움"/>
            <family val="3"/>
            <charset val="129"/>
          </rPr>
          <t>해당거래의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통화코드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G1" authorId="0" shapeId="0">
      <text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금액
</t>
        </r>
      </text>
    </comment>
    <comment ref="H1" authorId="0" shapeId="0">
      <text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회사의</t>
        </r>
        <r>
          <rPr>
            <sz val="9"/>
            <color indexed="81"/>
            <rFont val="Tahoma"/>
            <family val="2"/>
          </rPr>
          <t xml:space="preserve"> Local Currency </t>
        </r>
        <r>
          <rPr>
            <sz val="9"/>
            <color indexed="81"/>
            <rFont val="돋움"/>
            <family val="3"/>
            <charset val="129"/>
          </rPr>
          <t xml:space="preserve">코드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회사의</t>
        </r>
        <r>
          <rPr>
            <sz val="9"/>
            <color indexed="81"/>
            <rFont val="Tahoma"/>
            <family val="2"/>
          </rPr>
          <t xml:space="preserve"> Local Currency </t>
        </r>
        <r>
          <rPr>
            <sz val="9"/>
            <color indexed="81"/>
            <rFont val="돋움"/>
            <family val="3"/>
            <charset val="129"/>
          </rPr>
          <t>금액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1" authorId="0" shapeId="0">
      <text>
        <r>
          <rPr>
            <sz val="9"/>
            <color indexed="81"/>
            <rFont val="돋움"/>
            <family val="3"/>
            <charset val="129"/>
          </rPr>
          <t>IFRS 조정 내역일 경우 X 표시</t>
        </r>
      </text>
    </comment>
  </commentList>
</comments>
</file>

<file path=xl/comments2.xml><?xml version="1.0" encoding="utf-8"?>
<comments xmlns="http://schemas.openxmlformats.org/spreadsheetml/2006/main">
  <authors>
    <author>tc={BD9DC888-E6CD-4D9D-8F75-6E24219408A0}</author>
    <author>tc={63BA142C-A847-4F51-843F-E88F074944CA}</author>
  </authors>
  <commentList>
    <comment ref="V17" authorId="0" shapeId="0">
      <text>
        <r>
          <rPr>
            <sz val="11"/>
            <color theme="1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전기말환율로 FIX: 20년말 전액손상으로 환산평가하지 않음</t>
        </r>
      </text>
    </comment>
    <comment ref="W17" authorId="1" shapeId="0">
      <text>
        <r>
          <rPr>
            <sz val="11"/>
            <color theme="1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전기말환율로 FIX: 20년말 전액손상으로 환산평가하지 않음</t>
        </r>
      </text>
    </comment>
  </commentList>
</comments>
</file>

<file path=xl/sharedStrings.xml><?xml version="1.0" encoding="utf-8"?>
<sst xmlns="http://schemas.openxmlformats.org/spreadsheetml/2006/main" count="12539" uniqueCount="2911">
  <si>
    <t>자산</t>
  </si>
  <si>
    <t>현금및현금성자산</t>
  </si>
  <si>
    <t>재고자산</t>
  </si>
  <si>
    <t>당기법인세자산</t>
  </si>
  <si>
    <t>기타유동자산</t>
  </si>
  <si>
    <t>유형자산</t>
  </si>
  <si>
    <t>무형자산</t>
  </si>
  <si>
    <t>기타비유동자산</t>
  </si>
  <si>
    <t>부채</t>
  </si>
  <si>
    <t>유동부채</t>
  </si>
  <si>
    <t>자본금</t>
  </si>
  <si>
    <t>지배주주지분</t>
  </si>
  <si>
    <t>자본잉여금</t>
  </si>
  <si>
    <t>이익잉여금</t>
  </si>
  <si>
    <t>자본총계</t>
  </si>
  <si>
    <t>드림어스컴퍼니</t>
  </si>
  <si>
    <t>CODE_ERP</t>
  </si>
  <si>
    <t>FSC</t>
  </si>
  <si>
    <t>TB Upload</t>
  </si>
  <si>
    <t>계정과목</t>
  </si>
  <si>
    <t>I.유동자산</t>
  </si>
  <si>
    <t>보통예금(원화)</t>
  </si>
  <si>
    <t>보통예금(외화)</t>
  </si>
  <si>
    <t>매출채권및기타채권</t>
  </si>
  <si>
    <t>외상매출금(원화)</t>
  </si>
  <si>
    <t>대손충당금(외상매출금_원화)</t>
  </si>
  <si>
    <t>외상매출금(외화)</t>
  </si>
  <si>
    <t>대손충당금(외상매출금_외화)</t>
  </si>
  <si>
    <t>외상매출금(원화_추정_음원유통)</t>
  </si>
  <si>
    <t>외상매출금(원화_추정_FLO)</t>
  </si>
  <si>
    <t>외상매출금(원화_추정_일반)</t>
  </si>
  <si>
    <t>단기대여금(원화)</t>
  </si>
  <si>
    <t>미수금(원화_일반)</t>
  </si>
  <si>
    <t>미수금(외화_일반)</t>
  </si>
  <si>
    <t>미수금(원화_공연투자자산)</t>
  </si>
  <si>
    <t>미수금(외화_공연투자자산)</t>
  </si>
  <si>
    <t>미수수익</t>
  </si>
  <si>
    <t>임차보증금(유동)</t>
  </si>
  <si>
    <t>단기투자자산</t>
  </si>
  <si>
    <t>기타단기금융상품</t>
  </si>
  <si>
    <t>당기손익-공정가치측정금융자산(유동)</t>
  </si>
  <si>
    <t>기타포괄손익-공정가치측정금융자산(유동)</t>
  </si>
  <si>
    <t>상각후원가금융자산(유동)</t>
  </si>
  <si>
    <t>상품</t>
  </si>
  <si>
    <t>상품평가손실충당금</t>
  </si>
  <si>
    <t>제품</t>
  </si>
  <si>
    <t>제품평가손실충당금</t>
  </si>
  <si>
    <t>재공품</t>
  </si>
  <si>
    <t>재공품평가손실충당금</t>
  </si>
  <si>
    <t>원재료</t>
  </si>
  <si>
    <t>원재료평가손실충당금</t>
  </si>
  <si>
    <t>미착품</t>
  </si>
  <si>
    <t>선급법인세</t>
  </si>
  <si>
    <t>선급법인지방소득세</t>
  </si>
  <si>
    <t>미수법인세</t>
  </si>
  <si>
    <t>미수법인지방소득세</t>
  </si>
  <si>
    <t>선급비용(일반)</t>
  </si>
  <si>
    <t>선급비용(기타)</t>
  </si>
  <si>
    <t>선급비용(MG)</t>
  </si>
  <si>
    <t>기타유동자산(환불)</t>
  </si>
  <si>
    <t>선급금(원화_일반)</t>
  </si>
  <si>
    <t>선급금(원화_로열티)</t>
  </si>
  <si>
    <t>선급금(외화_로열티)</t>
  </si>
  <si>
    <t>선급금(외화_일반)</t>
  </si>
  <si>
    <t>선급금(원화_금형)</t>
  </si>
  <si>
    <t>선급금(원화_산업재산권)</t>
  </si>
  <si>
    <t>선급금(원화_출장)</t>
  </si>
  <si>
    <t>부가세대급금(일반)</t>
  </si>
  <si>
    <t>113350</t>
  </si>
  <si>
    <t>미수부가세</t>
  </si>
  <si>
    <t>II.비유동자산</t>
  </si>
  <si>
    <t>매출채권및기타채권(비유동)</t>
  </si>
  <si>
    <t>보증금(비유동_기타)</t>
  </si>
  <si>
    <t>전신전화가입권</t>
  </si>
  <si>
    <t>임차보증금(비유동)현재가치할인차금</t>
  </si>
  <si>
    <t>임차보증금(비유동)</t>
  </si>
  <si>
    <t>장기투자자산</t>
  </si>
  <si>
    <t>당기손익-공정가치측정금융자산(비유동)</t>
  </si>
  <si>
    <t>기타장기금융상품(비유동)</t>
  </si>
  <si>
    <t>기타포괄손익-공정가치측정금융자산(비유동)</t>
  </si>
  <si>
    <t>종속기업및관계기업투자</t>
  </si>
  <si>
    <t>종속기업투자주식</t>
  </si>
  <si>
    <t>900023</t>
  </si>
  <si>
    <t>관계기업투자주식</t>
  </si>
  <si>
    <t>기계장치</t>
  </si>
  <si>
    <t>기계장치감가상각누계액</t>
  </si>
  <si>
    <t>차량운반구</t>
  </si>
  <si>
    <t>차량운반구감가상각누계액</t>
  </si>
  <si>
    <t>차량운반구평가손실누계액</t>
  </si>
  <si>
    <t>공구와기구</t>
  </si>
  <si>
    <t>공구와기구감가상각누계액</t>
  </si>
  <si>
    <t>공구와기구평가손실누계액</t>
  </si>
  <si>
    <t>금형</t>
  </si>
  <si>
    <t>금형감가상각누계액</t>
  </si>
  <si>
    <t>금형평가손실누계액</t>
  </si>
  <si>
    <t>비품</t>
  </si>
  <si>
    <t>비품감가상각누계액</t>
  </si>
  <si>
    <t>비품평가손실누계액</t>
  </si>
  <si>
    <t>기타의유형자산</t>
  </si>
  <si>
    <t>기타의유형자산감가상각누계액</t>
  </si>
  <si>
    <t>기타의유형자산평가손실누계액</t>
  </si>
  <si>
    <t>사용권자산(건물)</t>
  </si>
  <si>
    <t>사용권자산(건물)감가상각누계액</t>
  </si>
  <si>
    <t>사용권자산(차량운반구)</t>
  </si>
  <si>
    <t>사용권자산(차량운반구)감가상각누계액</t>
  </si>
  <si>
    <t>125610</t>
  </si>
  <si>
    <t>의장권</t>
  </si>
  <si>
    <t>112620</t>
  </si>
  <si>
    <t>의장권감가상각누계액</t>
  </si>
  <si>
    <t>125700</t>
  </si>
  <si>
    <t>개발비</t>
  </si>
  <si>
    <t>125710</t>
  </si>
  <si>
    <t>개발비감가상각누계액</t>
  </si>
  <si>
    <t>125720</t>
  </si>
  <si>
    <t>개발비평가손실누계액</t>
  </si>
  <si>
    <t>특허권</t>
  </si>
  <si>
    <t>상표권</t>
  </si>
  <si>
    <t>125800</t>
  </si>
  <si>
    <t>실용신안권</t>
  </si>
  <si>
    <t>125310</t>
  </si>
  <si>
    <t>특허권감가상각누계액</t>
  </si>
  <si>
    <t>125810</t>
  </si>
  <si>
    <t>실용신안권감가상각누계액</t>
  </si>
  <si>
    <t>소프트웨어</t>
  </si>
  <si>
    <t>125920</t>
  </si>
  <si>
    <t>소프트웨어평가손실누계액</t>
  </si>
  <si>
    <t>125910</t>
  </si>
  <si>
    <t>소프트웨어감가상각누계액</t>
  </si>
  <si>
    <t>125650</t>
  </si>
  <si>
    <t>영업권</t>
  </si>
  <si>
    <t>125660</t>
  </si>
  <si>
    <t>영업권평가손실누계액</t>
  </si>
  <si>
    <t>음원음반유통권</t>
  </si>
  <si>
    <t>음원음반유통권감가상각누계액</t>
  </si>
  <si>
    <t>음악저작인접재산권</t>
  </si>
  <si>
    <t>음악저작인접재산권상각누계액</t>
  </si>
  <si>
    <t>장기선급비용</t>
  </si>
  <si>
    <t>매입채무및기타채무</t>
  </si>
  <si>
    <t>외상매입금(원화)</t>
  </si>
  <si>
    <t>외상매입금(외화)</t>
  </si>
  <si>
    <t>외상매입금(원화_추정_음원유통)</t>
  </si>
  <si>
    <t>외상매입금(원화_추정_FLO)</t>
  </si>
  <si>
    <t>외상매입금(원화_추정_고음질)</t>
  </si>
  <si>
    <t>외상매입금(원화_추정_일반)</t>
  </si>
  <si>
    <t>미지급금(원화)</t>
  </si>
  <si>
    <t>미지급금(외화)</t>
  </si>
  <si>
    <t>미지급금(공용법인카드)</t>
  </si>
  <si>
    <t>미지급금(개인법인카드)</t>
  </si>
  <si>
    <t>미지급금(수입부대비용)</t>
  </si>
  <si>
    <t>미지급금(원화_추정)</t>
  </si>
  <si>
    <t>미지급비용(원화)</t>
  </si>
  <si>
    <t>미지급비용(외화)</t>
  </si>
  <si>
    <t>미지급비용(원화_로열티)</t>
  </si>
  <si>
    <t>미지급비용(외화_로열티)</t>
  </si>
  <si>
    <t>미지급비용(연차휴가)</t>
  </si>
  <si>
    <t>임대보증금(유동)</t>
  </si>
  <si>
    <t>유동금융부채</t>
  </si>
  <si>
    <t>단기차입금(원화)</t>
  </si>
  <si>
    <t>전환사채(유동)</t>
  </si>
  <si>
    <t>전환사채상환할증금(유동)</t>
  </si>
  <si>
    <t>사채할인발행차금(유동)</t>
  </si>
  <si>
    <t>전환권조정(유동)</t>
  </si>
  <si>
    <t>기타유동부채</t>
  </si>
  <si>
    <t>선수금(원화)</t>
  </si>
  <si>
    <t>선수금(외화)</t>
  </si>
  <si>
    <t>선수금(컨텐츠)</t>
  </si>
  <si>
    <t>선수금(CMD)</t>
  </si>
  <si>
    <t>선수금(원화_가수금)</t>
  </si>
  <si>
    <t>선수수익(일반)</t>
  </si>
  <si>
    <t>선수수익(컨텐츠)</t>
  </si>
  <si>
    <t>선수수익(FLO)</t>
  </si>
  <si>
    <t>예수금(소득세)</t>
  </si>
  <si>
    <t>예수금(주민세)</t>
  </si>
  <si>
    <t>예수금(건강보험)</t>
  </si>
  <si>
    <t>예수금(국민연금)</t>
  </si>
  <si>
    <t>예수금(고용보험)</t>
  </si>
  <si>
    <t>예수금(기타)</t>
  </si>
  <si>
    <t>예수금(음반총액부가세)</t>
  </si>
  <si>
    <t>예수금(음반금융부채)</t>
  </si>
  <si>
    <t>부가세예수금</t>
  </si>
  <si>
    <t>판매보증충당부채(유동)</t>
  </si>
  <si>
    <t>계약부채</t>
  </si>
  <si>
    <t>리스부채(유동)</t>
  </si>
  <si>
    <t>II.비유동부채</t>
  </si>
  <si>
    <t>순확정급여부채</t>
  </si>
  <si>
    <t>퇴직급여충당금</t>
  </si>
  <si>
    <t>퇴직연금운용자산</t>
  </si>
  <si>
    <t>기타부채</t>
  </si>
  <si>
    <t>복구충당부채(비유동)</t>
  </si>
  <si>
    <t>리스부채(비유동)</t>
  </si>
  <si>
    <t>보통주자본금</t>
  </si>
  <si>
    <t>주식발행초과금</t>
  </si>
  <si>
    <t>전환권대가</t>
  </si>
  <si>
    <t>기타자본잉여금</t>
  </si>
  <si>
    <t>기타자본항목</t>
  </si>
  <si>
    <t>자기주식</t>
  </si>
  <si>
    <t>자기주식처분손실</t>
  </si>
  <si>
    <t>주식매수선택권</t>
  </si>
  <si>
    <t>기타자본조정</t>
  </si>
  <si>
    <t>연결1</t>
  </si>
  <si>
    <t>지분법 자본변동</t>
  </si>
  <si>
    <t>연결2</t>
  </si>
  <si>
    <t>부의 지분법 자본변동</t>
  </si>
  <si>
    <t>연결3</t>
  </si>
  <si>
    <t>해외사업환산(차)대</t>
  </si>
  <si>
    <t>보험수리적이익</t>
  </si>
  <si>
    <t>input_1</t>
  </si>
  <si>
    <t>전기이월이익잉여금</t>
  </si>
  <si>
    <t>input_2</t>
  </si>
  <si>
    <t>당기순이익</t>
  </si>
  <si>
    <t>비지배주주지분</t>
  </si>
  <si>
    <t>input_3</t>
  </si>
  <si>
    <t>부채와자본총계</t>
  </si>
  <si>
    <t>Iriver Inc</t>
  </si>
  <si>
    <t>Groovers Japan Co., Ltd.</t>
  </si>
  <si>
    <t>S.M. Life Design Company Japan Inc.</t>
  </si>
  <si>
    <t>그루버스</t>
  </si>
  <si>
    <t>Iriver Enterprise Ltd(연결)</t>
  </si>
  <si>
    <t>미지급법인세</t>
  </si>
  <si>
    <t>BS신설1</t>
  </si>
  <si>
    <t>BS신설2</t>
  </si>
  <si>
    <t>BS신설3</t>
  </si>
  <si>
    <t>BS신설4</t>
  </si>
  <si>
    <t>BS신설5</t>
  </si>
  <si>
    <t>BS신설6</t>
  </si>
  <si>
    <t>주식할인발행차금</t>
  </si>
  <si>
    <t>연결4</t>
  </si>
  <si>
    <t>단순합</t>
  </si>
  <si>
    <t>매출액</t>
  </si>
  <si>
    <t>상품매출</t>
  </si>
  <si>
    <t>제품매출</t>
  </si>
  <si>
    <t>음원유통판매매출</t>
  </si>
  <si>
    <t>음반유통수수료매출</t>
  </si>
  <si>
    <t>음원서비스매출</t>
  </si>
  <si>
    <t>고음질음원다운로드매출</t>
  </si>
  <si>
    <t>공연기획매출</t>
  </si>
  <si>
    <t>공연투자매출</t>
  </si>
  <si>
    <t>기타매출</t>
  </si>
  <si>
    <t>매출원가</t>
  </si>
  <si>
    <t>420090</t>
  </si>
  <si>
    <t>상품매출원가</t>
  </si>
  <si>
    <t>420199</t>
  </si>
  <si>
    <t>제품매출원가</t>
  </si>
  <si>
    <t>420503</t>
  </si>
  <si>
    <t>음원유통매출원가</t>
  </si>
  <si>
    <t>420502</t>
  </si>
  <si>
    <t>음반유통수수료매출원가</t>
  </si>
  <si>
    <t>420700</t>
  </si>
  <si>
    <t>음원서비스매출원가</t>
  </si>
  <si>
    <t>420800</t>
  </si>
  <si>
    <t>고음질음원다운로드매출원가</t>
  </si>
  <si>
    <t>420900</t>
  </si>
  <si>
    <t>공연기획매출원가</t>
  </si>
  <si>
    <t>421000</t>
  </si>
  <si>
    <t>공연투자매출원가</t>
  </si>
  <si>
    <t>420500</t>
  </si>
  <si>
    <t>기타매출원가</t>
  </si>
  <si>
    <t>매출총이익</t>
  </si>
  <si>
    <t>판매비와관리비</t>
  </si>
  <si>
    <t>621000</t>
  </si>
  <si>
    <t>급여</t>
  </si>
  <si>
    <t>622000</t>
  </si>
  <si>
    <t>퇴직급여</t>
  </si>
  <si>
    <t>623000</t>
  </si>
  <si>
    <t>복리후생비</t>
  </si>
  <si>
    <t>624000</t>
  </si>
  <si>
    <t>여비교통비</t>
  </si>
  <si>
    <t>625000</t>
  </si>
  <si>
    <t>접대비</t>
  </si>
  <si>
    <t>626000</t>
  </si>
  <si>
    <t>통신비</t>
  </si>
  <si>
    <t>627000</t>
  </si>
  <si>
    <t>수도광열비</t>
  </si>
  <si>
    <t>628000</t>
  </si>
  <si>
    <t>세금과공과</t>
  </si>
  <si>
    <t>630000</t>
  </si>
  <si>
    <t>임차료</t>
  </si>
  <si>
    <t>631000</t>
  </si>
  <si>
    <t>수선비</t>
  </si>
  <si>
    <t>632000</t>
  </si>
  <si>
    <t>보험료</t>
  </si>
  <si>
    <t>633000</t>
  </si>
  <si>
    <t>차량유지비</t>
  </si>
  <si>
    <t>634000</t>
  </si>
  <si>
    <t>경상개발비</t>
  </si>
  <si>
    <t>635000</t>
  </si>
  <si>
    <t>운반비</t>
  </si>
  <si>
    <t>636000</t>
  </si>
  <si>
    <t>포장비</t>
  </si>
  <si>
    <t>637000</t>
  </si>
  <si>
    <t>교육훈련비</t>
  </si>
  <si>
    <t>638000</t>
  </si>
  <si>
    <t>도서인쇄비</t>
  </si>
  <si>
    <t>639000</t>
  </si>
  <si>
    <t>소모품비</t>
  </si>
  <si>
    <t>640000</t>
  </si>
  <si>
    <t>지급수수료</t>
  </si>
  <si>
    <t>641000</t>
  </si>
  <si>
    <t>광고선전비</t>
  </si>
  <si>
    <t>642000</t>
  </si>
  <si>
    <t>해외시장개척비</t>
  </si>
  <si>
    <t>643000</t>
  </si>
  <si>
    <t>대손상각비</t>
  </si>
  <si>
    <t>644000</t>
  </si>
  <si>
    <t>수출제비용</t>
  </si>
  <si>
    <t>646000</t>
  </si>
  <si>
    <t>견본비</t>
  </si>
  <si>
    <t>647000</t>
  </si>
  <si>
    <t>제품보증수리비용</t>
  </si>
  <si>
    <t>649000</t>
  </si>
  <si>
    <t>복구충당부채전입액</t>
  </si>
  <si>
    <t>648000</t>
  </si>
  <si>
    <t>잡비</t>
  </si>
  <si>
    <t>영업이익</t>
  </si>
  <si>
    <t>금융수익</t>
  </si>
  <si>
    <t>711111</t>
  </si>
  <si>
    <t>이자수익(예금이자)</t>
  </si>
  <si>
    <t>711191</t>
  </si>
  <si>
    <t>이자수익(기타)</t>
  </si>
  <si>
    <t>711901</t>
  </si>
  <si>
    <t>외환차익(공정가치측정금융상품)</t>
  </si>
  <si>
    <t>711902</t>
  </si>
  <si>
    <t>외환차익(상각후원가측정자산)</t>
  </si>
  <si>
    <t>711903</t>
  </si>
  <si>
    <t>외환차익(상각후원가측정부채)</t>
  </si>
  <si>
    <t>712102</t>
  </si>
  <si>
    <t>외화환산이익(상각후원가측정자산)</t>
  </si>
  <si>
    <t>712103</t>
  </si>
  <si>
    <t>외화환산이익(상각후원가측정부채)</t>
  </si>
  <si>
    <t>713580</t>
  </si>
  <si>
    <t>당기손익공정가치측정금융자산평가이익</t>
  </si>
  <si>
    <t>713900</t>
  </si>
  <si>
    <t>당기손익공정가치측정금융자산처분이익</t>
  </si>
  <si>
    <t>금융비용</t>
  </si>
  <si>
    <t>731100</t>
  </si>
  <si>
    <t>이자비용(사채)</t>
  </si>
  <si>
    <t>731200</t>
  </si>
  <si>
    <t>이자비용(차입금)</t>
  </si>
  <si>
    <t>731400</t>
  </si>
  <si>
    <t>이자비용(리스부채)</t>
  </si>
  <si>
    <t>731702</t>
  </si>
  <si>
    <t>외환차손(상각후원가측정자산)</t>
  </si>
  <si>
    <t>731703</t>
  </si>
  <si>
    <t>외환차손(상각후원가측정부채)</t>
  </si>
  <si>
    <t>731701</t>
  </si>
  <si>
    <t>외환차손(공정가치측정금융상품)</t>
  </si>
  <si>
    <t>731902</t>
  </si>
  <si>
    <t>외화환산손실(상각후원가측정자산)</t>
  </si>
  <si>
    <t>731903</t>
  </si>
  <si>
    <t>외화환산손실(상각후원가측정부채)</t>
  </si>
  <si>
    <t>IS신설1</t>
  </si>
  <si>
    <t>당기손익공정가치측정금융자산평가손실</t>
  </si>
  <si>
    <t>IS신설2</t>
  </si>
  <si>
    <t>당기손익공정가치측정금융자산처분손실</t>
  </si>
  <si>
    <t>기타영업외수익</t>
  </si>
  <si>
    <t>712700</t>
  </si>
  <si>
    <t xml:space="preserve"> 유형자산처분이익</t>
  </si>
  <si>
    <t>712800</t>
  </si>
  <si>
    <t xml:space="preserve"> 무형자산처분이익</t>
  </si>
  <si>
    <t>713499</t>
  </si>
  <si>
    <t xml:space="preserve"> 잡이익</t>
  </si>
  <si>
    <t>기타영업외비용</t>
  </si>
  <si>
    <t>732800</t>
  </si>
  <si>
    <t xml:space="preserve"> 무형자산평가손실</t>
  </si>
  <si>
    <t>732900</t>
  </si>
  <si>
    <t xml:space="preserve"> 유형자산처분손실</t>
  </si>
  <si>
    <t>733280</t>
  </si>
  <si>
    <t xml:space="preserve"> 소송충당부채전입액</t>
  </si>
  <si>
    <t>733300</t>
  </si>
  <si>
    <t xml:space="preserve"> 잡손실</t>
  </si>
  <si>
    <t>관계기업투자</t>
  </si>
  <si>
    <t>연결IS_1</t>
  </si>
  <si>
    <t>지분법이익(손실)</t>
  </si>
  <si>
    <t>연결IS_2</t>
  </si>
  <si>
    <t>관계기업투자주식처분이익(손실)</t>
  </si>
  <si>
    <t>연결IS_3</t>
  </si>
  <si>
    <t>지분법적용투자주식손상차손</t>
  </si>
  <si>
    <t>종속기업투자주식손상차손</t>
  </si>
  <si>
    <t>732360</t>
  </si>
  <si>
    <t>법인세비용차감전순손익</t>
  </si>
  <si>
    <t>법인세비용</t>
  </si>
  <si>
    <t>5110000</t>
  </si>
  <si>
    <t>당기순이익(손실)</t>
  </si>
  <si>
    <t>연결IS_4</t>
  </si>
  <si>
    <t>연결IS_5</t>
  </si>
  <si>
    <t>유형자산상각비</t>
  </si>
  <si>
    <t>무형자산상각비</t>
  </si>
  <si>
    <t>이자비용(기타)</t>
  </si>
  <si>
    <t>IS신설3</t>
  </si>
  <si>
    <t>629000</t>
  </si>
  <si>
    <t>645000</t>
  </si>
  <si>
    <t>1.0. 기초조정</t>
  </si>
  <si>
    <t>CS합병시 주식할인차금 제거 (2015년)</t>
  </si>
  <si>
    <t>CODE</t>
  </si>
  <si>
    <t>2018 4Q</t>
  </si>
  <si>
    <t>2019 1Q</t>
  </si>
  <si>
    <t>2019 2Q</t>
  </si>
  <si>
    <t>2019 4Q</t>
  </si>
  <si>
    <t>합병차익취소</t>
  </si>
  <si>
    <t>ICS 합병시 처리</t>
  </si>
  <si>
    <t>MPMAN 합병시 처리</t>
  </si>
  <si>
    <t>이월이익잉여금</t>
  </si>
  <si>
    <t>2.0. Scope</t>
  </si>
  <si>
    <t xml:space="preserve">3.0. 내부거래 </t>
  </si>
  <si>
    <t>DR</t>
  </si>
  <si>
    <t>CR</t>
  </si>
  <si>
    <t>NET</t>
  </si>
  <si>
    <t>채권채무상계</t>
  </si>
  <si>
    <t>수익비용상계</t>
  </si>
  <si>
    <t>4.0. 미실현손익</t>
  </si>
  <si>
    <t>5.0. 공정가치차액</t>
  </si>
  <si>
    <t>AK-100,120,240,380</t>
  </si>
  <si>
    <t>결산일 현재 재고 금액</t>
  </si>
  <si>
    <t>아이리버 &gt; iriver inc 하향판매</t>
  </si>
  <si>
    <t>구분</t>
  </si>
  <si>
    <t>매출총이익률</t>
  </si>
  <si>
    <t>미실현손익</t>
  </si>
  <si>
    <t>아이리버 &gt; ent. 하향판매</t>
  </si>
  <si>
    <t>groovers JP</t>
  </si>
  <si>
    <t>제품(AK-100)</t>
  </si>
  <si>
    <t>제품(기타)</t>
  </si>
  <si>
    <t>당기순이익_I/S</t>
  </si>
  <si>
    <t>관계사 채권에 대한 대손충당금</t>
  </si>
  <si>
    <t>Enterprise</t>
  </si>
  <si>
    <t>Iriver Inc.</t>
  </si>
  <si>
    <t>Groovers JP</t>
  </si>
  <si>
    <t>대손충당금</t>
  </si>
  <si>
    <t>합계</t>
  </si>
  <si>
    <t>SMLDC</t>
  </si>
  <si>
    <t>독접적 판매권 공정가치차액 상각</t>
  </si>
  <si>
    <t>금액(in JPY)</t>
  </si>
  <si>
    <t>내용연수(월)</t>
  </si>
  <si>
    <t xml:space="preserve">2017 Q4 </t>
  </si>
  <si>
    <t xml:space="preserve">2018 Q1 </t>
  </si>
  <si>
    <t xml:space="preserve">2018 Q2 </t>
  </si>
  <si>
    <t xml:space="preserve">2018 Q3 </t>
  </si>
  <si>
    <t xml:space="preserve">2018 Q4 </t>
  </si>
  <si>
    <t xml:space="preserve">2019 Q1 </t>
  </si>
  <si>
    <t xml:space="preserve">2019 Q2 </t>
  </si>
  <si>
    <t xml:space="preserve">2019 Q3 </t>
  </si>
  <si>
    <t xml:space="preserve">2019 Q4 </t>
  </si>
  <si>
    <t xml:space="preserve">2020 Q1 </t>
  </si>
  <si>
    <t xml:space="preserve">2020 Q2 </t>
  </si>
  <si>
    <t xml:space="preserve">2020 Q3 </t>
  </si>
  <si>
    <t xml:space="preserve">2020 Q4 </t>
  </si>
  <si>
    <t xml:space="preserve">2021 Q1 </t>
  </si>
  <si>
    <t xml:space="preserve">2021 Q2 </t>
  </si>
  <si>
    <t xml:space="preserve">2021 Q3 </t>
  </si>
  <si>
    <t xml:space="preserve">2021 Q4 </t>
  </si>
  <si>
    <t>무형자산-기타의무형자산</t>
  </si>
  <si>
    <t>판매비와관리비-무형자산상각비</t>
  </si>
  <si>
    <t>법인세비용-법인세비용</t>
  </si>
  <si>
    <t>이연법인세부채-유동이연법인세부채</t>
  </si>
  <si>
    <t>IN JPY</t>
  </si>
  <si>
    <t>IN KRW</t>
  </si>
  <si>
    <t>기말환율</t>
  </si>
  <si>
    <t>평균환율</t>
  </si>
  <si>
    <t>공정가조정</t>
  </si>
  <si>
    <t>투자Code</t>
  </si>
  <si>
    <t>영업권 발생Center</t>
  </si>
  <si>
    <t>기초</t>
  </si>
  <si>
    <t>범위변동</t>
  </si>
  <si>
    <t>손상인식</t>
  </si>
  <si>
    <t>연결조정</t>
  </si>
  <si>
    <t>기타조정</t>
  </si>
  <si>
    <t>증감</t>
  </si>
  <si>
    <t>최초발생</t>
  </si>
  <si>
    <t>아이리버CS</t>
  </si>
  <si>
    <t>손상차손인식</t>
  </si>
  <si>
    <t>신규취득</t>
  </si>
  <si>
    <t>SMMCJP</t>
  </si>
  <si>
    <t>CURRENCY</t>
  </si>
  <si>
    <t>JPY</t>
  </si>
  <si>
    <t>KRW</t>
  </si>
  <si>
    <t>In local currency</t>
  </si>
  <si>
    <t>In KRW</t>
  </si>
  <si>
    <t>환산</t>
  </si>
  <si>
    <t>비고</t>
  </si>
  <si>
    <t>N/A</t>
  </si>
  <si>
    <t>SMMC(드림어스별도)</t>
  </si>
  <si>
    <t>손상&amp;환산</t>
  </si>
  <si>
    <t>무형자산처분손실</t>
  </si>
  <si>
    <t>IS신설4</t>
  </si>
  <si>
    <t>대사</t>
  </si>
  <si>
    <t>이연법인세부채(비유동)</t>
  </si>
  <si>
    <t>무형자산평가손실(손상차손)</t>
  </si>
  <si>
    <t>연결5</t>
  </si>
  <si>
    <t>6.0. 기타조정</t>
  </si>
  <si>
    <t>감가상각비</t>
  </si>
  <si>
    <t>연결조정합계</t>
  </si>
  <si>
    <t>7.0. 지분법</t>
  </si>
  <si>
    <t>8.0. 투자자본상계</t>
  </si>
  <si>
    <t>NCE</t>
  </si>
  <si>
    <t>AS-IS</t>
  </si>
  <si>
    <t>TO-BE</t>
  </si>
  <si>
    <t>ADJ.</t>
  </si>
  <si>
    <t>기본추정값</t>
  </si>
  <si>
    <t>조정액</t>
  </si>
  <si>
    <t>연결BS</t>
  </si>
  <si>
    <t>Entity</t>
  </si>
  <si>
    <t>유효지분율</t>
  </si>
  <si>
    <t>Scope</t>
  </si>
  <si>
    <t>No.</t>
  </si>
  <si>
    <t>투자회사</t>
  </si>
  <si>
    <t>피투자회사</t>
  </si>
  <si>
    <t>소재지</t>
  </si>
  <si>
    <t>2017년말</t>
  </si>
  <si>
    <t>2018년말</t>
  </si>
  <si>
    <t>법정지분율</t>
  </si>
  <si>
    <t>iriver Enterprise Ltd.</t>
  </si>
  <si>
    <t>홍콩</t>
  </si>
  <si>
    <t>iriver Inc.</t>
  </si>
  <si>
    <t>미국</t>
  </si>
  <si>
    <t>groovers Japan Co., Ltd</t>
  </si>
  <si>
    <t>일본</t>
  </si>
  <si>
    <t>LIFE DESIGN COMPANY Inc.</t>
  </si>
  <si>
    <t>SM Mobile Communications Japan Inc</t>
  </si>
  <si>
    <t>2018년 중 Groovers JP에 합병(7/1)</t>
  </si>
  <si>
    <t>(주)그루버스</t>
  </si>
  <si>
    <t>한국</t>
  </si>
  <si>
    <t>iriver China Co., Ltd.</t>
  </si>
  <si>
    <t>중국</t>
  </si>
  <si>
    <t>Dongguan iriver Electronics Co., Ltd.</t>
  </si>
  <si>
    <t>연결</t>
  </si>
  <si>
    <t>CE</t>
  </si>
  <si>
    <t>FVOCI평가손익</t>
  </si>
  <si>
    <t>지분법자본변동</t>
  </si>
  <si>
    <t>보험수리적손익</t>
  </si>
  <si>
    <t>당기자본</t>
  </si>
  <si>
    <t>전기자본</t>
  </si>
  <si>
    <t>SMMC JP</t>
  </si>
  <si>
    <t>자본변동</t>
  </si>
  <si>
    <t>유상증자</t>
  </si>
  <si>
    <t>건설중인자산</t>
  </si>
  <si>
    <t>(환산)</t>
  </si>
  <si>
    <t>연결조정(영업권)</t>
  </si>
  <si>
    <t>연결조정(기타)</t>
  </si>
  <si>
    <t>기타</t>
  </si>
  <si>
    <t>연결 I/S</t>
  </si>
  <si>
    <t>관계회사 재무정보</t>
  </si>
  <si>
    <t>#</t>
    <phoneticPr fontId="0" type="noConversion"/>
  </si>
  <si>
    <t>계정명</t>
  </si>
  <si>
    <t>BS</t>
    <phoneticPr fontId="0" type="noConversion"/>
  </si>
  <si>
    <t>유동자산</t>
  </si>
  <si>
    <t>비유동자산</t>
  </si>
  <si>
    <t>비유동부채</t>
  </si>
  <si>
    <t>자본</t>
  </si>
  <si>
    <t>IS</t>
    <phoneticPr fontId="0" type="noConversion"/>
  </si>
  <si>
    <t>영업이익(손실)</t>
  </si>
  <si>
    <t>기타포괄손익</t>
  </si>
  <si>
    <t>총포괄손익</t>
  </si>
  <si>
    <t>수령배당금</t>
  </si>
  <si>
    <t>관계회사_그루버스</t>
  </si>
  <si>
    <t>I/S당기순이익</t>
  </si>
  <si>
    <t>종속기업투자주식손상차손 reverse</t>
  </si>
  <si>
    <t>ENT,  INC., groovers jp 매출재분류 (연결관점에서는 Inc.의 매출이 제품매출)</t>
  </si>
  <si>
    <t>(*)</t>
  </si>
  <si>
    <t>기말</t>
  </si>
  <si>
    <t>투자회사</t>
    <phoneticPr fontId="9" type="noConversion"/>
  </si>
  <si>
    <t>피투자회사</t>
    <phoneticPr fontId="7" type="noConversion"/>
  </si>
  <si>
    <t>종속회사 지배회사자본(a1)</t>
    <phoneticPr fontId="9" type="noConversion"/>
  </si>
  <si>
    <t>공정가 조정(a2)</t>
  </si>
  <si>
    <t>지분법조정</t>
    <phoneticPr fontId="9" type="noConversion"/>
  </si>
  <si>
    <t>미실현손익</t>
    <phoneticPr fontId="9" type="noConversion"/>
  </si>
  <si>
    <t>기타</t>
    <phoneticPr fontId="9" type="noConversion"/>
  </si>
  <si>
    <t>합계(a1+a2+a3+a4)</t>
    <phoneticPr fontId="9" type="noConversion"/>
  </si>
  <si>
    <t>비지배유효지분율</t>
  </si>
  <si>
    <t>비지배지분A</t>
  </si>
  <si>
    <t>투자주식금액(b1)</t>
  </si>
  <si>
    <t>영업권미상각액(b2)</t>
  </si>
  <si>
    <t>합계(b1-b2)</t>
  </si>
  <si>
    <t>중복계산지분율</t>
    <phoneticPr fontId="7" type="noConversion"/>
  </si>
  <si>
    <t>비지배지분B</t>
  </si>
  <si>
    <t>비지배지분(A-B)</t>
    <phoneticPr fontId="7" type="noConversion"/>
  </si>
  <si>
    <t>자체 비지배지분</t>
    <phoneticPr fontId="7" type="noConversion"/>
  </si>
  <si>
    <t>비지배지분추정값</t>
    <phoneticPr fontId="7" type="noConversion"/>
  </si>
  <si>
    <t>N/A</t>
    <phoneticPr fontId="9" type="noConversion"/>
  </si>
  <si>
    <t>SMC</t>
  </si>
  <si>
    <t>Other</t>
    <phoneticPr fontId="7" type="noConversion"/>
  </si>
  <si>
    <t>NCI 검증</t>
    <phoneticPr fontId="7" type="noConversion"/>
  </si>
  <si>
    <t>회사명</t>
  </si>
  <si>
    <t>지배회사순이익</t>
    <phoneticPr fontId="7" type="noConversion"/>
  </si>
  <si>
    <t>1차조정</t>
    <phoneticPr fontId="7" type="noConversion"/>
  </si>
  <si>
    <t>2차조정</t>
    <phoneticPr fontId="7" type="noConversion"/>
  </si>
  <si>
    <t>TB수정</t>
    <phoneticPr fontId="7" type="noConversion"/>
  </si>
  <si>
    <t>미실현손익조정</t>
    <phoneticPr fontId="7" type="noConversion"/>
  </si>
  <si>
    <t>Fair Value상각 등</t>
    <phoneticPr fontId="7" type="noConversion"/>
  </si>
  <si>
    <t>조정NI</t>
    <phoneticPr fontId="7" type="noConversion"/>
  </si>
  <si>
    <t>비지배_유효지분율</t>
  </si>
  <si>
    <t>시산비지배손익</t>
    <phoneticPr fontId="7" type="noConversion"/>
  </si>
  <si>
    <t>비지배회사지분NI</t>
    <phoneticPr fontId="7" type="noConversion"/>
  </si>
  <si>
    <t>Total</t>
    <phoneticPr fontId="7" type="noConversion"/>
  </si>
  <si>
    <t>시산표대사</t>
    <phoneticPr fontId="7" type="noConversion"/>
  </si>
  <si>
    <t>차액</t>
    <phoneticPr fontId="7" type="noConversion"/>
  </si>
  <si>
    <t>NCE 검증</t>
    <phoneticPr fontId="7" type="noConversion"/>
  </si>
  <si>
    <t>기초NCE</t>
    <phoneticPr fontId="7" type="noConversion"/>
  </si>
  <si>
    <t>NCI</t>
    <phoneticPr fontId="7" type="noConversion"/>
  </si>
  <si>
    <t>매도가능평가손익</t>
    <phoneticPr fontId="7" type="noConversion"/>
  </si>
  <si>
    <t>지분법자본변동</t>
    <phoneticPr fontId="7" type="noConversion"/>
  </si>
  <si>
    <t>해외사업환산손익</t>
    <phoneticPr fontId="7" type="noConversion"/>
  </si>
  <si>
    <t>보험수리적손익</t>
    <phoneticPr fontId="7" type="noConversion"/>
  </si>
  <si>
    <t>배당</t>
    <phoneticPr fontId="7" type="noConversion"/>
  </si>
  <si>
    <t>증가(감소)</t>
    <phoneticPr fontId="7" type="noConversion"/>
  </si>
  <si>
    <t>자본거래손익</t>
    <phoneticPr fontId="7" type="noConversion"/>
  </si>
  <si>
    <t>기타</t>
    <phoneticPr fontId="7" type="noConversion"/>
  </si>
  <si>
    <t>기말NCE</t>
    <phoneticPr fontId="7" type="noConversion"/>
  </si>
  <si>
    <t>검증</t>
    <phoneticPr fontId="7" type="noConversion"/>
  </si>
  <si>
    <t>NI</t>
  </si>
  <si>
    <t>지배지분</t>
  </si>
  <si>
    <t>other adj.</t>
  </si>
  <si>
    <t>diff'</t>
  </si>
  <si>
    <t>-</t>
  </si>
  <si>
    <t>상품매출(내수)</t>
  </si>
  <si>
    <t>상품매출환입(내수)</t>
  </si>
  <si>
    <t>상품매출(수출)</t>
  </si>
  <si>
    <t>상품매출환입(수출)</t>
  </si>
  <si>
    <t>제품매출(내수)</t>
  </si>
  <si>
    <t>제품매출환입(내수)</t>
  </si>
  <si>
    <t>제품매출할인및에누리(수출)</t>
  </si>
  <si>
    <t>제품매출(수출)</t>
  </si>
  <si>
    <t>제품매출환입(수출)</t>
  </si>
  <si>
    <t>유형감가/차량운반구</t>
  </si>
  <si>
    <t>유형감가/비품</t>
  </si>
  <si>
    <t>유형감가/기타유형</t>
  </si>
  <si>
    <t>사용권감가/건물</t>
  </si>
  <si>
    <t>사용권감가/차량운반구</t>
  </si>
  <si>
    <t>연결법인코드</t>
  </si>
  <si>
    <t>계정번호</t>
  </si>
  <si>
    <t xml:space="preserve">G/L 계정설명 </t>
  </si>
  <si>
    <t>사업영역</t>
  </si>
  <si>
    <t>손익센터</t>
  </si>
  <si>
    <t>거래통화코드</t>
  </si>
  <si>
    <t>T198</t>
  </si>
  <si>
    <t>현금-원화</t>
  </si>
  <si>
    <t>보통예금</t>
  </si>
  <si>
    <t>단기금융상품</t>
  </si>
  <si>
    <t>외상매출금</t>
  </si>
  <si>
    <t>대손충당금(매출채권)</t>
  </si>
  <si>
    <t>외화외상매출금</t>
  </si>
  <si>
    <t>미수금</t>
  </si>
  <si>
    <t>선급금</t>
  </si>
  <si>
    <t>선급비용</t>
  </si>
  <si>
    <t>기계장치 감가상각누계액</t>
  </si>
  <si>
    <t>차량운반구 감가상각누계액</t>
  </si>
  <si>
    <t>차량운반구 감액손실누계액</t>
  </si>
  <si>
    <t>공구와기구 감가상각누계액</t>
  </si>
  <si>
    <t>공구와기구 감액손실누계액</t>
  </si>
  <si>
    <t>비품 감가상각누계액</t>
  </si>
  <si>
    <t>비품 감액손실누계액</t>
  </si>
  <si>
    <t>산업재산권</t>
  </si>
  <si>
    <t>기타의무형자산</t>
  </si>
  <si>
    <t>매입채무</t>
  </si>
  <si>
    <t>선수수익</t>
  </si>
  <si>
    <t>미지급금</t>
  </si>
  <si>
    <t>선수금</t>
  </si>
  <si>
    <t>예수금</t>
  </si>
  <si>
    <t>미지급세금</t>
  </si>
  <si>
    <t>미지급비용</t>
  </si>
  <si>
    <t>유동성장기부채-전환사채(유동)</t>
  </si>
  <si>
    <t>유동성장기부채-사할차(유동)</t>
  </si>
  <si>
    <t>유동성장기부채-전환권조정(유동)</t>
  </si>
  <si>
    <t>반품추정부채(유동)</t>
  </si>
  <si>
    <t>확정급여채무</t>
  </si>
  <si>
    <t>사외적립자산-퇴직보험등</t>
  </si>
  <si>
    <t>이연법인세부채</t>
  </si>
  <si>
    <t>기타의자본잉여금</t>
  </si>
  <si>
    <t>자본조정-기타</t>
  </si>
  <si>
    <t>상품매출-국내</t>
  </si>
  <si>
    <t>제품매출-국내</t>
  </si>
  <si>
    <t>상품매출-수출</t>
  </si>
  <si>
    <t>제품매출-수출</t>
  </si>
  <si>
    <t>감가상각비-공기구비품</t>
  </si>
  <si>
    <t>감가상각비-차량운반구</t>
  </si>
  <si>
    <t>이자수익</t>
  </si>
  <si>
    <t>외환차익</t>
  </si>
  <si>
    <t>외화환산이익</t>
  </si>
  <si>
    <t>단기금융상품평가이익</t>
  </si>
  <si>
    <t>단기금융상품처분이익</t>
  </si>
  <si>
    <t>유형자산처분이익</t>
  </si>
  <si>
    <t>무형자산처분이익</t>
  </si>
  <si>
    <t>잡이익</t>
  </si>
  <si>
    <t>이자비용</t>
  </si>
  <si>
    <t>외환차손</t>
  </si>
  <si>
    <t>외화환산손실</t>
  </si>
  <si>
    <t>단기금융상품평가손실</t>
  </si>
  <si>
    <t>소송충당부채전입</t>
  </si>
  <si>
    <t>무형자산손상차손</t>
  </si>
  <si>
    <t>유형자산처분손실</t>
  </si>
  <si>
    <t>잡손실</t>
  </si>
  <si>
    <t>기타유동자산-환불</t>
  </si>
  <si>
    <t>수익</t>
  </si>
  <si>
    <t>CFSItemNam</t>
  </si>
  <si>
    <t>A10000</t>
  </si>
  <si>
    <t>영업활동으로 인한 현금흐름</t>
  </si>
  <si>
    <t>A11000</t>
  </si>
  <si>
    <t>A11010</t>
  </si>
  <si>
    <t>당기순이익(Value)</t>
  </si>
  <si>
    <t>A12000</t>
  </si>
  <si>
    <t>현금의 유출이 없는 비용등의 가산</t>
  </si>
  <si>
    <t>A12010</t>
  </si>
  <si>
    <t>A12020</t>
  </si>
  <si>
    <t>A12030</t>
  </si>
  <si>
    <t>A12040</t>
  </si>
  <si>
    <t>A12050</t>
  </si>
  <si>
    <t>A12060</t>
  </si>
  <si>
    <t>단기매매증권처분손실</t>
  </si>
  <si>
    <t>A12070</t>
  </si>
  <si>
    <t>단기매매증권평가손실</t>
  </si>
  <si>
    <t>A12100</t>
  </si>
  <si>
    <t>만기보유증권처분손실</t>
  </si>
  <si>
    <t>A12110</t>
  </si>
  <si>
    <t>만기보유증권손상차손</t>
  </si>
  <si>
    <t>A12120</t>
  </si>
  <si>
    <t>지분법주식처분손실</t>
  </si>
  <si>
    <t>A12130</t>
  </si>
  <si>
    <t>지분법손실</t>
  </si>
  <si>
    <t>A12140</t>
  </si>
  <si>
    <t>지분법주식손상차손</t>
  </si>
  <si>
    <t>A12150</t>
  </si>
  <si>
    <t>투자부동산처분손실</t>
  </si>
  <si>
    <t>A12160</t>
  </si>
  <si>
    <t>투자부동산손상차손</t>
  </si>
  <si>
    <t>A12170</t>
  </si>
  <si>
    <t>파생상품평가손실</t>
  </si>
  <si>
    <t>A12180</t>
  </si>
  <si>
    <t>파생상품거래손실</t>
  </si>
  <si>
    <t>A12190</t>
  </si>
  <si>
    <t>기타투자자산처분손실</t>
  </si>
  <si>
    <t>A12200</t>
  </si>
  <si>
    <t>기타투자자산손상차손</t>
  </si>
  <si>
    <t>A12210</t>
  </si>
  <si>
    <t>A12220</t>
  </si>
  <si>
    <t>유형자산손상차손</t>
  </si>
  <si>
    <t>A12230</t>
  </si>
  <si>
    <t>유형자산폐기손실</t>
  </si>
  <si>
    <t>A12240</t>
  </si>
  <si>
    <t>A12250</t>
  </si>
  <si>
    <t>A12260</t>
  </si>
  <si>
    <t>재고자산평가손실</t>
  </si>
  <si>
    <t>A12270</t>
  </si>
  <si>
    <t>재고자산감모손실</t>
  </si>
  <si>
    <t>A12280</t>
  </si>
  <si>
    <t>재고자산매각손실</t>
  </si>
  <si>
    <t>A12290</t>
  </si>
  <si>
    <t>재고자산폐기손실</t>
  </si>
  <si>
    <t>A12300</t>
  </si>
  <si>
    <t>매출채권처분손실</t>
  </si>
  <si>
    <t>A12310</t>
  </si>
  <si>
    <t>자원개발투자손실</t>
  </si>
  <si>
    <t>A12320</t>
  </si>
  <si>
    <t>사채상환손실</t>
  </si>
  <si>
    <t>A12330</t>
  </si>
  <si>
    <t>사채할인발행차금상각</t>
  </si>
  <si>
    <t>A12340</t>
  </si>
  <si>
    <t>현재가치할인차금상각</t>
  </si>
  <si>
    <t>A12350</t>
  </si>
  <si>
    <t>전환권조정의 상각</t>
  </si>
  <si>
    <t>A12360</t>
  </si>
  <si>
    <t>주식보상비용</t>
  </si>
  <si>
    <t>A12370</t>
  </si>
  <si>
    <t>영업권상각비</t>
  </si>
  <si>
    <t>A12380</t>
  </si>
  <si>
    <t>기타의대손상각비</t>
  </si>
  <si>
    <t>A12390</t>
  </si>
  <si>
    <t>운휴자산감가상각비</t>
  </si>
  <si>
    <t>A12400</t>
  </si>
  <si>
    <t>A12410</t>
  </si>
  <si>
    <t>전기오류수정손실</t>
  </si>
  <si>
    <t>A12420</t>
  </si>
  <si>
    <t>기타특별손실</t>
  </si>
  <si>
    <t>A12430</t>
  </si>
  <si>
    <t>중단사업손실</t>
  </si>
  <si>
    <t>A12440</t>
  </si>
  <si>
    <t>A12450</t>
  </si>
  <si>
    <t>통화스왑평가손실</t>
  </si>
  <si>
    <t>A12460</t>
  </si>
  <si>
    <t>이자율스왑평가손실</t>
  </si>
  <si>
    <t>A12470</t>
  </si>
  <si>
    <t>미수금처분손실</t>
  </si>
  <si>
    <t>A12480</t>
  </si>
  <si>
    <t>차입금상환손실</t>
  </si>
  <si>
    <t>A12490</t>
  </si>
  <si>
    <t>A12500</t>
  </si>
  <si>
    <t>A12510</t>
  </si>
  <si>
    <t>A12520</t>
  </si>
  <si>
    <t>확정계약평가손실</t>
  </si>
  <si>
    <t>A12530</t>
  </si>
  <si>
    <t>매각예정자산처분손실</t>
  </si>
  <si>
    <t>A12540</t>
  </si>
  <si>
    <t>당기손익인식금융자산평가손실</t>
  </si>
  <si>
    <t>A12550</t>
  </si>
  <si>
    <t>당기손익인식금융자산처분손실</t>
  </si>
  <si>
    <t>A12560</t>
  </si>
  <si>
    <t>상각후원가인식금융자산처분손실</t>
  </si>
  <si>
    <t>A12570</t>
  </si>
  <si>
    <t>기타포괄손익인식금융자산처분손실</t>
  </si>
  <si>
    <t>A12580</t>
  </si>
  <si>
    <t>기타포괄손익인식금융자산손상차손</t>
  </si>
  <si>
    <t>A12590</t>
  </si>
  <si>
    <t>상각후원가인식금융자산손상차손</t>
  </si>
  <si>
    <t>A12600</t>
  </si>
  <si>
    <t>당기손익인식금융부채평가손실</t>
  </si>
  <si>
    <t>A12990</t>
  </si>
  <si>
    <t>기타비용</t>
  </si>
  <si>
    <t>A13000</t>
  </si>
  <si>
    <t>현금의 유입이 없는 수익등의 차감</t>
  </si>
  <si>
    <t>A13010</t>
  </si>
  <si>
    <t>A13020</t>
  </si>
  <si>
    <t>단기매매증권처분이익</t>
  </si>
  <si>
    <t>A13030</t>
  </si>
  <si>
    <t>단기매매증권평가이익</t>
  </si>
  <si>
    <t>A13060</t>
  </si>
  <si>
    <t>만기보유증권처분이익</t>
  </si>
  <si>
    <t>A13070</t>
  </si>
  <si>
    <t>만기보유증권손상차손환입</t>
  </si>
  <si>
    <t>A13080</t>
  </si>
  <si>
    <t>지분법주식처분이익</t>
  </si>
  <si>
    <t>A13090</t>
  </si>
  <si>
    <t>지분법이익</t>
  </si>
  <si>
    <t>A13100</t>
  </si>
  <si>
    <t>지분법주식손상차손환입</t>
  </si>
  <si>
    <t>A13110</t>
  </si>
  <si>
    <t>투자부동산처분이익</t>
  </si>
  <si>
    <t>A13120</t>
  </si>
  <si>
    <t>투자부동산손상차손환입</t>
  </si>
  <si>
    <t>A13130</t>
  </si>
  <si>
    <t>파생상품평가이익</t>
  </si>
  <si>
    <t>A13140</t>
  </si>
  <si>
    <t>파생상품거래이익</t>
  </si>
  <si>
    <t>A13150</t>
  </si>
  <si>
    <t>기타투자자산처분이익</t>
  </si>
  <si>
    <t>A13160</t>
  </si>
  <si>
    <t>기타투자자산손상차손환입</t>
  </si>
  <si>
    <t>A13170</t>
  </si>
  <si>
    <t>A13180</t>
  </si>
  <si>
    <t>유형자산손상차손환입</t>
  </si>
  <si>
    <t>A13190</t>
  </si>
  <si>
    <t>A13200</t>
  </si>
  <si>
    <t>무형자산손상차손환입</t>
  </si>
  <si>
    <t>A13210</t>
  </si>
  <si>
    <t>재고자산평가손실환입</t>
  </si>
  <si>
    <t>A13220</t>
  </si>
  <si>
    <t>부채성충당금환입액</t>
  </si>
  <si>
    <t>A13230</t>
  </si>
  <si>
    <t>대손충당금 환입</t>
  </si>
  <si>
    <t>A13240</t>
  </si>
  <si>
    <t>사채할인발행차금상각환입</t>
  </si>
  <si>
    <t>A13250</t>
  </si>
  <si>
    <t>현재가치할인차금상각환입</t>
  </si>
  <si>
    <t>A13260</t>
  </si>
  <si>
    <t>부의 영업권 환입</t>
  </si>
  <si>
    <t>A13270</t>
  </si>
  <si>
    <t>사채상환이익</t>
  </si>
  <si>
    <t>A13280</t>
  </si>
  <si>
    <t>채무면제이익</t>
  </si>
  <si>
    <t>A13290</t>
  </si>
  <si>
    <t>기타의 특별이익</t>
  </si>
  <si>
    <t>A13300</t>
  </si>
  <si>
    <t>전기오류수정익</t>
  </si>
  <si>
    <t>A13310</t>
  </si>
  <si>
    <t>자산수증이익</t>
  </si>
  <si>
    <t>A13320</t>
  </si>
  <si>
    <t>보험차익</t>
  </si>
  <si>
    <t>A13330</t>
  </si>
  <si>
    <t>통화옵션거래이익</t>
  </si>
  <si>
    <t>A13340</t>
  </si>
  <si>
    <t>이자율스왑평가이익</t>
  </si>
  <si>
    <t>A13350</t>
  </si>
  <si>
    <t>중단사업이익</t>
  </si>
  <si>
    <t>A13360</t>
  </si>
  <si>
    <t>주식보상비용환입</t>
  </si>
  <si>
    <t>A13370</t>
  </si>
  <si>
    <t>영업양도차익</t>
  </si>
  <si>
    <t>A13380</t>
  </si>
  <si>
    <t>A13390</t>
  </si>
  <si>
    <t>배당금수익(지주)</t>
  </si>
  <si>
    <t>A13400</t>
  </si>
  <si>
    <t>확정계약평가이익</t>
  </si>
  <si>
    <t>A13410</t>
  </si>
  <si>
    <t>매각예정자산처분이익</t>
  </si>
  <si>
    <t>A13420</t>
  </si>
  <si>
    <t>당기손익인식금융자산평가이익</t>
  </si>
  <si>
    <t>A13430</t>
  </si>
  <si>
    <t>당기손익인식금융자산처분이익</t>
  </si>
  <si>
    <t>A13440</t>
  </si>
  <si>
    <t>상각후원가인식금융자산처분이익</t>
  </si>
  <si>
    <t>A13450</t>
  </si>
  <si>
    <t>기타포괄손익인식금융자산처분이익</t>
  </si>
  <si>
    <t>A13470</t>
  </si>
  <si>
    <t>기타포괄손익인식금융자산손상차손환입</t>
  </si>
  <si>
    <t>A13480</t>
  </si>
  <si>
    <t>상각후원가인식금융자산손상차손환입</t>
  </si>
  <si>
    <t>A13490</t>
  </si>
  <si>
    <t>당기손익인식금융부채평가이익</t>
  </si>
  <si>
    <t>A13500</t>
  </si>
  <si>
    <t>배당금수익-지분법적용투자주식</t>
  </si>
  <si>
    <t>A13510</t>
  </si>
  <si>
    <t>배당금수익-당기손익인식금융자산</t>
  </si>
  <si>
    <t>A13520</t>
  </si>
  <si>
    <t>배당금수익-기타포괄손익인식금융자산</t>
  </si>
  <si>
    <t>A13990</t>
  </si>
  <si>
    <t>기타수익</t>
  </si>
  <si>
    <t>A14000</t>
  </si>
  <si>
    <t>영업활동으로 인한 자산부채의 변동</t>
  </si>
  <si>
    <t>A14010</t>
  </si>
  <si>
    <t>매출채권의 감소(증가)</t>
  </si>
  <si>
    <t>A14020</t>
  </si>
  <si>
    <t>미수금의 감소(증가)</t>
  </si>
  <si>
    <t>A14030</t>
  </si>
  <si>
    <t>미수수익의 감소(증가)</t>
  </si>
  <si>
    <t>A14040</t>
  </si>
  <si>
    <t>선급금의 감소(증가)</t>
  </si>
  <si>
    <t>A14050</t>
  </si>
  <si>
    <t>선급공사비의 감소(증가)</t>
  </si>
  <si>
    <t>A14060</t>
  </si>
  <si>
    <t>선급비용의 감소(증가)</t>
  </si>
  <si>
    <t>A14070</t>
  </si>
  <si>
    <t>예치보증금의 감소(증가)</t>
  </si>
  <si>
    <t>A14080</t>
  </si>
  <si>
    <t>이연법인세자산의 감소(증가)</t>
  </si>
  <si>
    <t>A14090</t>
  </si>
  <si>
    <t>부가세대급금의 감소(증가)</t>
  </si>
  <si>
    <t>A14100</t>
  </si>
  <si>
    <t>재고자산의 감소(증가)</t>
  </si>
  <si>
    <t>A14110</t>
  </si>
  <si>
    <t>영업권의 감소(증가)</t>
  </si>
  <si>
    <t>A14120</t>
  </si>
  <si>
    <t>부의 영업권의 증가(감소)</t>
  </si>
  <si>
    <t>A14130</t>
  </si>
  <si>
    <t>지분법적용투자주식 배당금 수령</t>
  </si>
  <si>
    <t>A14140</t>
  </si>
  <si>
    <t>선급법인세의 감소(증가)</t>
  </si>
  <si>
    <t>A14150</t>
  </si>
  <si>
    <t>장기매출채권의 감소(증가)</t>
  </si>
  <si>
    <t>A14160</t>
  </si>
  <si>
    <t>장기미수금의 감소(증가)</t>
  </si>
  <si>
    <t>A14170</t>
  </si>
  <si>
    <t>장기예치보증금의 감소(증가)</t>
  </si>
  <si>
    <t>A14180</t>
  </si>
  <si>
    <t>장기선급비용의 감소(증가)</t>
  </si>
  <si>
    <t>A14190</t>
  </si>
  <si>
    <t>매입채무의 증가(감소)</t>
  </si>
  <si>
    <t>A14200</t>
  </si>
  <si>
    <t>선수금의 증가(감소)</t>
  </si>
  <si>
    <t>A14210</t>
  </si>
  <si>
    <t>예수금의 증가(감소)</t>
  </si>
  <si>
    <t>A14220</t>
  </si>
  <si>
    <t>선수수익의 증가(감소)</t>
  </si>
  <si>
    <t>A14230</t>
  </si>
  <si>
    <t>미지급금의 증가(감소)</t>
  </si>
  <si>
    <t>A14240</t>
  </si>
  <si>
    <t>미지급비용의 증가(감소)</t>
  </si>
  <si>
    <t>A14250</t>
  </si>
  <si>
    <t>예수부가세의 증가(감소)</t>
  </si>
  <si>
    <t>A14260</t>
  </si>
  <si>
    <t>이연법인세부채의 증가(감소)</t>
  </si>
  <si>
    <t>A14270</t>
  </si>
  <si>
    <t>기타의 유동부채의 증가(감소)</t>
  </si>
  <si>
    <t>A14280</t>
  </si>
  <si>
    <t>유동부채성충당금의 증가(감소)</t>
  </si>
  <si>
    <t>A14290</t>
  </si>
  <si>
    <t>퇴직보험예치금의 증가(감소)</t>
  </si>
  <si>
    <t>A14300</t>
  </si>
  <si>
    <t>국민연금전환금의 증가(감소)</t>
  </si>
  <si>
    <t>A14310</t>
  </si>
  <si>
    <t>퇴직보험사외적립자산의 증가(감소)</t>
  </si>
  <si>
    <t>A14320</t>
  </si>
  <si>
    <t>장기외상매입금의 증가(감소)</t>
  </si>
  <si>
    <t>A14330</t>
  </si>
  <si>
    <t>장기미지급금의 증가(감소)</t>
  </si>
  <si>
    <t>A14340</t>
  </si>
  <si>
    <t>예수보증금의 증가(감소)</t>
  </si>
  <si>
    <t>A14350</t>
  </si>
  <si>
    <t>장기부채성충당금의 증가(감소)</t>
  </si>
  <si>
    <t>A14360</t>
  </si>
  <si>
    <t>장기미지급비용의 증가(감소)</t>
  </si>
  <si>
    <t>A14370</t>
  </si>
  <si>
    <t>퇴직금의 지급</t>
  </si>
  <si>
    <t>A14380</t>
  </si>
  <si>
    <t>미지급법인세의 증가(감소)</t>
  </si>
  <si>
    <t>A14390</t>
  </si>
  <si>
    <t>미수법인세환급액의 감소(증가)</t>
  </si>
  <si>
    <t>A14400</t>
  </si>
  <si>
    <t>미지급보증금의 증가(감소)</t>
  </si>
  <si>
    <t>A14410</t>
  </si>
  <si>
    <t>당기손익인식금융자산의 감소(증가)</t>
  </si>
  <si>
    <t>A14420</t>
  </si>
  <si>
    <t>영업활동 관련 파생상품의 감소(증가)</t>
  </si>
  <si>
    <t>A14430</t>
  </si>
  <si>
    <t>차량운반구(영업용자산)의 취득</t>
  </si>
  <si>
    <t>A14440</t>
  </si>
  <si>
    <t>차량운반구(영업용자산)의 처분</t>
  </si>
  <si>
    <t>A14990</t>
  </si>
  <si>
    <t>기타영업활동으로 인한 현금흐름</t>
  </si>
  <si>
    <t>A15060</t>
  </si>
  <si>
    <t>유동계약자산의 감소(증가)</t>
  </si>
  <si>
    <t>A15070</t>
  </si>
  <si>
    <t>비유동계약자산의 감소(증가)</t>
  </si>
  <si>
    <t>A15080</t>
  </si>
  <si>
    <t>유동계약부채의 증가(감소)</t>
  </si>
  <si>
    <t>A15090</t>
  </si>
  <si>
    <t>비유동계약부채의 증가(감소)</t>
  </si>
  <si>
    <t>A15000</t>
  </si>
  <si>
    <t>직접법에 의한 영업활동 현금흐름</t>
  </si>
  <si>
    <t>A15010</t>
  </si>
  <si>
    <t>배당금의 수취</t>
  </si>
  <si>
    <t>A15020</t>
  </si>
  <si>
    <t>이자수취</t>
  </si>
  <si>
    <t>A15030</t>
  </si>
  <si>
    <t>이자지급</t>
  </si>
  <si>
    <t>A15040</t>
  </si>
  <si>
    <t>법인세의 납부</t>
  </si>
  <si>
    <t>A15050</t>
  </si>
  <si>
    <t>법인세의 환급</t>
  </si>
  <si>
    <t>B10000</t>
  </si>
  <si>
    <t>투자활동으로 인한 현금흐름</t>
  </si>
  <si>
    <t>B11000</t>
  </si>
  <si>
    <t>투자활동으로 인한 현금유입액</t>
  </si>
  <si>
    <t>B11010</t>
  </si>
  <si>
    <t>단기대여금의 회수</t>
  </si>
  <si>
    <t>B11020</t>
  </si>
  <si>
    <t>단기금융상품의 처분</t>
  </si>
  <si>
    <t>B11030</t>
  </si>
  <si>
    <t>기타당좌자산의 감소</t>
  </si>
  <si>
    <t>B11040</t>
  </si>
  <si>
    <t>장기금융상품의 처분</t>
  </si>
  <si>
    <t>B11050</t>
  </si>
  <si>
    <t>장기대여금의 회수</t>
  </si>
  <si>
    <t>B11060</t>
  </si>
  <si>
    <t>자원개발투자자산의 감소</t>
  </si>
  <si>
    <t>B11070</t>
  </si>
  <si>
    <t>예수보증금의 증가</t>
  </si>
  <si>
    <t>B11080</t>
  </si>
  <si>
    <t>예치보증금의 감소</t>
  </si>
  <si>
    <t>B11090</t>
  </si>
  <si>
    <t>(투자)미수금의 감소</t>
  </si>
  <si>
    <t>B11100</t>
  </si>
  <si>
    <t>(투자)미지급금의 증가</t>
  </si>
  <si>
    <t>B11110</t>
  </si>
  <si>
    <t>(투자)선급비용의 감소</t>
  </si>
  <si>
    <t>B11120</t>
  </si>
  <si>
    <t>단기매매증권의 처분</t>
  </si>
  <si>
    <t>B11140</t>
  </si>
  <si>
    <t>만기보유증권의 처분</t>
  </si>
  <si>
    <t>B11150</t>
  </si>
  <si>
    <t>지분법투자주식의 처분</t>
  </si>
  <si>
    <t>B11160</t>
  </si>
  <si>
    <t>연결대상투자주식의 처분</t>
  </si>
  <si>
    <t>B11170</t>
  </si>
  <si>
    <t>연결범위제외로 인한 현금의 증가</t>
  </si>
  <si>
    <t>B11180</t>
  </si>
  <si>
    <t>투자부동산의 처분</t>
  </si>
  <si>
    <t>B11190</t>
  </si>
  <si>
    <t>매각예정자산의 처분</t>
  </si>
  <si>
    <t>B11200</t>
  </si>
  <si>
    <t>파생상품의 감소</t>
  </si>
  <si>
    <t>B11210</t>
  </si>
  <si>
    <t>기타투자자산의 감소</t>
  </si>
  <si>
    <t>B11220</t>
  </si>
  <si>
    <t>토지의 처분</t>
  </si>
  <si>
    <t>B11230</t>
  </si>
  <si>
    <t>건물의 처분</t>
  </si>
  <si>
    <t>B11240</t>
  </si>
  <si>
    <t>구축물의 처분</t>
  </si>
  <si>
    <t>B11250</t>
  </si>
  <si>
    <t>탱크의 처분</t>
  </si>
  <si>
    <t>B11260</t>
  </si>
  <si>
    <t>기계장치의 처분</t>
  </si>
  <si>
    <t>B11270</t>
  </si>
  <si>
    <t>장거리송유관의 처분</t>
  </si>
  <si>
    <t>B11280</t>
  </si>
  <si>
    <t>차량운반구의 처분</t>
  </si>
  <si>
    <t>B11290</t>
  </si>
  <si>
    <t>선박의 처분</t>
  </si>
  <si>
    <t>B11300</t>
  </si>
  <si>
    <t>B11310</t>
  </si>
  <si>
    <t>배관의 처분</t>
  </si>
  <si>
    <t>B11320</t>
  </si>
  <si>
    <t>촉매의 처분</t>
  </si>
  <si>
    <t>B11330</t>
  </si>
  <si>
    <t>건설중인 자산의 처분</t>
  </si>
  <si>
    <t>B11340</t>
  </si>
  <si>
    <t>기타유형자산의 처분</t>
  </si>
  <si>
    <t>B11350</t>
  </si>
  <si>
    <t>영업권의 처분</t>
  </si>
  <si>
    <t>B11360</t>
  </si>
  <si>
    <t>시설사용이용권의 처분</t>
  </si>
  <si>
    <t>B11370</t>
  </si>
  <si>
    <t>산업재산권의 처분</t>
  </si>
  <si>
    <t>B11380</t>
  </si>
  <si>
    <t>임차권리권의 처분</t>
  </si>
  <si>
    <t>B11390</t>
  </si>
  <si>
    <t>주파수이용권의 처분</t>
  </si>
  <si>
    <t>B11400</t>
  </si>
  <si>
    <t>회원권의 처분</t>
  </si>
  <si>
    <t>B11410</t>
  </si>
  <si>
    <t>기타무형자산의 처분</t>
  </si>
  <si>
    <t>B11420</t>
  </si>
  <si>
    <t>금융리스자산의 처분</t>
  </si>
  <si>
    <t>B11430</t>
  </si>
  <si>
    <t>사업부매각 및 영업의 양도</t>
  </si>
  <si>
    <t>B11440</t>
  </si>
  <si>
    <t>배당금 수령</t>
  </si>
  <si>
    <t>B11450</t>
  </si>
  <si>
    <t>장기대출채권의 감소</t>
  </si>
  <si>
    <t>B11460</t>
  </si>
  <si>
    <t>국고보조금의수령</t>
  </si>
  <si>
    <t>B11470</t>
  </si>
  <si>
    <t>단기투자자산의 감소</t>
  </si>
  <si>
    <t>B11480</t>
  </si>
  <si>
    <t>영업양도로인한 현금유입</t>
  </si>
  <si>
    <t>B11490</t>
  </si>
  <si>
    <t>통화스왑거래로인한현금유입</t>
  </si>
  <si>
    <t>B11500</t>
  </si>
  <si>
    <t>통화옵션거래로인한현금유입</t>
  </si>
  <si>
    <t>B11510</t>
  </si>
  <si>
    <t>당기손익인식금융자산의 처분</t>
  </si>
  <si>
    <t>B11520</t>
  </si>
  <si>
    <t>기타포괄손익인식금융자산의 처분</t>
  </si>
  <si>
    <t>B11530</t>
  </si>
  <si>
    <t>상각후원가인식금융자산의 처분</t>
  </si>
  <si>
    <t>B11550</t>
  </si>
  <si>
    <t>당기손익인식금융부채의 처분</t>
  </si>
  <si>
    <t>B11990</t>
  </si>
  <si>
    <t>기타투자유입</t>
  </si>
  <si>
    <t>B12000</t>
  </si>
  <si>
    <t>투자활동으로 인한 현금유출액</t>
  </si>
  <si>
    <t>B12010</t>
  </si>
  <si>
    <t>단기대여금의 증가</t>
  </si>
  <si>
    <t>B12020</t>
  </si>
  <si>
    <t>단기금융상품의 취득</t>
  </si>
  <si>
    <t>B12030</t>
  </si>
  <si>
    <t>기타당좌자산의 증가</t>
  </si>
  <si>
    <t>B12040</t>
  </si>
  <si>
    <t>장기금융상품의 취득</t>
  </si>
  <si>
    <t>B12050</t>
  </si>
  <si>
    <t>장기대여금의 증가</t>
  </si>
  <si>
    <t>B12060</t>
  </si>
  <si>
    <t>자원개발투자자산의 증가</t>
  </si>
  <si>
    <t>B12070</t>
  </si>
  <si>
    <t>예수보증금의 감소</t>
  </si>
  <si>
    <t>B12080</t>
  </si>
  <si>
    <t>예치보증금의 증가</t>
  </si>
  <si>
    <t>B12090</t>
  </si>
  <si>
    <t>(투자)선급비용의 증가</t>
  </si>
  <si>
    <t>B12100</t>
  </si>
  <si>
    <t>(투자)미수금의 증가</t>
  </si>
  <si>
    <t>B12110</t>
  </si>
  <si>
    <t>(투자)미지급금의 감소</t>
  </si>
  <si>
    <t>B12120</t>
  </si>
  <si>
    <t>단기매매증권의 취득</t>
  </si>
  <si>
    <t>B12140</t>
  </si>
  <si>
    <t>만기보유증권의 취득</t>
  </si>
  <si>
    <t>B12150</t>
  </si>
  <si>
    <t>지분법투자주식의 취득</t>
  </si>
  <si>
    <t>B12160</t>
  </si>
  <si>
    <t>연결대상투자주식의 취득</t>
  </si>
  <si>
    <t>B12170</t>
  </si>
  <si>
    <t>연결범위포함으로 인한 현금의 감소</t>
  </si>
  <si>
    <t>B12180</t>
  </si>
  <si>
    <t>투자부동산의 취득</t>
  </si>
  <si>
    <t>B12190</t>
  </si>
  <si>
    <t>매각예정자산의 증가</t>
  </si>
  <si>
    <t>B12200</t>
  </si>
  <si>
    <t>파생상품의 증가</t>
  </si>
  <si>
    <t>B12210</t>
  </si>
  <si>
    <t>기타투자자산의 취득</t>
  </si>
  <si>
    <t>B12220</t>
  </si>
  <si>
    <t>토지의 취득</t>
  </si>
  <si>
    <t>B12230</t>
  </si>
  <si>
    <t>건물의 취득</t>
  </si>
  <si>
    <t>B12240</t>
  </si>
  <si>
    <t>구축물의 취득</t>
  </si>
  <si>
    <t>B12250</t>
  </si>
  <si>
    <t>탱크의 취득</t>
  </si>
  <si>
    <t>B12260</t>
  </si>
  <si>
    <t>기계장치의 취득</t>
  </si>
  <si>
    <t>B12270</t>
  </si>
  <si>
    <t>장거리송유관의 취득</t>
  </si>
  <si>
    <t>B12280</t>
  </si>
  <si>
    <t>차량운반구의 취득</t>
  </si>
  <si>
    <t>B12290</t>
  </si>
  <si>
    <t>선박의 취득</t>
  </si>
  <si>
    <t>B12300</t>
  </si>
  <si>
    <t>B12310</t>
  </si>
  <si>
    <t>배관의 취득</t>
  </si>
  <si>
    <t>B12320</t>
  </si>
  <si>
    <t>촉매의 취득</t>
  </si>
  <si>
    <t>B12330</t>
  </si>
  <si>
    <t>건설중인 자산의 취득</t>
  </si>
  <si>
    <t>B12340</t>
  </si>
  <si>
    <t>기타유형자산의 취득</t>
  </si>
  <si>
    <t>B12350</t>
  </si>
  <si>
    <t>개발비의 증가</t>
  </si>
  <si>
    <t>B12360</t>
  </si>
  <si>
    <t>영업권의 취득</t>
  </si>
  <si>
    <t>B12370</t>
  </si>
  <si>
    <t>부의영업권의 발생</t>
  </si>
  <si>
    <t>B12380</t>
  </si>
  <si>
    <t>시설사용이용권의 취득</t>
  </si>
  <si>
    <t>B12390</t>
  </si>
  <si>
    <t>산업재산권의 취득</t>
  </si>
  <si>
    <t>B12400</t>
  </si>
  <si>
    <t>임차권리권의 취득</t>
  </si>
  <si>
    <t>B12410</t>
  </si>
  <si>
    <t>주파수이용권의 취득</t>
  </si>
  <si>
    <t>B12420</t>
  </si>
  <si>
    <t>회원권의 취득</t>
  </si>
  <si>
    <t>B12430</t>
  </si>
  <si>
    <t>기타무형자산의 취득</t>
  </si>
  <si>
    <t>B12440</t>
  </si>
  <si>
    <t>금융리스자산의 취득</t>
  </si>
  <si>
    <t>B12450</t>
  </si>
  <si>
    <t>장기대출채권의 증가</t>
  </si>
  <si>
    <t>B12460</t>
  </si>
  <si>
    <t>선급금-고정자산의 증가</t>
    <phoneticPr fontId="7" type="noConversion"/>
  </si>
  <si>
    <t>B12470</t>
  </si>
  <si>
    <t>단기투자자산의 증가</t>
  </si>
  <si>
    <t>B12480</t>
  </si>
  <si>
    <t>영업양수로인한 현금유출</t>
  </si>
  <si>
    <t>B12490</t>
  </si>
  <si>
    <t>통화스왑거래로인한현금유출</t>
  </si>
  <si>
    <t>B12500</t>
  </si>
  <si>
    <t>통화옵션거래로인한현금유출</t>
  </si>
  <si>
    <t>B12510</t>
  </si>
  <si>
    <t>당기손익인식금융자산의 취득</t>
  </si>
  <si>
    <t>B12520</t>
  </si>
  <si>
    <t>기타포괄손익인식금융자산의 취득</t>
  </si>
  <si>
    <t>B12530</t>
  </si>
  <si>
    <t>상각후원가인식금융자산의 취득</t>
  </si>
  <si>
    <t>B12550</t>
  </si>
  <si>
    <t>당기손익인식금융부채의 취득</t>
  </si>
  <si>
    <t>B12990</t>
  </si>
  <si>
    <t>기타투자유출</t>
  </si>
  <si>
    <t>C10000</t>
  </si>
  <si>
    <t>재무활동으로 인한 현금흐름</t>
  </si>
  <si>
    <t>C11000</t>
  </si>
  <si>
    <t>재무활동으로 인한 현금유입액</t>
  </si>
  <si>
    <t>C11010</t>
  </si>
  <si>
    <t>주식발행_보통주</t>
  </si>
  <si>
    <t>C11020</t>
  </si>
  <si>
    <t>주식발행_우선주</t>
  </si>
  <si>
    <t>C11030</t>
  </si>
  <si>
    <t>단기차입금의 차입</t>
  </si>
  <si>
    <t>C11040</t>
  </si>
  <si>
    <t>유동성장기부채의 증가</t>
  </si>
  <si>
    <t>C11050</t>
  </si>
  <si>
    <t>기타비유동장기부채의 증가</t>
  </si>
  <si>
    <t>C11060</t>
  </si>
  <si>
    <t>사채의 발행</t>
  </si>
  <si>
    <t>C11070</t>
  </si>
  <si>
    <t>장기차입금의 차입</t>
  </si>
  <si>
    <t>C11080</t>
  </si>
  <si>
    <t>장기성미지급금의 증가</t>
  </si>
  <si>
    <t>C11090</t>
  </si>
  <si>
    <t>유동화채무의 증가</t>
  </si>
  <si>
    <t>C11100</t>
  </si>
  <si>
    <t>C11110</t>
  </si>
  <si>
    <t>C11120</t>
  </si>
  <si>
    <t>자기주식의 처분</t>
  </si>
  <si>
    <t>C11130</t>
  </si>
  <si>
    <t>주식매입선택권의 행사</t>
  </si>
  <si>
    <t>C11140</t>
  </si>
  <si>
    <t>연결자본거래로 인한 현금유입액</t>
  </si>
  <si>
    <t>C11150</t>
  </si>
  <si>
    <t>소수주주지분의 변동</t>
  </si>
  <si>
    <t>C11160</t>
  </si>
  <si>
    <t>매각예정부채의 증가</t>
  </si>
  <si>
    <t>C11170</t>
  </si>
  <si>
    <t>금융리스부채의 증가</t>
  </si>
  <si>
    <t>C11180</t>
  </si>
  <si>
    <t>교환사채의 발행</t>
  </si>
  <si>
    <t>C11190</t>
  </si>
  <si>
    <t>신종자본증권의 발행</t>
  </si>
  <si>
    <t>C11200</t>
  </si>
  <si>
    <t>상환우선주의 발행</t>
  </si>
  <si>
    <t>C11990</t>
  </si>
  <si>
    <t>기타재무유입</t>
  </si>
  <si>
    <t>C12000</t>
  </si>
  <si>
    <t>재무활동으로 인한 현금유출액</t>
  </si>
  <si>
    <t>C12010</t>
  </si>
  <si>
    <t>단기차입금의 상환</t>
  </si>
  <si>
    <t>C12020</t>
  </si>
  <si>
    <t>유동성장기부채의 감소</t>
  </si>
  <si>
    <t>C12030</t>
  </si>
  <si>
    <t>기타비유동장기부채의 감소</t>
  </si>
  <si>
    <t>C12040</t>
  </si>
  <si>
    <t>사채의 상환</t>
  </si>
  <si>
    <t>C12050</t>
  </si>
  <si>
    <t>장기차입금의 상환</t>
  </si>
  <si>
    <t>C12060</t>
  </si>
  <si>
    <t>장기성미지급금의 상환</t>
  </si>
  <si>
    <t>C12070</t>
  </si>
  <si>
    <t>C12080</t>
  </si>
  <si>
    <t>C12090</t>
  </si>
  <si>
    <t>자기주식의 취득</t>
  </si>
  <si>
    <t>C12100</t>
  </si>
  <si>
    <t>자본금의 감소</t>
  </si>
  <si>
    <t>C12110</t>
  </si>
  <si>
    <t>상환우선주의 상환</t>
  </si>
  <si>
    <t>C12120</t>
  </si>
  <si>
    <t>배당금의 지급</t>
  </si>
  <si>
    <t>C12130</t>
  </si>
  <si>
    <t>연결자본거래로 인한 현금유출액</t>
  </si>
  <si>
    <t>C12140</t>
  </si>
  <si>
    <t>매각예정부채의 감소</t>
  </si>
  <si>
    <t>C12150</t>
  </si>
  <si>
    <t>금융리스부채의 감소</t>
  </si>
  <si>
    <t>C12160</t>
  </si>
  <si>
    <t>교환사채의 상환</t>
  </si>
  <si>
    <t>C12170</t>
  </si>
  <si>
    <t>신종자본증권의 상환</t>
  </si>
  <si>
    <t>C12990</t>
  </si>
  <si>
    <t>기타재무유출</t>
  </si>
  <si>
    <t>D10000</t>
  </si>
  <si>
    <t>외화환산으로 인한 현금의 변동</t>
  </si>
  <si>
    <t>D11000</t>
  </si>
  <si>
    <t>D11010</t>
  </si>
  <si>
    <t>외화환산으로 인한 현금의 변동(Value)</t>
  </si>
  <si>
    <t>E10000</t>
  </si>
  <si>
    <t>현금흐름표조정</t>
  </si>
  <si>
    <t>E11000</t>
  </si>
  <si>
    <t>E11010</t>
  </si>
  <si>
    <t>현금흐름표조정(Value)</t>
  </si>
  <si>
    <t>F10000</t>
  </si>
  <si>
    <t>현금의 증가</t>
  </si>
  <si>
    <t>G10000</t>
  </si>
  <si>
    <t>기초의 현금</t>
  </si>
  <si>
    <t>G11000</t>
  </si>
  <si>
    <t>G11010</t>
  </si>
  <si>
    <t>기초의 현금(Value)</t>
  </si>
  <si>
    <t>H10000</t>
  </si>
  <si>
    <t>기말의 현금</t>
  </si>
  <si>
    <t>H11000</t>
  </si>
  <si>
    <t>H11010</t>
  </si>
  <si>
    <t>기말의 현금(Value)</t>
  </si>
  <si>
    <t>I10000</t>
  </si>
  <si>
    <t>매각예정자산에 포함된 현금및현금성자산</t>
  </si>
  <si>
    <t>I11000</t>
  </si>
  <si>
    <t>I11010</t>
  </si>
  <si>
    <t>매각예정자산에 포함된 현금및현금성자산(Value)</t>
  </si>
  <si>
    <t>111111</t>
  </si>
  <si>
    <t>현금(외화)</t>
  </si>
  <si>
    <t>현금(원화)</t>
  </si>
  <si>
    <t>111131</t>
  </si>
  <si>
    <t>124500</t>
  </si>
  <si>
    <t>231100</t>
  </si>
  <si>
    <t>350100</t>
  </si>
  <si>
    <t>해외사업환산대</t>
  </si>
  <si>
    <t>해외사업환산차</t>
  </si>
  <si>
    <t>350560</t>
  </si>
  <si>
    <t>350630</t>
  </si>
  <si>
    <t>350900</t>
  </si>
  <si>
    <t>350910</t>
  </si>
  <si>
    <t>340100</t>
  </si>
  <si>
    <t>340300</t>
  </si>
  <si>
    <t>소송충당부채전입액</t>
  </si>
  <si>
    <t>공기구의 취득</t>
  </si>
  <si>
    <t>비품의 취득</t>
  </si>
  <si>
    <t>금형의 취득</t>
  </si>
  <si>
    <t>소트웨어의 취득</t>
  </si>
  <si>
    <t>CFSItemCod_Upload</t>
  </si>
  <si>
    <t>정산표 CODE</t>
  </si>
  <si>
    <t>A12400_1</t>
  </si>
  <si>
    <t>A12400_2</t>
  </si>
  <si>
    <t>B12300_1</t>
  </si>
  <si>
    <t>B12300_2</t>
  </si>
  <si>
    <t>B12300_3</t>
  </si>
  <si>
    <t>B12430_1</t>
  </si>
  <si>
    <t>B12430_2</t>
  </si>
  <si>
    <t>C12080_1</t>
  </si>
  <si>
    <t>C12080_2</t>
  </si>
  <si>
    <t>임차보증금의 증가</t>
  </si>
  <si>
    <t>임차보증금의 감소</t>
  </si>
  <si>
    <t>B11080_1</t>
  </si>
  <si>
    <t>B11080_2</t>
  </si>
  <si>
    <t>기타보증금의 감소</t>
  </si>
  <si>
    <t>공기구의 처분</t>
  </si>
  <si>
    <t>비품의 처분</t>
  </si>
  <si>
    <t>금형의 처분</t>
  </si>
  <si>
    <t>B11300_1</t>
  </si>
  <si>
    <t>B11300_2</t>
  </si>
  <si>
    <t>B11300_3</t>
  </si>
  <si>
    <t>소프트웨어의 처분</t>
  </si>
  <si>
    <t>B11410_1</t>
  </si>
  <si>
    <t>B11410_2</t>
  </si>
  <si>
    <t>SMMC JP Scope - in</t>
  </si>
  <si>
    <t>영업활동</t>
  </si>
  <si>
    <t>투자활동</t>
  </si>
  <si>
    <t>재무활동</t>
  </si>
  <si>
    <t>과               목</t>
  </si>
  <si>
    <t>Ⅰ.영업활동으로 인한 현금흐름</t>
  </si>
  <si>
    <t>1. 영업에서 창출된 현금흐름</t>
  </si>
  <si>
    <t> (2) 수익ㆍ비용의 조정</t>
  </si>
  <si>
    <t> (3) 영업활동으로 인한 자산ㆍ부채의 변동</t>
  </si>
  <si>
    <t>    기타채권의 감소(증가)</t>
  </si>
  <si>
    <t>    기타유동자산의 감소(증가)</t>
  </si>
  <si>
    <t>    기타유동부채의 증가(감소)</t>
  </si>
  <si>
    <t>    기타비유동부채의 증가(감소)</t>
  </si>
  <si>
    <t>2. 이자의 수취</t>
  </si>
  <si>
    <t>3. 이자의 지급</t>
  </si>
  <si>
    <t>4. 법인세의 납부</t>
  </si>
  <si>
    <t>Ⅱ.투자활동으로 인한 현금흐름</t>
  </si>
  <si>
    <t> (1) 투자활동으로 인한 현금유입액</t>
  </si>
  <si>
    <t> (2) 투자활동으로인한 현금유출액</t>
  </si>
  <si>
    <t>Ⅲ.재무활동으로 인한 현금흐름</t>
  </si>
  <si>
    <t> (1) 재무활동으로 인한 현금유입액</t>
  </si>
  <si>
    <t>      유상증자</t>
  </si>
  <si>
    <t> (2) 재무활동으로 인한 현금유출액</t>
  </si>
  <si>
    <t>      자기주식의 취득</t>
  </si>
  <si>
    <t>Ⅳ.현금및현금성자산의 증가(Ⅰ+Ⅱ+Ⅲ)</t>
  </si>
  <si>
    <t>Ⅴ.기초의 현금및현금성자산</t>
  </si>
  <si>
    <t>Ⅵ.외화표시 현금및현금성자산의 환율변동효과</t>
  </si>
  <si>
    <t>Ⅶ.기말의 현금및현금성자산</t>
  </si>
  <si>
    <t>반품충당부채전입액</t>
  </si>
  <si>
    <t>판매보증충당부채전입액</t>
  </si>
  <si>
    <t>대손상각비(환입액)</t>
  </si>
  <si>
    <t>복구충당부채전입액(환입액)</t>
  </si>
  <si>
    <t>당기손익-공정가치측정 금융자산평가이익</t>
  </si>
  <si>
    <t>당기손익-공정가치측정 금융자산처분이익</t>
  </si>
  <si>
    <t>당기손익-공정가치측정 금융자산평가손실</t>
  </si>
  <si>
    <t>(3) 영업활동으로 인한 자산ㆍ부채의 변동</t>
  </si>
  <si>
    <t>매출채권의 증가</t>
  </si>
  <si>
    <t>기타채권의 감소(증가)</t>
  </si>
  <si>
    <t>기타유동자산의 감소(증가)</t>
  </si>
  <si>
    <t>재고자산의 증가</t>
  </si>
  <si>
    <t>매입채무의 증가</t>
  </si>
  <si>
    <t>기타채무의 감소</t>
  </si>
  <si>
    <t>기타유동부채의 증가(감소)</t>
  </si>
  <si>
    <t>기타비유동부채의 증가(감소)</t>
  </si>
  <si>
    <t>순확정급여부채의 감소</t>
  </si>
  <si>
    <t>(1) 투자활동으로 인한 현금유입액</t>
  </si>
  <si>
    <t>단기대여금의 감소</t>
  </si>
  <si>
    <t>당기손익-공정가치측정 금융자산의 감소</t>
  </si>
  <si>
    <t>유형자산의 처분</t>
  </si>
  <si>
    <t>무형자산의 처분</t>
  </si>
  <si>
    <t>합병으로 인한 현금유입액</t>
  </si>
  <si>
    <t>(2) 투자활동으로인한 현금유출액</t>
  </si>
  <si>
    <t>당기손익인식금융자산의 증가</t>
  </si>
  <si>
    <t>당기손익-공정가치측정 금융자산의 증가</t>
  </si>
  <si>
    <t>유형자산의 취득</t>
  </si>
  <si>
    <t>무형자산의 취득</t>
  </si>
  <si>
    <t>(1) 재무활동으로 인한 현금유입액</t>
  </si>
  <si>
    <t>(2) 재무활동으로 인한 현금유출액</t>
  </si>
  <si>
    <t>A12400_3</t>
  </si>
  <si>
    <t>A12400_4</t>
  </si>
  <si>
    <t>당기손익-공정가치측정 금융자산처분손실</t>
  </si>
  <si>
    <t>Scope조정</t>
  </si>
  <si>
    <t>연결NI조정</t>
  </si>
  <si>
    <t>내부거래조정</t>
  </si>
  <si>
    <t>Event조정</t>
  </si>
  <si>
    <t>Etc</t>
  </si>
  <si>
    <t>Scope 조정</t>
  </si>
  <si>
    <t>연결 TB</t>
  </si>
  <si>
    <t>조정</t>
  </si>
  <si>
    <t>CF_기초현금</t>
  </si>
  <si>
    <t>내역</t>
  </si>
  <si>
    <t>금액</t>
  </si>
  <si>
    <t>1.0. 기초현금</t>
  </si>
  <si>
    <t>2.0. 기말현금</t>
  </si>
  <si>
    <t>연결NI 조정</t>
  </si>
  <si>
    <t>1.0. 공정가조정</t>
  </si>
  <si>
    <t>조정합계</t>
  </si>
  <si>
    <t>연결CF</t>
  </si>
  <si>
    <t>Event 조정</t>
  </si>
  <si>
    <t>1.0. 채권채무조정</t>
  </si>
  <si>
    <t>2.0. 수익비용조정</t>
  </si>
  <si>
    <t>2.0. 미실현손익</t>
  </si>
  <si>
    <t>3.0. 자금거래조정</t>
  </si>
  <si>
    <t>From</t>
  </si>
  <si>
    <t>To</t>
  </si>
  <si>
    <t>관계기업투자주식처분이익</t>
  </si>
  <si>
    <t>기타보증금의 증가</t>
  </si>
  <si>
    <t>사업양수에 따른 지급</t>
  </si>
  <si>
    <t>종속기업 취득에 따른 순현금흐름</t>
  </si>
  <si>
    <t>      단기차입금의 상환</t>
  </si>
  <si>
    <t>과                        목</t>
  </si>
  <si>
    <t>(2) 수익ㆍ비용의 조정</t>
  </si>
  <si>
    <t>회계연도</t>
  </si>
  <si>
    <t>전기기간</t>
  </si>
  <si>
    <t>연결단위</t>
  </si>
  <si>
    <t>CFSItemCod</t>
  </si>
  <si>
    <t>현지통화</t>
  </si>
  <si>
    <t>T198</t>
    <phoneticPr fontId="5" type="noConversion"/>
  </si>
  <si>
    <t>KRW</t>
    <phoneticPr fontId="5" type="noConversion"/>
  </si>
  <si>
    <t>현금의 유출이 없는 비용등의 가산</t>
    <phoneticPr fontId="5" type="noConversion"/>
  </si>
  <si>
    <t>A12080</t>
  </si>
  <si>
    <t>매도가능증권처분손실</t>
  </si>
  <si>
    <t>A12090</t>
  </si>
  <si>
    <t>매도가능증권손상차손</t>
  </si>
  <si>
    <t>부채성충당금전입액</t>
  </si>
  <si>
    <t>A12520</t>
    <phoneticPr fontId="5" type="noConversion"/>
  </si>
  <si>
    <t>확정계약평가손실</t>
    <phoneticPr fontId="5" type="noConversion"/>
  </si>
  <si>
    <t>기타 현금의 유출이 없는 비용등</t>
  </si>
  <si>
    <t>A13040</t>
  </si>
  <si>
    <t>매도가능증권처분이익</t>
  </si>
  <si>
    <t>A13050</t>
  </si>
  <si>
    <t>매도가능증권손상차손환입</t>
  </si>
  <si>
    <t>A13390</t>
    <phoneticPr fontId="5" type="noConversion"/>
  </si>
  <si>
    <t>배당수익</t>
    <phoneticPr fontId="5" type="noConversion"/>
  </si>
  <si>
    <t>A13400</t>
    <phoneticPr fontId="5" type="noConversion"/>
  </si>
  <si>
    <t>기타 현금의 유입이 없는 수익등</t>
  </si>
  <si>
    <t>영업활동으로 인한 자산부채의 변동</t>
    <phoneticPr fontId="5" type="noConversion"/>
  </si>
  <si>
    <t>단기매매증권의 감소(증가)</t>
  </si>
  <si>
    <t>A14420</t>
    <phoneticPr fontId="5" type="noConversion"/>
  </si>
  <si>
    <t>영업활동 관련 파생상품의 감소(증가)</t>
    <phoneticPr fontId="5" type="noConversion"/>
  </si>
  <si>
    <t>A14430</t>
    <phoneticPr fontId="5" type="noConversion"/>
  </si>
  <si>
    <t>차량운반구(영업활동용)의 취득</t>
    <phoneticPr fontId="5" type="noConversion"/>
  </si>
  <si>
    <t>A14440</t>
    <phoneticPr fontId="5" type="noConversion"/>
  </si>
  <si>
    <t>차량운반구(영업활동용)의 처분</t>
    <phoneticPr fontId="5" type="noConversion"/>
  </si>
  <si>
    <t>B11120</t>
    <phoneticPr fontId="5" type="noConversion"/>
  </si>
  <si>
    <t>B11130</t>
  </si>
  <si>
    <t>매도가능증권의 처분</t>
  </si>
  <si>
    <t>관계기업투자주식의 처분</t>
  </si>
  <si>
    <t>공기구비품의 처분</t>
  </si>
  <si>
    <t>B12120</t>
    <phoneticPr fontId="5" type="noConversion"/>
  </si>
  <si>
    <t>B12130</t>
  </si>
  <si>
    <t>매도가능증권의 취득</t>
  </si>
  <si>
    <t>관계기업투자주식의 취득</t>
  </si>
  <si>
    <t>공기구비품의 취득</t>
  </si>
  <si>
    <t>선급금-고정자산</t>
  </si>
  <si>
    <t>C11190</t>
    <phoneticPr fontId="5" type="noConversion"/>
  </si>
  <si>
    <t>신종자본증권의 발행</t>
    <phoneticPr fontId="5" type="noConversion"/>
  </si>
  <si>
    <t>배당의 지급</t>
  </si>
  <si>
    <t>C12170</t>
    <phoneticPr fontId="5" type="noConversion"/>
  </si>
  <si>
    <t>신종자본증권의 상환</t>
    <phoneticPr fontId="5" type="noConversion"/>
  </si>
  <si>
    <t>중단사업관련 현금흐름</t>
  </si>
  <si>
    <t>중단사업관련 현금흐름(Value)</t>
  </si>
  <si>
    <t>DIFF'</t>
  </si>
  <si>
    <t>Upload</t>
  </si>
  <si>
    <t>LocalAmount</t>
  </si>
  <si>
    <t>2018년 중 관계기업에서 종속기업으로 / 2019년 3월 1일자로 드림어스컴퍼니에 흡수합병됨</t>
  </si>
  <si>
    <t>아이리버 &gt; LDC 하향판매</t>
  </si>
  <si>
    <t>그루버스합병</t>
  </si>
  <si>
    <t>NEW</t>
  </si>
  <si>
    <t>224000</t>
  </si>
  <si>
    <t>미지급비용현재가치할인차금</t>
  </si>
  <si>
    <t>매입채무및기타채무(비유동)</t>
  </si>
  <si>
    <t>미지급비용(비유동_원화)</t>
  </si>
  <si>
    <t>미지급비용(비유동)현재가치할인차금</t>
  </si>
  <si>
    <t>231710</t>
  </si>
  <si>
    <t>231800</t>
  </si>
  <si>
    <t>410270</t>
  </si>
  <si>
    <t>반품추정매출</t>
  </si>
  <si>
    <t>733900</t>
  </si>
  <si>
    <t>622500</t>
  </si>
  <si>
    <t>732920</t>
  </si>
  <si>
    <t>단기차입금(외화)</t>
  </si>
  <si>
    <t>단기대여금(외화)</t>
  </si>
  <si>
    <t>기부금</t>
  </si>
  <si>
    <t>거래처코드</t>
  </si>
  <si>
    <t>거래처명</t>
  </si>
  <si>
    <t>계정코드</t>
  </si>
  <si>
    <t>사업자등록번호</t>
  </si>
  <si>
    <t>전일잔액</t>
  </si>
  <si>
    <t>차변금액</t>
  </si>
  <si>
    <t>대변금액</t>
  </si>
  <si>
    <t>당일잔액</t>
  </si>
  <si>
    <t>00314</t>
  </si>
  <si>
    <t>112900</t>
  </si>
  <si>
    <t>220-81-77868</t>
  </si>
  <si>
    <t>01640</t>
  </si>
  <si>
    <t>Iriver Enterprise Limited</t>
  </si>
  <si>
    <t>111731</t>
  </si>
  <si>
    <t>--</t>
  </si>
  <si>
    <t>01750</t>
  </si>
  <si>
    <t>IRIVER CHINA CO.,LTD</t>
  </si>
  <si>
    <t>211121</t>
  </si>
  <si>
    <t>111-11-11111</t>
  </si>
  <si>
    <t>01751</t>
  </si>
  <si>
    <t>213150</t>
  </si>
  <si>
    <t>410130</t>
  </si>
  <si>
    <t>410140</t>
  </si>
  <si>
    <t>410240</t>
  </si>
  <si>
    <t>410241</t>
  </si>
  <si>
    <t>A08002</t>
  </si>
  <si>
    <t>Groovers Japan</t>
  </si>
  <si>
    <t>111711</t>
  </si>
  <si>
    <t>112113</t>
  </si>
  <si>
    <t>A09021</t>
  </si>
  <si>
    <t>e</t>
  </si>
  <si>
    <t>v1.0</t>
  </si>
  <si>
    <t>7/3/2019</t>
  </si>
  <si>
    <t>아이리버</t>
  </si>
  <si>
    <t>c/p</t>
  </si>
  <si>
    <t>미수금(외화)</t>
  </si>
  <si>
    <t>해외사업환산차대 변동</t>
  </si>
  <si>
    <t>장기미지급비용</t>
  </si>
  <si>
    <t>사용권자산(건물_감가상각누계액)</t>
  </si>
  <si>
    <t>사용권자산(차량운반구_감가상각누계액)</t>
  </si>
  <si>
    <t>유동성리스부채</t>
  </si>
  <si>
    <t>리스부채</t>
  </si>
  <si>
    <t>자본조정-주식선택권</t>
  </si>
  <si>
    <t>부가가치세_매입</t>
  </si>
  <si>
    <t>부가가치세_매출</t>
  </si>
  <si>
    <t>기부금-기타기부금</t>
  </si>
  <si>
    <t>감가상각비(사용권자산_건물)</t>
  </si>
  <si>
    <t>감가상각비(사용권자산_차량운반구)</t>
  </si>
  <si>
    <t>이자비용(유동리스부채)</t>
  </si>
  <si>
    <t>그루버스_미실현손익 실현</t>
  </si>
  <si>
    <t>2018년 장부로 fix</t>
  </si>
  <si>
    <t>2018년 말 까지 환산한 결과 장부가액을 기준으로 잔여 내용연수 동안 상각 (KRW FIX)</t>
  </si>
  <si>
    <t>자본변동상세내역</t>
  </si>
  <si>
    <t>주식선택권의 행사</t>
  </si>
  <si>
    <t>주식선택권의 소멸</t>
  </si>
  <si>
    <t>자기주식의 취득/처분</t>
  </si>
  <si>
    <t>전환사채의 전환</t>
  </si>
  <si>
    <t>사업결합</t>
  </si>
  <si>
    <t>해외사업환산</t>
  </si>
  <si>
    <t>연결순이익</t>
  </si>
  <si>
    <t>배당금의지급</t>
  </si>
  <si>
    <t>기타포괄손익-재측정손익</t>
  </si>
  <si>
    <t>기타포괄손익-공정가치 측정 금융자산의 처분</t>
  </si>
  <si>
    <t>취득/처분</t>
  </si>
  <si>
    <t>사업결합 등</t>
  </si>
  <si>
    <t>2018.12.31</t>
  </si>
  <si>
    <t>별도</t>
  </si>
  <si>
    <t>Reclass</t>
  </si>
  <si>
    <t>기초조정</t>
  </si>
  <si>
    <t>취득</t>
  </si>
  <si>
    <t>처분</t>
  </si>
  <si>
    <t>지분법NI</t>
  </si>
  <si>
    <t>해외사업환산손익</t>
  </si>
  <si>
    <t>지분변동차액</t>
  </si>
  <si>
    <t>배당</t>
  </si>
  <si>
    <t>Other</t>
  </si>
  <si>
    <t>투자자본상계</t>
  </si>
  <si>
    <t>별도_그루버스</t>
  </si>
  <si>
    <t>별도_영업양수</t>
  </si>
  <si>
    <t>Val.</t>
  </si>
  <si>
    <t>change.</t>
  </si>
  <si>
    <t>지배기업주식보상비용</t>
  </si>
  <si>
    <t>해외사업</t>
  </si>
  <si>
    <t>연결당기순이익</t>
  </si>
  <si>
    <t>검증</t>
  </si>
  <si>
    <t>과     목</t>
  </si>
  <si>
    <t>지배기업 소유주지분</t>
  </si>
  <si>
    <t>비지배지분</t>
  </si>
  <si>
    <t>자 본 금</t>
  </si>
  <si>
    <t>결손금</t>
  </si>
  <si>
    <t>소계</t>
  </si>
  <si>
    <t>CF_기말현금</t>
  </si>
  <si>
    <t>매출채권및기타채권_유동</t>
  </si>
  <si>
    <t>매출채권및기타채권_비유동</t>
  </si>
  <si>
    <t>리스부채_유동</t>
  </si>
  <si>
    <t>당기법인세부채</t>
  </si>
  <si>
    <t>기타비유동부채</t>
  </si>
  <si>
    <t>리스부채_비유동</t>
  </si>
  <si>
    <t>이연법인세부채_비유동</t>
  </si>
  <si>
    <t>FSC</t>
    <phoneticPr fontId="18" type="noConversion"/>
  </si>
  <si>
    <t>I. 유동자산</t>
  </si>
  <si>
    <t>매출채권및기타채권_유동</t>
    <phoneticPr fontId="18" type="noConversion"/>
  </si>
  <si>
    <t>II. 비유동자산</t>
  </si>
  <si>
    <t>매출채권및기타채권_비유동</t>
    <phoneticPr fontId="18" type="noConversion"/>
  </si>
  <si>
    <t>I. 유동부채</t>
  </si>
  <si>
    <t>리스부채_유동</t>
    <phoneticPr fontId="18" type="noConversion"/>
  </si>
  <si>
    <t>리스부채</t>
    <phoneticPr fontId="18" type="noConversion"/>
  </si>
  <si>
    <t>II. 비유동부채</t>
  </si>
  <si>
    <t>리스부채_비유동</t>
    <phoneticPr fontId="18" type="noConversion"/>
  </si>
  <si>
    <t>지배기업소유주에 귀속되는 자본</t>
  </si>
  <si>
    <t>차대검증</t>
    <phoneticPr fontId="18" type="noConversion"/>
  </si>
  <si>
    <t>T_BS 검증</t>
    <phoneticPr fontId="18" type="noConversion"/>
  </si>
  <si>
    <t>주석</t>
  </si>
  <si>
    <t>Ⅰ.매출액</t>
  </si>
  <si>
    <t>Ⅱ.매출원가</t>
  </si>
  <si>
    <t>Ⅲ.매출총이익</t>
  </si>
  <si>
    <t>Ⅳ.영업이익(손실)</t>
  </si>
  <si>
    <t>기타영업외비용</t>
    <phoneticPr fontId="18" type="noConversion"/>
  </si>
  <si>
    <t>Ⅴ.법인세비용차감전순이익(손실)</t>
  </si>
  <si>
    <t>VII. 기타포괄손익</t>
  </si>
  <si>
    <t>VIII. 총포괄이익(손실)</t>
  </si>
  <si>
    <t>IX. 주당손익</t>
  </si>
  <si>
    <t>T_IS 검증</t>
    <phoneticPr fontId="18" type="noConversion"/>
  </si>
  <si>
    <t>732910</t>
  </si>
  <si>
    <t>전환사채 전환으로 인한 신주발행비</t>
  </si>
  <si>
    <t>유형자산감액손실</t>
  </si>
  <si>
    <t>기타비유동자산의 감소(증가)</t>
  </si>
  <si>
    <t>매출원가포함 상각비</t>
  </si>
  <si>
    <t>매출원가포함</t>
  </si>
  <si>
    <t>    기타비유동자산의 감소(증가)</t>
  </si>
  <si>
    <t>리스부채의 원금상환</t>
  </si>
  <si>
    <t>      기타재무유출</t>
  </si>
  <si>
    <t>기타유동자산의 증가</t>
  </si>
  <si>
    <t>B12080_1</t>
  </si>
  <si>
    <t>임대보증금의 감소</t>
  </si>
  <si>
    <t>사용금지</t>
  </si>
  <si>
    <t>단기리스료</t>
  </si>
  <si>
    <t>소액리스료</t>
  </si>
  <si>
    <t>111901</t>
  </si>
  <si>
    <t>감자</t>
  </si>
  <si>
    <t>선급금(원화_공연기획)</t>
  </si>
  <si>
    <t>선급금(외화_금형)</t>
  </si>
  <si>
    <t>외상매출금(외화_비유동)</t>
  </si>
  <si>
    <t>대손충당금(외상매출금_외화_비유동)</t>
  </si>
  <si>
    <t>장기대여금(외화)</t>
  </si>
  <si>
    <t>임대보증금(비유동)</t>
  </si>
  <si>
    <t>종속기업투자주식처분이익</t>
  </si>
  <si>
    <t>미국법인매각</t>
  </si>
  <si>
    <t>매각대가</t>
  </si>
  <si>
    <t>순자산</t>
  </si>
  <si>
    <t>해외사업환산차대</t>
  </si>
  <si>
    <t>처분이익</t>
  </si>
  <si>
    <t>Change in FY2019 Q3</t>
  </si>
  <si>
    <t>2019 3Q</t>
  </si>
  <si>
    <t>비유동외화외상매출금</t>
  </si>
  <si>
    <t>비유동외화대손충당금(매출채권)</t>
  </si>
  <si>
    <t>712800_1</t>
  </si>
  <si>
    <t>통화</t>
  </si>
  <si>
    <t>기초잔액</t>
  </si>
  <si>
    <t>대손상각비(환율효과)</t>
  </si>
  <si>
    <t>당기제각</t>
  </si>
  <si>
    <t>환입(회수)</t>
  </si>
  <si>
    <t>환입(채무상계)</t>
  </si>
  <si>
    <t>유동성대체</t>
  </si>
  <si>
    <t>원화</t>
  </si>
  <si>
    <t>유동</t>
  </si>
  <si>
    <t>비유동</t>
  </si>
  <si>
    <t>합</t>
  </si>
  <si>
    <t>외화</t>
  </si>
  <si>
    <t>처분손실</t>
  </si>
  <si>
    <t>처분이익(손실)</t>
  </si>
  <si>
    <t>연결기준 대손충당금 변동</t>
  </si>
  <si>
    <t>채무면제 후 순자산(채무면제이익반영 후)</t>
  </si>
  <si>
    <t>* 매각시점 B/S</t>
  </si>
  <si>
    <t>채무</t>
  </si>
  <si>
    <t>순자산(채무면제이익)</t>
  </si>
  <si>
    <t>당기대손상각비(환입)</t>
  </si>
  <si>
    <t>제각(상계)</t>
  </si>
  <si>
    <t>3.0. 투자주식 관련</t>
  </si>
  <si>
    <t>종속기업 처분에 따른 순현금흐름</t>
  </si>
  <si>
    <t>관계기업투자주식처분손실</t>
  </si>
  <si>
    <t>종속기업투자주식처분손실</t>
  </si>
  <si>
    <t>환율차이조정</t>
  </si>
  <si>
    <t>소송충당부채전입액(환입액)</t>
  </si>
  <si>
    <t>기타유동금융자산의 증가</t>
  </si>
  <si>
    <t>미국법인 B/S</t>
  </si>
  <si>
    <t>당기손익인식금융자산-기타</t>
  </si>
  <si>
    <t>2019년 말</t>
  </si>
  <si>
    <t>2019년 중 매각</t>
  </si>
  <si>
    <t>2019년 12월 중 LDG에 합병</t>
  </si>
  <si>
    <t>비영업용자산</t>
  </si>
  <si>
    <t>이자발생부채</t>
  </si>
  <si>
    <t>고객관계무형자산</t>
  </si>
  <si>
    <t>비교대상장부가액</t>
  </si>
  <si>
    <t>Change in FY2019 Q4</t>
  </si>
  <si>
    <t>손상</t>
  </si>
  <si>
    <t>112112</t>
  </si>
  <si>
    <t>214999</t>
  </si>
  <si>
    <t>214998</t>
  </si>
  <si>
    <t>선수수익(외화_기타)</t>
  </si>
  <si>
    <t>선수수익(원화_기타)</t>
  </si>
  <si>
    <t>733260</t>
  </si>
  <si>
    <t>2019.12.31</t>
  </si>
  <si>
    <t>손상차손</t>
  </si>
  <si>
    <t>:</t>
  </si>
  <si>
    <t>별도 - 미국법인 대손 충당금 변동(3분기)</t>
  </si>
  <si>
    <t>별도 - 미국법인 대손 충당금 변동(4분기)</t>
  </si>
  <si>
    <t>전기말 현재 미실현 대손충당금 R/F</t>
  </si>
  <si>
    <t>당기 연결실체 내부거래로 인식한 대손상각비를 취소</t>
  </si>
  <si>
    <t>미국법인의 채무면제이익 처분손익 반영</t>
  </si>
  <si>
    <t>diff</t>
  </si>
  <si>
    <t>회수가능가액</t>
  </si>
  <si>
    <t>비교대상장부가액 : 12/31/2019 (LDC only)</t>
  </si>
  <si>
    <t>410260</t>
  </si>
  <si>
    <t>상품매출할인및에누리(수출)</t>
  </si>
  <si>
    <t>제거 대상</t>
  </si>
  <si>
    <t>영업권손상차손</t>
  </si>
  <si>
    <t>A12600_1</t>
  </si>
  <si>
    <t>기타의대손상각비(환입액)</t>
  </si>
  <si>
    <t>FY2018</t>
  </si>
  <si>
    <t>(1) 당기순이익(손실)</t>
  </si>
  <si>
    <t>      단기차입금의 차입</t>
  </si>
  <si>
    <t>계정과목</t>
    <phoneticPr fontId="21" type="noConversion"/>
  </si>
  <si>
    <t>현금및현금성자산(LDC only)</t>
  </si>
  <si>
    <t>순자산(LDC only)</t>
  </si>
  <si>
    <t>LDC 결산 후</t>
  </si>
  <si>
    <t>영업가치(평가보고서 민감도분석)</t>
  </si>
  <si>
    <t>121805**</t>
  </si>
  <si>
    <t>장기미수금</t>
  </si>
  <si>
    <t>기타비유동채권의 감소(증가)</t>
  </si>
  <si>
    <t xml:space="preserve">    기타비유동채권의 감소(증가)</t>
  </si>
  <si>
    <t>미수금(원화_금융자산)</t>
  </si>
  <si>
    <t>대손충당금(미수금)</t>
  </si>
  <si>
    <t>종속기업 및 관계기업 투자 관련 손익</t>
  </si>
  <si>
    <t>Ⅵ.당기순이익(손실)</t>
    <phoneticPr fontId="21" type="noConversion"/>
  </si>
  <si>
    <t>장기선급금</t>
  </si>
  <si>
    <t>AC</t>
    <phoneticPr fontId="21" type="noConversion"/>
  </si>
  <si>
    <t>코드</t>
    <phoneticPr fontId="21" type="noConversion"/>
  </si>
  <si>
    <t>Dr.</t>
    <phoneticPr fontId="21" type="noConversion"/>
  </si>
  <si>
    <t>Cr.</t>
    <phoneticPr fontId="21" type="noConversion"/>
  </si>
  <si>
    <t>320300</t>
    <phoneticPr fontId="21" type="noConversion"/>
  </si>
  <si>
    <t>350951</t>
    <phoneticPr fontId="21" type="noConversion"/>
  </si>
  <si>
    <t>340100</t>
    <phoneticPr fontId="21" type="noConversion"/>
  </si>
  <si>
    <t>115200</t>
    <phoneticPr fontId="21" type="noConversion"/>
  </si>
  <si>
    <t>111731</t>
    <phoneticPr fontId="21" type="noConversion"/>
  </si>
  <si>
    <t>121800</t>
    <phoneticPr fontId="21" type="noConversion"/>
  </si>
  <si>
    <t>112113</t>
    <phoneticPr fontId="21" type="noConversion"/>
  </si>
  <si>
    <t>계정대체</t>
    <phoneticPr fontId="21" type="noConversion"/>
  </si>
  <si>
    <t>코드</t>
    <phoneticPr fontId="21" type="noConversion"/>
  </si>
  <si>
    <t>비고</t>
    <phoneticPr fontId="21" type="noConversion"/>
  </si>
  <si>
    <t>내부거래</t>
    <phoneticPr fontId="21" type="noConversion"/>
  </si>
  <si>
    <t>Ent 투자자본 상계</t>
    <phoneticPr fontId="21" type="noConversion"/>
  </si>
  <si>
    <t>LDC 투자자본 상계</t>
    <phoneticPr fontId="21" type="noConversion"/>
  </si>
  <si>
    <t>영업권</t>
    <phoneticPr fontId="21" type="noConversion"/>
  </si>
  <si>
    <t>최초</t>
    <phoneticPr fontId="21" type="noConversion"/>
  </si>
  <si>
    <t>17년 상각</t>
    <phoneticPr fontId="21" type="noConversion"/>
  </si>
  <si>
    <t>18년 상각</t>
    <phoneticPr fontId="21" type="noConversion"/>
  </si>
  <si>
    <t>18년 해외환산</t>
    <phoneticPr fontId="21" type="noConversion"/>
  </si>
  <si>
    <t>19년 해외환산</t>
    <phoneticPr fontId="21" type="noConversion"/>
  </si>
  <si>
    <t>19년 손상</t>
    <phoneticPr fontId="21" type="noConversion"/>
  </si>
  <si>
    <t>19년 손상 취소</t>
    <phoneticPr fontId="21" type="noConversion"/>
  </si>
  <si>
    <t>순자산</t>
    <phoneticPr fontId="21" type="noConversion"/>
  </si>
  <si>
    <t>순서</t>
    <phoneticPr fontId="21" type="noConversion"/>
  </si>
  <si>
    <t>x</t>
    <phoneticPr fontId="21" type="noConversion"/>
  </si>
  <si>
    <t>부채</t>
    <phoneticPr fontId="21" type="noConversion"/>
  </si>
  <si>
    <t>자본</t>
    <phoneticPr fontId="21" type="noConversion"/>
  </si>
  <si>
    <t>수익</t>
    <phoneticPr fontId="21" type="noConversion"/>
  </si>
  <si>
    <t>1,5,8,</t>
  </si>
  <si>
    <t>1,5,8,</t>
    <phoneticPr fontId="21" type="noConversion"/>
  </si>
  <si>
    <t>자산</t>
    <phoneticPr fontId="21" type="noConversion"/>
  </si>
  <si>
    <t>기초</t>
    <phoneticPr fontId="21" type="noConversion"/>
  </si>
  <si>
    <t>변동</t>
    <phoneticPr fontId="21" type="noConversion"/>
  </si>
  <si>
    <t>FSC</t>
    <phoneticPr fontId="21" type="noConversion"/>
  </si>
  <si>
    <t>미수수익(원화)</t>
  </si>
  <si>
    <t>미수수익(외화)</t>
  </si>
  <si>
    <t>변경</t>
    <phoneticPr fontId="21" type="noConversion"/>
  </si>
  <si>
    <t>선수금(원화_음반)</t>
  </si>
  <si>
    <t>선수금(원화_CMD)</t>
  </si>
  <si>
    <t>선수금(원화_디바이스)</t>
  </si>
  <si>
    <t>선수금(외화_디바이스)</t>
  </si>
  <si>
    <t>선수금(원화_FLO)</t>
  </si>
  <si>
    <t>900020</t>
  </si>
  <si>
    <t>종속기업투자주식손상누계액</t>
  </si>
  <si>
    <t>630000-1</t>
  </si>
  <si>
    <t>630000-1</t>
    <phoneticPr fontId="21" type="noConversion"/>
  </si>
  <si>
    <t>630000-2</t>
  </si>
  <si>
    <t>630000-2</t>
    <phoneticPr fontId="21" type="noConversion"/>
  </si>
  <si>
    <t>단기, 소액 리스 대체</t>
    <phoneticPr fontId="21" type="noConversion"/>
  </si>
  <si>
    <t>[별도]</t>
    <phoneticPr fontId="21" type="noConversion"/>
  </si>
  <si>
    <t>개발중인자산</t>
  </si>
  <si>
    <t>외상매입금(원화_추정_FLO 매출)</t>
  </si>
  <si>
    <t>유형자산처분이익</t>
    <phoneticPr fontId="21" type="noConversion"/>
  </si>
  <si>
    <t>무형자산처분이익</t>
    <phoneticPr fontId="21" type="noConversion"/>
  </si>
  <si>
    <t>채무면제이익</t>
    <phoneticPr fontId="21" type="noConversion"/>
  </si>
  <si>
    <t>잡이익</t>
    <phoneticPr fontId="21" type="noConversion"/>
  </si>
  <si>
    <t>무형자산평가손실(손상차손)</t>
    <phoneticPr fontId="21" type="noConversion"/>
  </si>
  <si>
    <t>유형자산처분손실</t>
    <phoneticPr fontId="21" type="noConversion"/>
  </si>
  <si>
    <t>유형자산폐기손실</t>
    <phoneticPr fontId="21" type="noConversion"/>
  </si>
  <si>
    <t>소송충당부채전입액</t>
    <phoneticPr fontId="21" type="noConversion"/>
  </si>
  <si>
    <t>잡손실</t>
    <phoneticPr fontId="21" type="noConversion"/>
  </si>
  <si>
    <t>214363</t>
  </si>
  <si>
    <t>선수금(원화_공연사업)</t>
  </si>
  <si>
    <t>214364</t>
  </si>
  <si>
    <t>112539</t>
  </si>
  <si>
    <t>선급금(외화_공연기획)</t>
  </si>
  <si>
    <t>미지급부가세</t>
  </si>
  <si>
    <t>조정전</t>
    <phoneticPr fontId="21" type="noConversion"/>
  </si>
  <si>
    <t>2020 1Q</t>
    <phoneticPr fontId="21" type="noConversion"/>
  </si>
  <si>
    <t>드림어스</t>
    <phoneticPr fontId="21" type="noConversion"/>
  </si>
  <si>
    <t>부가세예수금</t>
    <phoneticPr fontId="21" type="noConversion"/>
  </si>
  <si>
    <t>미수부가세</t>
    <phoneticPr fontId="21" type="noConversion"/>
  </si>
  <si>
    <t>미지급부가세</t>
    <phoneticPr fontId="21" type="noConversion"/>
  </si>
  <si>
    <t>부가세 대급금/예수금 상계</t>
    <phoneticPr fontId="21" type="noConversion"/>
  </si>
  <si>
    <t>Change in FY2020 Q1</t>
    <phoneticPr fontId="21" type="noConversion"/>
  </si>
  <si>
    <t>2020.03.31</t>
    <phoneticPr fontId="21" type="noConversion"/>
  </si>
  <si>
    <t>미수수익(외화)</t>
    <phoneticPr fontId="21" type="noConversion"/>
  </si>
  <si>
    <t>참고사항</t>
    <phoneticPr fontId="21" type="noConversion"/>
  </si>
  <si>
    <t>Update 완료</t>
    <phoneticPr fontId="21" type="noConversion"/>
  </si>
  <si>
    <t>Update 예정</t>
    <phoneticPr fontId="21" type="noConversion"/>
  </si>
  <si>
    <t>재무정보 in Local Currency / KRW</t>
  </si>
  <si>
    <t>Reporting date</t>
  </si>
  <si>
    <t>Currency</t>
  </si>
  <si>
    <t>2102</t>
  </si>
  <si>
    <t>2109</t>
  </si>
  <si>
    <t>3408</t>
  </si>
  <si>
    <t>기타수익</t>
    <phoneticPr fontId="21" type="noConversion"/>
  </si>
  <si>
    <t>추가</t>
  </si>
  <si>
    <t>대여금(외화)</t>
  </si>
  <si>
    <t>임차보증금(비유동_전신가입)</t>
  </si>
  <si>
    <t>임차보증금(비유동_현할차)</t>
  </si>
  <si>
    <t>투자주식처분손실</t>
  </si>
  <si>
    <t>복구충당부채전입액</t>
    <phoneticPr fontId="21" type="noConversion"/>
  </si>
  <si>
    <t>잡이익_리스해지관련</t>
    <phoneticPr fontId="21" type="noConversion"/>
  </si>
  <si>
    <t>    기타수익</t>
  </si>
  <si>
    <t>FY2020</t>
    <phoneticPr fontId="21" type="noConversion"/>
  </si>
  <si>
    <t>회원권</t>
    <phoneticPr fontId="21" type="noConversion"/>
  </si>
  <si>
    <t>회원권</t>
    <phoneticPr fontId="21" type="noConversion"/>
  </si>
  <si>
    <t>T198</t>
    <phoneticPr fontId="21" type="noConversion"/>
  </si>
  <si>
    <t>이익율</t>
    <phoneticPr fontId="21" type="noConversion"/>
  </si>
  <si>
    <t>평균환율</t>
    <phoneticPr fontId="21" type="noConversion"/>
  </si>
  <si>
    <t>기말환율</t>
    <phoneticPr fontId="21" type="noConversion"/>
  </si>
  <si>
    <t>수량</t>
    <phoneticPr fontId="21" type="noConversion"/>
  </si>
  <si>
    <t>품목코드</t>
    <phoneticPr fontId="21" type="noConversion"/>
  </si>
  <si>
    <t>판가 JPY</t>
    <phoneticPr fontId="21" type="noConversion"/>
  </si>
  <si>
    <t>판가 KRW</t>
    <phoneticPr fontId="21" type="noConversion"/>
  </si>
  <si>
    <t>품목명</t>
    <phoneticPr fontId="21" type="noConversion"/>
  </si>
  <si>
    <t>재고 JPY</t>
    <phoneticPr fontId="21" type="noConversion"/>
  </si>
  <si>
    <t>원가 KRW</t>
    <phoneticPr fontId="21" type="noConversion"/>
  </si>
  <si>
    <t>재고</t>
    <phoneticPr fontId="21" type="noConversion"/>
  </si>
  <si>
    <t>미실현</t>
    <phoneticPr fontId="21" type="noConversion"/>
  </si>
  <si>
    <t>상품매출할인및에누리(내수)</t>
    <phoneticPr fontId="21" type="noConversion"/>
  </si>
  <si>
    <t>추가</t>
    <phoneticPr fontId="21" type="noConversion"/>
  </si>
  <si>
    <t>선수금(원화_음원)</t>
  </si>
  <si>
    <t>평균환율</t>
    <phoneticPr fontId="21" type="noConversion"/>
  </si>
  <si>
    <t>독점판매권</t>
  </si>
  <si>
    <t>독점판매권</t>
    <phoneticPr fontId="21" type="noConversion"/>
  </si>
  <si>
    <t>연결5-1</t>
  </si>
  <si>
    <t>연결5-1</t>
    <phoneticPr fontId="21" type="noConversion"/>
  </si>
  <si>
    <t>독점판매권상각누계액</t>
  </si>
  <si>
    <t>독점판매권상각누계액</t>
    <phoneticPr fontId="21" type="noConversion"/>
  </si>
  <si>
    <t>DR</t>
    <phoneticPr fontId="21" type="noConversion"/>
  </si>
  <si>
    <t>CR</t>
    <phoneticPr fontId="21" type="noConversion"/>
  </si>
  <si>
    <t>2019</t>
    <phoneticPr fontId="21" type="noConversion"/>
  </si>
  <si>
    <t>2020년 6월말</t>
    <phoneticPr fontId="21" type="noConversion"/>
  </si>
  <si>
    <t>수익</t>
    <phoneticPr fontId="21" type="noConversion"/>
  </si>
  <si>
    <t>비용</t>
    <phoneticPr fontId="21" type="noConversion"/>
  </si>
  <si>
    <t>NI</t>
    <phoneticPr fontId="21" type="noConversion"/>
  </si>
  <si>
    <t>계약부채_반품</t>
  </si>
  <si>
    <t>계약부채_반품</t>
    <phoneticPr fontId="21" type="noConversion"/>
  </si>
  <si>
    <t>거래통화금액</t>
  </si>
  <si>
    <t>현지통화코드</t>
  </si>
  <si>
    <t>현지통화금액</t>
  </si>
  <si>
    <t>IFRS</t>
  </si>
  <si>
    <t>회원권</t>
  </si>
  <si>
    <t>T198_TB</t>
    <phoneticPr fontId="21" type="noConversion"/>
  </si>
  <si>
    <t>검증</t>
    <phoneticPr fontId="21" type="noConversion"/>
  </si>
  <si>
    <t>계약부채 code 확인</t>
    <phoneticPr fontId="21" type="noConversion"/>
  </si>
  <si>
    <t>2020.06.30</t>
    <phoneticPr fontId="21" type="noConversion"/>
  </si>
  <si>
    <t> 무형자산</t>
  </si>
  <si>
    <t> 기타비유동자산</t>
  </si>
  <si>
    <t>I. 지배기업소유주에 귀속되는 자본</t>
  </si>
  <si>
    <t> 자본금</t>
  </si>
  <si>
    <t> 자본잉여금</t>
  </si>
  <si>
    <t> 기타자본항목</t>
  </si>
  <si>
    <t> 결손금</t>
  </si>
  <si>
    <t>II. 비지배지분</t>
  </si>
  <si>
    <t>  판매비와관리비</t>
  </si>
  <si>
    <t>  금융수익</t>
  </si>
  <si>
    <t>  금융비용</t>
  </si>
  <si>
    <t>  기타영업외수익</t>
  </si>
  <si>
    <t>  기타영업외비용</t>
  </si>
  <si>
    <t>  법인세비용</t>
  </si>
  <si>
    <t>VII. 기타포괄이익(손실)</t>
  </si>
  <si>
    <t>  확정급여제도의 재측정요소</t>
  </si>
  <si>
    <t>IX. 주당이익(손실)</t>
  </si>
  <si>
    <t>  기본주당이익(손실)</t>
  </si>
  <si>
    <t>  희석주당이익(손실)</t>
  </si>
  <si>
    <t>  지배기업의 소유주지분</t>
    <phoneticPr fontId="21" type="noConversion"/>
  </si>
  <si>
    <t xml:space="preserve">  비지배지분</t>
    <phoneticPr fontId="21" type="noConversion"/>
  </si>
  <si>
    <t>-</t>
    <phoneticPr fontId="21" type="noConversion"/>
  </si>
  <si>
    <t>당기순손실</t>
    <phoneticPr fontId="21" type="noConversion"/>
  </si>
  <si>
    <t>재고자산폐기손실</t>
    <phoneticPr fontId="21" type="noConversion"/>
  </si>
  <si>
    <t>잡손실</t>
    <phoneticPr fontId="21" type="noConversion"/>
  </si>
  <si>
    <t>기타비유동부채의 증가(감소)</t>
    <phoneticPr fontId="21" type="noConversion"/>
  </si>
  <si>
    <t>무형자산의 취득</t>
    <phoneticPr fontId="21" type="noConversion"/>
  </si>
  <si>
    <t>기타비유동자산의 감소(증가)</t>
    <phoneticPr fontId="21" type="noConversion"/>
  </si>
  <si>
    <t>기타비유동지산의 감소(증가)</t>
    <phoneticPr fontId="21" type="noConversion"/>
  </si>
  <si>
    <t>전기대사</t>
    <phoneticPr fontId="21" type="noConversion"/>
  </si>
  <si>
    <t>손상누계</t>
    <phoneticPr fontId="21" type="noConversion"/>
  </si>
  <si>
    <t>기초환율</t>
    <phoneticPr fontId="21" type="noConversion"/>
  </si>
  <si>
    <t>손상/상각</t>
  </si>
  <si>
    <t>환차</t>
  </si>
  <si>
    <t>취득</t>
    <phoneticPr fontId="21" type="noConversion"/>
  </si>
  <si>
    <t>손상/상각</t>
    <phoneticPr fontId="21" type="noConversion"/>
  </si>
  <si>
    <t>환차</t>
    <phoneticPr fontId="21" type="noConversion"/>
  </si>
  <si>
    <t>기말</t>
    <phoneticPr fontId="21" type="noConversion"/>
  </si>
  <si>
    <t>독점권</t>
  </si>
  <si>
    <t>독점권</t>
    <phoneticPr fontId="21" type="noConversion"/>
  </si>
  <si>
    <t>이연</t>
  </si>
  <si>
    <t>이연</t>
    <phoneticPr fontId="21" type="noConversion"/>
  </si>
  <si>
    <t>인수대가</t>
  </si>
  <si>
    <t>인수대가</t>
    <phoneticPr fontId="21" type="noConversion"/>
  </si>
  <si>
    <t>(단위:천원)</t>
  </si>
  <si>
    <t>구 분</t>
  </si>
  <si>
    <t>당반기말</t>
  </si>
  <si>
    <t>전기말</t>
  </si>
  <si>
    <t>취득원가</t>
  </si>
  <si>
    <t>상각누계액</t>
  </si>
  <si>
    <t>손상차손누계액</t>
  </si>
  <si>
    <t>장부금액</t>
  </si>
  <si>
    <t>손상</t>
    <phoneticPr fontId="21" type="noConversion"/>
  </si>
  <si>
    <t>합 계</t>
  </si>
  <si>
    <t>연결조정추가</t>
    <phoneticPr fontId="21" type="noConversion"/>
  </si>
  <si>
    <t>SMLDC(연결)</t>
    <phoneticPr fontId="21" type="noConversion"/>
  </si>
  <si>
    <t>아이리버CS(연결)</t>
    <phoneticPr fontId="21" type="noConversion"/>
  </si>
  <si>
    <t>SMMCJP(연결)</t>
    <phoneticPr fontId="21" type="noConversion"/>
  </si>
  <si>
    <t>연결</t>
    <phoneticPr fontId="21" type="noConversion"/>
  </si>
  <si>
    <t>별도</t>
    <phoneticPr fontId="21" type="noConversion"/>
  </si>
  <si>
    <t>장부가액</t>
    <phoneticPr fontId="21" type="noConversion"/>
  </si>
  <si>
    <t>취득가액</t>
    <phoneticPr fontId="21" type="noConversion"/>
  </si>
  <si>
    <t>LDC</t>
    <phoneticPr fontId="21" type="noConversion"/>
  </si>
  <si>
    <t>제품</t>
    <phoneticPr fontId="21" type="noConversion"/>
  </si>
  <si>
    <t>상품</t>
    <phoneticPr fontId="21" type="noConversion"/>
  </si>
  <si>
    <t>115100</t>
    <phoneticPr fontId="21" type="noConversion"/>
  </si>
  <si>
    <t>상품매출원가</t>
    <phoneticPr fontId="21" type="noConversion"/>
  </si>
  <si>
    <t>제품미실현손익 반영</t>
    <phoneticPr fontId="21" type="noConversion"/>
  </si>
  <si>
    <t>상품미실현손익 반영</t>
    <phoneticPr fontId="21" type="noConversion"/>
  </si>
  <si>
    <t>판매(JPY)</t>
    <phoneticPr fontId="21" type="noConversion"/>
  </si>
  <si>
    <t>판매(KRW)</t>
    <phoneticPr fontId="21" type="noConversion"/>
  </si>
  <si>
    <t>드림어스: 제품- &gt; LDC 상품 실현분 매출계정대체</t>
    <phoneticPr fontId="21" type="noConversion"/>
  </si>
  <si>
    <t>2020년 9월말</t>
    <phoneticPr fontId="21" type="noConversion"/>
  </si>
  <si>
    <t>2020.09.30</t>
    <phoneticPr fontId="21" type="noConversion"/>
  </si>
  <si>
    <t>누적</t>
    <phoneticPr fontId="21" type="noConversion"/>
  </si>
  <si>
    <t>Change in FY2020 Q3</t>
    <phoneticPr fontId="21" type="noConversion"/>
  </si>
  <si>
    <t>JPY</t>
    <phoneticPr fontId="21" type="noConversion"/>
  </si>
  <si>
    <t>KRW</t>
    <phoneticPr fontId="21" type="noConversion"/>
  </si>
  <si>
    <t>해외사업환산손익(당기)</t>
    <phoneticPr fontId="21" type="noConversion"/>
  </si>
  <si>
    <t>IRIVER MINIONS WIRELESS EARBUDS</t>
  </si>
  <si>
    <t>superM オフィシャルオフィシャルペンライト</t>
  </si>
  <si>
    <t>MINI　FANLIGHT KEYRING</t>
  </si>
  <si>
    <t>전기미실현손익 실현</t>
    <phoneticPr fontId="21" type="noConversion"/>
  </si>
  <si>
    <t>제품매출원가</t>
    <phoneticPr fontId="21" type="noConversion"/>
  </si>
  <si>
    <t>제품매출</t>
    <phoneticPr fontId="21" type="noConversion"/>
  </si>
  <si>
    <t>외부</t>
    <phoneticPr fontId="21" type="noConversion"/>
  </si>
  <si>
    <t>상품매출</t>
    <phoneticPr fontId="21" type="noConversion"/>
  </si>
  <si>
    <t>기말제품재고</t>
    <phoneticPr fontId="21" type="noConversion"/>
  </si>
  <si>
    <t>드림어스: 제품- &gt; LDC 상품 실현분 매출원가 계정 대체</t>
    <phoneticPr fontId="21" type="noConversion"/>
  </si>
  <si>
    <t>분기별</t>
    <phoneticPr fontId="21" type="noConversion"/>
  </si>
  <si>
    <t>LDC독점판매권 손상반영</t>
    <phoneticPr fontId="21" type="noConversion"/>
  </si>
  <si>
    <t>A11022</t>
  </si>
  <si>
    <t>SM Mobile Communications JAPAN Inc.</t>
  </si>
  <si>
    <t>드림어스: 제품- &gt; LDC 상품 미실현분 재고계정대체</t>
    <phoneticPr fontId="21" type="noConversion"/>
  </si>
  <si>
    <t>선수금(외화_콘텐츠)</t>
    <phoneticPr fontId="21" type="noConversion"/>
  </si>
  <si>
    <t xml:space="preserve">  사용권감가/기타</t>
  </si>
  <si>
    <t>733800</t>
  </si>
  <si>
    <t>가중평균유통보통주식수</t>
    <phoneticPr fontId="21" type="noConversion"/>
  </si>
  <si>
    <t>퇴직급여</t>
    <phoneticPr fontId="21" type="noConversion"/>
  </si>
  <si>
    <t>복리후생비</t>
    <phoneticPr fontId="21" type="noConversion"/>
  </si>
  <si>
    <t>여비교통비</t>
    <phoneticPr fontId="21" type="noConversion"/>
  </si>
  <si>
    <t>세금과공과</t>
    <phoneticPr fontId="21" type="noConversion"/>
  </si>
  <si>
    <t>단기리스료</t>
    <phoneticPr fontId="21" type="noConversion"/>
  </si>
  <si>
    <t>소액리스료</t>
    <phoneticPr fontId="21" type="noConversion"/>
  </si>
  <si>
    <t>기초장부가액</t>
    <phoneticPr fontId="21" type="noConversion"/>
  </si>
  <si>
    <t>기말장부가액</t>
    <phoneticPr fontId="21" type="noConversion"/>
  </si>
  <si>
    <t>독점판매권손상누계액</t>
    <phoneticPr fontId="21" type="noConversion"/>
  </si>
  <si>
    <t>연결5-2</t>
    <phoneticPr fontId="21" type="noConversion"/>
  </si>
  <si>
    <t>독점권 장부가액</t>
    <phoneticPr fontId="21" type="noConversion"/>
  </si>
  <si>
    <t>LDC 부가세 대급금/예수금 상계</t>
    <phoneticPr fontId="21" type="noConversion"/>
  </si>
  <si>
    <t>판매수량</t>
    <phoneticPr fontId="21" type="noConversion"/>
  </si>
  <si>
    <t>BS</t>
    <phoneticPr fontId="21" type="noConversion"/>
  </si>
  <si>
    <t>매출액</t>
    <phoneticPr fontId="21" type="noConversion"/>
  </si>
  <si>
    <t>영업이익</t>
    <phoneticPr fontId="21" type="noConversion"/>
  </si>
  <si>
    <t>당기순이익</t>
    <phoneticPr fontId="21" type="noConversion"/>
  </si>
  <si>
    <t>IS</t>
    <phoneticPr fontId="21" type="noConversion"/>
  </si>
  <si>
    <t>ENT</t>
    <phoneticPr fontId="21" type="noConversion"/>
  </si>
  <si>
    <t>드림어스_별도</t>
    <phoneticPr fontId="21" type="noConversion"/>
  </si>
  <si>
    <t>드림어스_연결</t>
    <phoneticPr fontId="21" type="noConversion"/>
  </si>
  <si>
    <t>연결조정</t>
    <phoneticPr fontId="21" type="noConversion"/>
  </si>
  <si>
    <t>구분</t>
    <phoneticPr fontId="21" type="noConversion"/>
  </si>
  <si>
    <t>B/S 기초</t>
    <phoneticPr fontId="21" type="noConversion"/>
  </si>
  <si>
    <t>B/S 기말</t>
    <phoneticPr fontId="21" type="noConversion"/>
  </si>
  <si>
    <t>A14380</t>
    <phoneticPr fontId="21" type="noConversion"/>
  </si>
  <si>
    <t>CFS V2.3</t>
    <phoneticPr fontId="21" type="noConversion"/>
  </si>
  <si>
    <t>3개월</t>
    <phoneticPr fontId="21" type="noConversion"/>
  </si>
  <si>
    <t>재고자산평가손실(환입액)</t>
  </si>
  <si>
    <t>재고자산평가손실(환입액)</t>
    <phoneticPr fontId="21" type="noConversion"/>
  </si>
  <si>
    <t>미지급법인지방소득세</t>
  </si>
  <si>
    <t>취득부대비용 연결비용처리</t>
    <phoneticPr fontId="21" type="noConversion"/>
  </si>
  <si>
    <t>스튜디오 돌핀 종속기업주식 임시조정</t>
    <phoneticPr fontId="21" type="noConversion"/>
  </si>
  <si>
    <t>TB(SAP)</t>
    <phoneticPr fontId="21" type="noConversion"/>
  </si>
  <si>
    <t>차이</t>
    <phoneticPr fontId="21" type="noConversion"/>
  </si>
  <si>
    <t>비용(원가)</t>
  </si>
  <si>
    <t>매출</t>
    <phoneticPr fontId="21" type="noConversion"/>
  </si>
  <si>
    <t>비용(판관비)</t>
  </si>
  <si>
    <t>수익(영업외)</t>
  </si>
  <si>
    <t>비용(영업외)</t>
  </si>
  <si>
    <t>당기 누계</t>
    <phoneticPr fontId="21" type="noConversion"/>
  </si>
  <si>
    <t>전기 누계</t>
    <phoneticPr fontId="21" type="noConversion"/>
  </si>
  <si>
    <t>매출원가</t>
    <phoneticPr fontId="21" type="noConversion"/>
  </si>
  <si>
    <t>매출총이익</t>
    <phoneticPr fontId="21" type="noConversion"/>
  </si>
  <si>
    <t>판관비</t>
    <phoneticPr fontId="21" type="noConversion"/>
  </si>
  <si>
    <t>영업외손익</t>
    <phoneticPr fontId="21" type="noConversion"/>
  </si>
  <si>
    <t>(단위 : 천원)</t>
    <phoneticPr fontId="21" type="noConversion"/>
  </si>
  <si>
    <t>3. 요약 손익(당월)</t>
    <phoneticPr fontId="21" type="noConversion"/>
  </si>
  <si>
    <t>4. 첨부자료</t>
    <phoneticPr fontId="21" type="noConversion"/>
  </si>
  <si>
    <t xml:space="preserve"> - 연결 정산표</t>
    <phoneticPr fontId="21" type="noConversion"/>
  </si>
  <si>
    <t xml:space="preserve"> - 별도 정산표</t>
    <phoneticPr fontId="21" type="noConversion"/>
  </si>
  <si>
    <t xml:space="preserve"> - TB(업로드)</t>
    <phoneticPr fontId="21" type="noConversion"/>
  </si>
  <si>
    <t xml:space="preserve"> - SK 특관자 거래(업로드)</t>
    <phoneticPr fontId="21" type="noConversion"/>
  </si>
  <si>
    <t>스튜디오돌핀</t>
    <phoneticPr fontId="21" type="noConversion"/>
  </si>
  <si>
    <t>PC00740</t>
  </si>
  <si>
    <t>주식회사 스튜디오돌핀</t>
  </si>
  <si>
    <t>스튜디오 돌핀</t>
    <phoneticPr fontId="21" type="noConversion"/>
  </si>
  <si>
    <t>superM ペンライト</t>
  </si>
  <si>
    <t>기초환율</t>
  </si>
  <si>
    <t>투자주식</t>
    <phoneticPr fontId="21" type="noConversion"/>
  </si>
  <si>
    <t>회사입력</t>
  </si>
  <si>
    <t>손익검증</t>
  </si>
  <si>
    <t>차대검증</t>
  </si>
  <si>
    <t>수정사항</t>
  </si>
  <si>
    <t>과  목</t>
    <phoneticPr fontId="49" type="noConversion"/>
  </si>
  <si>
    <t>K-IFRS 공시 분류(대분류)</t>
    <phoneticPr fontId="49" type="noConversion"/>
  </si>
  <si>
    <t>K-IFRS</t>
  </si>
  <si>
    <t>자산</t>
    <phoneticPr fontId="49" type="noConversion"/>
  </si>
  <si>
    <t>(1) 당좌자산</t>
  </si>
  <si>
    <t>현금및현금성자산</t>
    <phoneticPr fontId="49" type="noConversion"/>
  </si>
  <si>
    <t>매출채권</t>
    <phoneticPr fontId="49" type="noConversion"/>
  </si>
  <si>
    <t>수취채권</t>
    <phoneticPr fontId="49" type="noConversion"/>
  </si>
  <si>
    <t>기타수취채권_유동</t>
    <phoneticPr fontId="49" type="noConversion"/>
  </si>
  <si>
    <t>선급금_유동</t>
    <phoneticPr fontId="49" type="noConversion"/>
  </si>
  <si>
    <t>기타자산_유동</t>
    <phoneticPr fontId="49" type="noConversion"/>
  </si>
  <si>
    <t>부가세대급금</t>
    <phoneticPr fontId="49" type="noConversion"/>
  </si>
  <si>
    <t>선납세금</t>
    <phoneticPr fontId="49" type="noConversion"/>
  </si>
  <si>
    <t>당기법인세자산</t>
    <phoneticPr fontId="49" type="noConversion"/>
  </si>
  <si>
    <t>임차보증금_유동</t>
    <phoneticPr fontId="49" type="noConversion"/>
  </si>
  <si>
    <t>(2) 재고자산</t>
    <phoneticPr fontId="49" type="noConversion"/>
  </si>
  <si>
    <t>단기대여금(외화)</t>
    <phoneticPr fontId="21" type="noConversion"/>
  </si>
  <si>
    <t>재고자산</t>
    <phoneticPr fontId="49" type="noConversion"/>
  </si>
  <si>
    <t>제품평가충당금</t>
  </si>
  <si>
    <t>부재료</t>
  </si>
  <si>
    <t>II. 비유동자산</t>
    <phoneticPr fontId="49" type="noConversion"/>
  </si>
  <si>
    <t>(1) 투자자산</t>
    <phoneticPr fontId="49" type="noConversion"/>
  </si>
  <si>
    <t>퇴직연금운용자산_유동</t>
    <phoneticPr fontId="49" type="noConversion"/>
  </si>
  <si>
    <t>기타자산_비유동</t>
    <phoneticPr fontId="49" type="noConversion"/>
  </si>
  <si>
    <t>(2) 유형자산</t>
    <phoneticPr fontId="49" type="noConversion"/>
  </si>
  <si>
    <t>건물</t>
  </si>
  <si>
    <t>유형자산</t>
    <phoneticPr fontId="49" type="noConversion"/>
  </si>
  <si>
    <t>감가상각누계액_건물</t>
    <phoneticPr fontId="49" type="noConversion"/>
  </si>
  <si>
    <t>시설장치</t>
    <phoneticPr fontId="49" type="noConversion"/>
  </si>
  <si>
    <t>감가상각누계액_시설장치</t>
    <phoneticPr fontId="49" type="noConversion"/>
  </si>
  <si>
    <t>국고보조금_시설장치</t>
    <phoneticPr fontId="49" type="noConversion"/>
  </si>
  <si>
    <t>감가상각누계액_기계장치</t>
    <phoneticPr fontId="49" type="noConversion"/>
  </si>
  <si>
    <t>국고보조금_기계장치</t>
    <phoneticPr fontId="49" type="noConversion"/>
  </si>
  <si>
    <t>감가상각누계액_차량운반구</t>
    <phoneticPr fontId="49" type="noConversion"/>
  </si>
  <si>
    <t>감가상각누계액_비품</t>
    <phoneticPr fontId="49" type="noConversion"/>
  </si>
  <si>
    <t>사용권자산</t>
    <phoneticPr fontId="49" type="noConversion"/>
  </si>
  <si>
    <t>감가상각누계액_사용권자산</t>
    <phoneticPr fontId="49" type="noConversion"/>
  </si>
  <si>
    <t>건설중인자산</t>
    <phoneticPr fontId="49" type="noConversion"/>
  </si>
  <si>
    <t>(3) 무형자산</t>
    <phoneticPr fontId="49" type="noConversion"/>
  </si>
  <si>
    <t>특허권</t>
    <phoneticPr fontId="49" type="noConversion"/>
  </si>
  <si>
    <t>국고보조금_특허권</t>
    <phoneticPr fontId="49" type="noConversion"/>
  </si>
  <si>
    <t>소프트웨어</t>
    <phoneticPr fontId="49" type="noConversion"/>
  </si>
  <si>
    <t>상표권</t>
    <phoneticPr fontId="49" type="noConversion"/>
  </si>
  <si>
    <t>무형자산</t>
    <phoneticPr fontId="49" type="noConversion"/>
  </si>
  <si>
    <t>(4) 기타비유동자산</t>
  </si>
  <si>
    <t>임차보증금_비유동</t>
    <phoneticPr fontId="49" type="noConversion"/>
  </si>
  <si>
    <t>기타수취채권_비유동</t>
    <phoneticPr fontId="49" type="noConversion"/>
  </si>
  <si>
    <t>이연법인세자산</t>
    <phoneticPr fontId="49" type="noConversion"/>
  </si>
  <si>
    <t>선급금_비유동</t>
    <phoneticPr fontId="49" type="noConversion"/>
  </si>
  <si>
    <t>자산총계</t>
    <phoneticPr fontId="49" type="noConversion"/>
  </si>
  <si>
    <t>부채</t>
    <phoneticPr fontId="49" type="noConversion"/>
  </si>
  <si>
    <t>매입채무</t>
    <phoneticPr fontId="49" type="noConversion"/>
  </si>
  <si>
    <t>기타지급채무_유동</t>
    <phoneticPr fontId="49" type="noConversion"/>
  </si>
  <si>
    <t>기타부채_유동</t>
    <phoneticPr fontId="49" type="noConversion"/>
  </si>
  <si>
    <t>선수금</t>
    <phoneticPr fontId="49" type="noConversion"/>
  </si>
  <si>
    <t>선수수익</t>
    <phoneticPr fontId="49" type="noConversion"/>
  </si>
  <si>
    <t>단기차입금</t>
    <phoneticPr fontId="49" type="noConversion"/>
  </si>
  <si>
    <t>차입금및사채_유동</t>
    <phoneticPr fontId="49" type="noConversion"/>
  </si>
  <si>
    <t>유동성장기차입금</t>
  </si>
  <si>
    <t>당기법인세부채</t>
    <phoneticPr fontId="49" type="noConversion"/>
  </si>
  <si>
    <t>주주임원종업원단기차입금</t>
  </si>
  <si>
    <t>리스부채</t>
    <phoneticPr fontId="49" type="noConversion"/>
  </si>
  <si>
    <t>퇴직급여충당부채</t>
  </si>
  <si>
    <t>확정급여채무</t>
    <phoneticPr fontId="49" type="noConversion"/>
  </si>
  <si>
    <t>퇴직연금운용자산_부채</t>
    <phoneticPr fontId="49" type="noConversion"/>
  </si>
  <si>
    <t>장기차입금_상환우선주</t>
    <phoneticPr fontId="49" type="noConversion"/>
  </si>
  <si>
    <t>차입금및사채_비유동</t>
    <phoneticPr fontId="49" type="noConversion"/>
  </si>
  <si>
    <t>장기차입금_전환권</t>
    <phoneticPr fontId="49" type="noConversion"/>
  </si>
  <si>
    <t>장기미지급금</t>
  </si>
  <si>
    <t>기타지급채무_비유동</t>
    <phoneticPr fontId="49" type="noConversion"/>
  </si>
  <si>
    <t>이연법인세부채</t>
    <phoneticPr fontId="49" type="noConversion"/>
  </si>
  <si>
    <t>BS신설7</t>
  </si>
  <si>
    <t>부채총계</t>
    <phoneticPr fontId="49" type="noConversion"/>
  </si>
  <si>
    <t>자본</t>
    <phoneticPr fontId="49" type="noConversion"/>
  </si>
  <si>
    <t>I. 자본금</t>
    <phoneticPr fontId="49" type="noConversion"/>
  </si>
  <si>
    <t>보통주자본금</t>
    <phoneticPr fontId="49" type="noConversion"/>
  </si>
  <si>
    <t>자본금</t>
    <phoneticPr fontId="49" type="noConversion"/>
  </si>
  <si>
    <t>II. 자본잉여금</t>
    <phoneticPr fontId="49" type="noConversion"/>
  </si>
  <si>
    <t>주식발행초과금</t>
    <phoneticPr fontId="49" type="noConversion"/>
  </si>
  <si>
    <t>기타불입자본</t>
    <phoneticPr fontId="49" type="noConversion"/>
  </si>
  <si>
    <t>III. 기타자본구성요소</t>
    <phoneticPr fontId="49" type="noConversion"/>
  </si>
  <si>
    <t>주식할인발행차금</t>
    <phoneticPr fontId="49" type="noConversion"/>
  </si>
  <si>
    <t>Ⅳ. 이익잉여금</t>
    <phoneticPr fontId="49" type="noConversion"/>
  </si>
  <si>
    <t>이익준비금</t>
    <phoneticPr fontId="49" type="noConversion"/>
  </si>
  <si>
    <t>BS신설8</t>
  </si>
  <si>
    <t>임의적립금</t>
    <phoneticPr fontId="49" type="noConversion"/>
  </si>
  <si>
    <t>미처분이익잉여금</t>
    <phoneticPr fontId="49" type="noConversion"/>
  </si>
  <si>
    <t>전기이월잉여금</t>
    <phoneticPr fontId="49" type="noConversion"/>
  </si>
  <si>
    <t>이익잉여금</t>
    <phoneticPr fontId="49" type="noConversion"/>
  </si>
  <si>
    <t>보험수리적손익</t>
    <phoneticPr fontId="49" type="noConversion"/>
  </si>
  <si>
    <t>기타자본구성요소</t>
    <phoneticPr fontId="49" type="noConversion"/>
  </si>
  <si>
    <t>당기순이익(손실)</t>
    <phoneticPr fontId="49" type="noConversion"/>
  </si>
  <si>
    <t>자본총계</t>
    <phoneticPr fontId="49" type="noConversion"/>
  </si>
  <si>
    <t>부채와자본총계</t>
    <phoneticPr fontId="49" type="noConversion"/>
  </si>
  <si>
    <t>기타의무형자산-독점판매권</t>
  </si>
  <si>
    <t>선수금(외화_가수금)</t>
  </si>
  <si>
    <t>220000-1</t>
  </si>
  <si>
    <t>돌핀 영업권 인식</t>
    <phoneticPr fontId="21" type="noConversion"/>
  </si>
  <si>
    <t>선급법인세-미지급법인세 상계</t>
    <phoneticPr fontId="21" type="noConversion"/>
  </si>
  <si>
    <t>스튜디오돌핀</t>
  </si>
  <si>
    <t>환불자산의 감소(증가)</t>
  </si>
  <si>
    <t>관계기업 취득에 따른 순현금흐름</t>
    <phoneticPr fontId="21" type="noConversion"/>
  </si>
  <si>
    <t>전환우선주 발행</t>
    <phoneticPr fontId="21" type="noConversion"/>
  </si>
  <si>
    <t>스듀디오 돌핀</t>
    <phoneticPr fontId="21" type="noConversion"/>
  </si>
  <si>
    <t>종속기업투자주식 수수료 재분류</t>
    <phoneticPr fontId="21" type="noConversion"/>
  </si>
  <si>
    <t>B12160</t>
    <phoneticPr fontId="21" type="noConversion"/>
  </si>
  <si>
    <t>연결범위포함으로 인한 현금의 감소</t>
    <phoneticPr fontId="21" type="noConversion"/>
  </si>
  <si>
    <t>연결 부가세 대급금/예수금 상계</t>
    <phoneticPr fontId="21" type="noConversion"/>
  </si>
  <si>
    <t>미지급부가세의 증가(감소)</t>
  </si>
  <si>
    <t>부가세대급금/예수금 상계</t>
    <phoneticPr fontId="21" type="noConversion"/>
  </si>
  <si>
    <t>관계기업 취득에 따른 순현금흐름</t>
  </si>
  <si>
    <t>당기손익공정가치측정금융부채평가손실</t>
  </si>
  <si>
    <t>법인세 납부/환급 상계(동일과세당국)</t>
    <phoneticPr fontId="21" type="noConversion"/>
  </si>
  <si>
    <t>A12600</t>
    <phoneticPr fontId="21" type="noConversion"/>
  </si>
  <si>
    <t>드림어스 감가상각비(제조)</t>
    <phoneticPr fontId="21" type="noConversion"/>
  </si>
  <si>
    <t>FY2021.Q1</t>
    <phoneticPr fontId="21" type="noConversion"/>
  </si>
  <si>
    <t>FY2020.Q2</t>
    <phoneticPr fontId="21" type="noConversion"/>
  </si>
  <si>
    <t>영업활동현금흐름</t>
  </si>
  <si>
    <t>　당기순이익(손실)</t>
  </si>
  <si>
    <t>　수익ㆍ비용의 조정</t>
  </si>
  <si>
    <t>　　법인세비용</t>
  </si>
  <si>
    <t>　　퇴직급여</t>
  </si>
  <si>
    <t>　　주식보상비용</t>
  </si>
  <si>
    <t>　　대손상각비</t>
  </si>
  <si>
    <t>　　감가상각비</t>
  </si>
  <si>
    <t>　　무형자산상각비</t>
  </si>
  <si>
    <t>　　판매보증충당부채전입액</t>
  </si>
  <si>
    <t>　　복구충당부채전입액(환입액)</t>
  </si>
  <si>
    <t>　　이자비용</t>
  </si>
  <si>
    <t>　　외화환산손실</t>
  </si>
  <si>
    <t>　　유형자산처분손실</t>
  </si>
  <si>
    <t>　　재고자산평가손실</t>
  </si>
  <si>
    <t>　　유형자산손상차손</t>
  </si>
  <si>
    <t>　　무형자산손상차손</t>
  </si>
  <si>
    <t>　　이자수익</t>
  </si>
  <si>
    <t>　　외화환산이익</t>
  </si>
  <si>
    <t>　　당기손익-공정가치측정 금융자산관련이익</t>
  </si>
  <si>
    <t>　　유형자산처분이익</t>
  </si>
  <si>
    <t>　영업활동으로인한자산ㆍ부채의변동</t>
  </si>
  <si>
    <t>　　매출채권의 감소(증가)</t>
  </si>
  <si>
    <t>　　기타채권의 감소(증가)</t>
  </si>
  <si>
    <t>　　기타유동자산의 감소</t>
  </si>
  <si>
    <t>　　기타비유동자산의 감소</t>
  </si>
  <si>
    <t>　　재고자산의 증가</t>
  </si>
  <si>
    <t>　　매입채무의 증가</t>
  </si>
  <si>
    <t>　　기타채무의 증가(감소)</t>
  </si>
  <si>
    <t>　　기타유동부채의 증가(감소)</t>
  </si>
  <si>
    <t>　　기타비유동부채의 감소</t>
  </si>
  <si>
    <t>　　순확정급여부채의 증가(감소)</t>
  </si>
  <si>
    <t>　이자의 수취</t>
  </si>
  <si>
    <t>　이자의 지급</t>
  </si>
  <si>
    <t>　법인세의 납부</t>
  </si>
  <si>
    <t>투자활동현금흐름</t>
  </si>
  <si>
    <t>　투자활동으로 인한 현금유입액</t>
  </si>
  <si>
    <t>　　기타채권의 감소</t>
  </si>
  <si>
    <t>　　유형자산의 처분</t>
  </si>
  <si>
    <t>　투자활동으로 인한 현금유출액</t>
  </si>
  <si>
    <t>　　기타채권의 증가</t>
  </si>
  <si>
    <t>　　유형자산의 취득</t>
  </si>
  <si>
    <t>　　무형자산의 취득</t>
  </si>
  <si>
    <t>　　사업양수에 따른 순현금유출</t>
  </si>
  <si>
    <t>재무활동현금흐름</t>
  </si>
  <si>
    <t>　재무활동으로 인한 현금유출액</t>
  </si>
  <si>
    <t>　　단기차입금의 상환</t>
  </si>
  <si>
    <t>　　리스부채의 감소</t>
  </si>
  <si>
    <t>　　기타재무유출</t>
  </si>
  <si>
    <t>현금및현금성자산의증가</t>
  </si>
  <si>
    <t>기초의 현금및현금성자산</t>
  </si>
  <si>
    <t>외화표시 현금및현금성자산의 환율변동효과</t>
  </si>
  <si>
    <t>기말의 현금및현금성자산</t>
  </si>
  <si>
    <t>    매출채권의 감소(증가)</t>
    <phoneticPr fontId="21" type="noConversion"/>
  </si>
  <si>
    <t>    재고자산의 감소(증가)</t>
    <phoneticPr fontId="21" type="noConversion"/>
  </si>
  <si>
    <t>    매입채무의 증가(감소)</t>
    <phoneticPr fontId="21" type="noConversion"/>
  </si>
  <si>
    <t>    기타채무의 증가(감소)</t>
    <phoneticPr fontId="21" type="noConversion"/>
  </si>
  <si>
    <t>    순확정급여부채의 증가(감소)</t>
    <phoneticPr fontId="21" type="noConversion"/>
  </si>
  <si>
    <t>매출채권의 감소(증가)</t>
    <phoneticPr fontId="21" type="noConversion"/>
  </si>
  <si>
    <t>재고자산의 감소(증가)</t>
    <phoneticPr fontId="21" type="noConversion"/>
  </si>
  <si>
    <t>매입채무의 증가(감소)</t>
    <phoneticPr fontId="21" type="noConversion"/>
  </si>
  <si>
    <t>기타채무의 증가(감소)</t>
    <phoneticPr fontId="21" type="noConversion"/>
  </si>
  <si>
    <t>순확정급여부채의 증가(감소)</t>
    <phoneticPr fontId="21" type="noConversion"/>
  </si>
  <si>
    <t>미지급법인세의 증가(감소)</t>
    <phoneticPr fontId="21" type="noConversion"/>
  </si>
  <si>
    <t>신규연결</t>
    <phoneticPr fontId="21" type="noConversion"/>
  </si>
  <si>
    <t>미지급비용(차입금이자)</t>
    <phoneticPr fontId="21" type="noConversion"/>
  </si>
  <si>
    <t>제품보증/수수료</t>
  </si>
  <si>
    <t>2. 연결 및 TB 차이</t>
    <phoneticPr fontId="21" type="noConversion"/>
  </si>
  <si>
    <t>1. 요약 재무제표(누계)</t>
  </si>
  <si>
    <t>사용권자산상각비</t>
  </si>
  <si>
    <t>기타매출(일반)</t>
  </si>
  <si>
    <t xml:space="preserve">Minions Wireless Charging Pad </t>
  </si>
  <si>
    <t>Minions Keyboard</t>
  </si>
  <si>
    <t>지급수수료</t>
    <phoneticPr fontId="387" type="noConversion"/>
  </si>
  <si>
    <t>관리레벨코드</t>
  </si>
  <si>
    <t>관리레벨코드명</t>
  </si>
  <si>
    <t>Mapping 계정코드</t>
  </si>
  <si>
    <t>4183</t>
  </si>
  <si>
    <t>기타유동부채-계약부채-반품</t>
  </si>
  <si>
    <t>3406</t>
  </si>
  <si>
    <t>4184</t>
  </si>
  <si>
    <t>기타유동부채-계약부채-기타</t>
  </si>
  <si>
    <t>8월 금액</t>
    <phoneticPr fontId="21" type="noConversion"/>
  </si>
  <si>
    <t>계약부채_일반</t>
    <phoneticPr fontId="21" type="noConversion"/>
  </si>
  <si>
    <t>V2.1</t>
    <phoneticPr fontId="21" type="noConversion"/>
  </si>
  <si>
    <t>V1.2</t>
    <phoneticPr fontId="21" type="noConversion"/>
  </si>
  <si>
    <t>V1.3</t>
  </si>
  <si>
    <t>단수조정 : 외화환산효과</t>
    <phoneticPr fontId="21" type="noConversion"/>
  </si>
  <si>
    <t>미지급비용(차입금이자)</t>
  </si>
  <si>
    <t>FY2021.Q2</t>
    <phoneticPr fontId="21" type="noConversion"/>
  </si>
  <si>
    <t>FY2020.Q4</t>
    <phoneticPr fontId="21" type="noConversion"/>
  </si>
  <si>
    <t>FY2020.Q3</t>
    <phoneticPr fontId="21" type="noConversion"/>
  </si>
  <si>
    <t>FY2020.Q1</t>
    <phoneticPr fontId="21" type="noConversion"/>
  </si>
  <si>
    <t>FY2021.Q2</t>
    <phoneticPr fontId="21" type="noConversion"/>
  </si>
  <si>
    <t>change.</t>
    <phoneticPr fontId="21" type="noConversion"/>
  </si>
  <si>
    <t>FY2020.Q4</t>
    <phoneticPr fontId="21" type="noConversion"/>
  </si>
  <si>
    <t>FY2019.Q4</t>
    <phoneticPr fontId="18" type="noConversion"/>
  </si>
  <si>
    <t>FY2020.Q4</t>
    <phoneticPr fontId="21" type="noConversion"/>
  </si>
  <si>
    <t>FY2019.Q4</t>
    <phoneticPr fontId="21" type="noConversion"/>
  </si>
  <si>
    <t>FY2020.Q3</t>
    <phoneticPr fontId="21" type="noConversion"/>
  </si>
  <si>
    <t>제 22 기 3분기</t>
  </si>
  <si>
    <t>제 21 기 3분기</t>
  </si>
  <si>
    <t>　　재고자산폐기손실</t>
  </si>
  <si>
    <t>　　유형자산폐기손실</t>
  </si>
  <si>
    <t>　　기타수익</t>
  </si>
  <si>
    <t>　　종속기업투자주식처분손실</t>
  </si>
  <si>
    <t>　　당기손익-공정가치 측정 금융자산의 처분</t>
  </si>
  <si>
    <t>　　기타유동자산의 증가</t>
  </si>
  <si>
    <t>　　종속기업 처분에 따른 순현금유출</t>
  </si>
  <si>
    <t>전환우선주부채</t>
  </si>
  <si>
    <t>전환우선주부채</t>
    <phoneticPr fontId="21" type="noConversion"/>
  </si>
  <si>
    <t>전환우선주부채</t>
    <phoneticPr fontId="21" type="noConversion"/>
  </si>
  <si>
    <t>대손충당금(미수금_원화_금융자산)</t>
    <phoneticPr fontId="21" type="noConversion"/>
  </si>
  <si>
    <t>FY2021.Q3</t>
    <phoneticPr fontId="21" type="noConversion"/>
  </si>
  <si>
    <t>예수보증금(비유동)</t>
    <phoneticPr fontId="21" type="noConversion"/>
  </si>
  <si>
    <t>대손충당금(미수금_원화_공연투자자산)</t>
    <phoneticPr fontId="21" type="noConversion"/>
  </si>
  <si>
    <t>(별도) 거래처별 잔액</t>
    <phoneticPr fontId="21" type="noConversion"/>
  </si>
  <si>
    <t>예수보증금(비유동)</t>
  </si>
  <si>
    <t>FY2021.10</t>
  </si>
  <si>
    <t>Change in FY2020 Q2</t>
    <phoneticPr fontId="21" type="noConversion"/>
  </si>
  <si>
    <t>라이브임팩트</t>
  </si>
  <si>
    <t>라이브임팩트</t>
    <phoneticPr fontId="21" type="noConversion"/>
  </si>
  <si>
    <t>FY2018.4Q</t>
    <phoneticPr fontId="21" type="noConversion"/>
  </si>
  <si>
    <t>Change in FY2019.Q4</t>
    <phoneticPr fontId="21" type="noConversion"/>
  </si>
  <si>
    <t>Change in FY2019.Q4</t>
    <phoneticPr fontId="21" type="noConversion"/>
  </si>
  <si>
    <t>Change in FY2020.Q4</t>
    <phoneticPr fontId="21" type="noConversion"/>
  </si>
  <si>
    <t xml:space="preserve">신규 </t>
    <phoneticPr fontId="21" type="noConversion"/>
  </si>
  <si>
    <t>FY2018.4Q</t>
    <phoneticPr fontId="21" type="noConversion"/>
  </si>
  <si>
    <t>FY2019.1Q</t>
    <phoneticPr fontId="21" type="noConversion"/>
  </si>
  <si>
    <t>FY2019.2Q</t>
    <phoneticPr fontId="21" type="noConversion"/>
  </si>
  <si>
    <t>FY2019.3Q</t>
    <phoneticPr fontId="21" type="noConversion"/>
  </si>
  <si>
    <t>FY2019.4Q</t>
    <phoneticPr fontId="21" type="noConversion"/>
  </si>
  <si>
    <t>FY2020.1Q</t>
  </si>
  <si>
    <t>FY2020.2Q</t>
  </si>
  <si>
    <t>FY2020.3Q</t>
  </si>
  <si>
    <t>FY2020.4Q</t>
  </si>
  <si>
    <t xml:space="preserve">FY2017. Q4 </t>
    <phoneticPr fontId="21" type="noConversion"/>
  </si>
  <si>
    <t>FY2018.Q2</t>
    <phoneticPr fontId="21" type="noConversion"/>
  </si>
  <si>
    <t>FY2018.Q3</t>
    <phoneticPr fontId="21" type="noConversion"/>
  </si>
  <si>
    <t>FY2018.Q4</t>
  </si>
  <si>
    <t>FY2018.Q4</t>
    <phoneticPr fontId="21" type="noConversion"/>
  </si>
  <si>
    <t>FY2018.Q1</t>
    <phoneticPr fontId="21" type="noConversion"/>
  </si>
  <si>
    <t>FY2019.Q1</t>
  </si>
  <si>
    <t>FY2019.Q2</t>
  </si>
  <si>
    <t>FY2019.Q1</t>
    <phoneticPr fontId="21" type="noConversion"/>
  </si>
  <si>
    <t>FY2019.Q2</t>
    <phoneticPr fontId="21" type="noConversion"/>
  </si>
  <si>
    <t>FY2019.Q3</t>
  </si>
  <si>
    <t>FY2019.Q3</t>
    <phoneticPr fontId="21" type="noConversion"/>
  </si>
  <si>
    <t>FY2019.Q4</t>
  </si>
  <si>
    <t>FY2019.Q4</t>
    <phoneticPr fontId="21" type="noConversion"/>
  </si>
  <si>
    <t>FY2019.1Q</t>
    <phoneticPr fontId="21" type="noConversion"/>
  </si>
  <si>
    <t>FY2019.2Q</t>
    <phoneticPr fontId="21" type="noConversion"/>
  </si>
  <si>
    <t>FY2019.3Q</t>
    <phoneticPr fontId="21" type="noConversion"/>
  </si>
  <si>
    <t>금액</t>
    <phoneticPr fontId="21" type="noConversion"/>
  </si>
  <si>
    <t>수수료/외주용역</t>
  </si>
  <si>
    <t>스튜디오 돌핀</t>
  </si>
  <si>
    <t>FY2021.Q4</t>
    <phoneticPr fontId="21" type="noConversion"/>
  </si>
  <si>
    <t>기타매출원가</t>
    <phoneticPr fontId="21" type="noConversion"/>
  </si>
  <si>
    <t>선급금(원화_일반)</t>
    <phoneticPr fontId="21" type="noConversion"/>
  </si>
  <si>
    <t>복구충당부채(유동)</t>
    <phoneticPr fontId="21" type="noConversion"/>
  </si>
  <si>
    <t>FY2018.4Q</t>
    <phoneticPr fontId="21" type="noConversion"/>
  </si>
  <si>
    <t>연결IS_1</t>
    <phoneticPr fontId="21" type="noConversion"/>
  </si>
  <si>
    <t>관계기업투자주식</t>
    <phoneticPr fontId="21" type="noConversion"/>
  </si>
  <si>
    <t>2021년 1월~10월</t>
  </si>
  <si>
    <t>V1.0</t>
  </si>
  <si>
    <t>V1.1</t>
  </si>
  <si>
    <t>DONE</t>
  </si>
  <si>
    <t>2021.10.31</t>
  </si>
  <si>
    <t>FY2021.Q3</t>
  </si>
  <si>
    <t>FY2021.Q2</t>
  </si>
  <si>
    <t>FY2021.Q1</t>
  </si>
  <si>
    <t>FY2020.Q4</t>
  </si>
  <si>
    <t>FY2020.Q3</t>
  </si>
  <si>
    <t>FY2020.Q2</t>
  </si>
  <si>
    <t>FY2020.Q1</t>
  </si>
  <si>
    <t>상품매출할인및에누리(내수)</t>
  </si>
  <si>
    <t>2021년 11월~12월</t>
    <phoneticPr fontId="21" type="noConversion"/>
  </si>
  <si>
    <t>V2.1(이자비용 수정)</t>
    <phoneticPr fontId="21" type="noConversion"/>
  </si>
  <si>
    <t>복구충당부채(유동)</t>
  </si>
  <si>
    <t>BS신설2</t>
    <phoneticPr fontId="21" type="noConversion"/>
  </si>
  <si>
    <t>당기손익-공정가치측정금융자산(비유동) 채무상품</t>
    <phoneticPr fontId="21" type="noConversion"/>
  </si>
  <si>
    <t>당기손익-공정가치측정금융자산(비유동) 지분상품</t>
    <phoneticPr fontId="21" type="noConversion"/>
  </si>
  <si>
    <t>당기손익인식금융자산-기타(채무상품)</t>
    <phoneticPr fontId="21" type="noConversion"/>
  </si>
  <si>
    <t>당기손익인식금융자산-기타(지분상품)</t>
    <phoneticPr fontId="21" type="noConversion"/>
  </si>
  <si>
    <t>지분법이익</t>
    <phoneticPr fontId="21" type="noConversion"/>
  </si>
  <si>
    <t>단기금융상품의 증가</t>
    <phoneticPr fontId="21" type="noConversion"/>
  </si>
  <si>
    <t>단기금융상품</t>
    <phoneticPr fontId="21" type="noConversion"/>
  </si>
  <si>
    <t>단기금융상품_정기예금</t>
    <phoneticPr fontId="21" type="noConversion"/>
  </si>
  <si>
    <t>대손충당금(단기대여금)</t>
  </si>
  <si>
    <t>대손충당금(미수수익)</t>
  </si>
  <si>
    <t>Change in FY2021.Q4</t>
  </si>
  <si>
    <t>기초취득가액</t>
    <phoneticPr fontId="21" type="noConversion"/>
  </si>
  <si>
    <t>환산차대</t>
    <phoneticPr fontId="21" type="noConversion"/>
  </si>
  <si>
    <t>수수료/오리지널</t>
  </si>
  <si>
    <t>수수료/크리에이터</t>
  </si>
  <si>
    <t>상품매출원가</t>
    <phoneticPr fontId="387" type="noConversion"/>
  </si>
  <si>
    <t>(* 전기 내부거래 Fix)</t>
    <phoneticPr fontId="21" type="noConversion"/>
  </si>
  <si>
    <t>(* 전기 내부거래 Fix)</t>
  </si>
  <si>
    <t>잡이익</t>
    <phoneticPr fontId="21" type="noConversion"/>
  </si>
  <si>
    <t>취득부대비용 연결비용처리</t>
  </si>
  <si>
    <t>FY2021.Q3</t>
    <phoneticPr fontId="21" type="noConversion"/>
  </si>
  <si>
    <t>FY2021.Q4</t>
  </si>
  <si>
    <t>단기대여금(원화)</t>
    <phoneticPr fontId="21" type="noConversion"/>
  </si>
  <si>
    <t>단기차입금(원화)</t>
    <phoneticPr fontId="21" type="noConversion"/>
  </si>
  <si>
    <t>자산</t>
    <phoneticPr fontId="21" type="noConversion"/>
  </si>
  <si>
    <t>스튜디오돌핀</t>
    <phoneticPr fontId="21" type="noConversion"/>
  </si>
  <si>
    <t>2월</t>
  </si>
  <si>
    <t>3월</t>
  </si>
  <si>
    <t>11월</t>
  </si>
  <si>
    <t>12월</t>
  </si>
  <si>
    <t>1월</t>
  </si>
  <si>
    <t>판관비</t>
  </si>
  <si>
    <t>상각액</t>
  </si>
  <si>
    <t>선급금 대체</t>
  </si>
  <si>
    <t>기말</t>
    <phoneticPr fontId="21" type="noConversion"/>
  </si>
  <si>
    <t>조정</t>
    <phoneticPr fontId="21" type="noConversion"/>
  </si>
  <si>
    <t>4월</t>
    <phoneticPr fontId="21" type="noConversion"/>
  </si>
  <si>
    <t>5월</t>
    <phoneticPr fontId="21" type="noConversion"/>
  </si>
  <si>
    <t>스튜디오 돌핀_오디오 콘텐츠 회계정책 일치</t>
  </si>
  <si>
    <t>스튜디오 돌핀_오디오 콘텐츠 회계정책 일치</t>
    <phoneticPr fontId="21" type="noConversion"/>
  </si>
  <si>
    <t>구분</t>
    <phoneticPr fontId="21" type="noConversion"/>
  </si>
  <si>
    <t>광고/제작</t>
  </si>
  <si>
    <t>5, 6</t>
  </si>
  <si>
    <t>5, 6, 7</t>
  </si>
  <si>
    <t>5, 6, 8, 30</t>
  </si>
  <si>
    <t>13, 31, 32</t>
  </si>
  <si>
    <t>5, 6, 15, 30</t>
  </si>
  <si>
    <t>5, 17, 31</t>
  </si>
  <si>
    <t>5, 6, 14, 31</t>
  </si>
  <si>
    <t>1, 19</t>
  </si>
  <si>
    <t>19, 21</t>
  </si>
  <si>
    <t>20, 22</t>
  </si>
  <si>
    <t>4, 26</t>
  </si>
  <si>
    <t>VIII. 총포괄손익</t>
    <phoneticPr fontId="21" type="noConversion"/>
  </si>
  <si>
    <t> (1) 당기순이익(손실)</t>
    <phoneticPr fontId="21" type="noConversion"/>
  </si>
  <si>
    <t>사용권감가/기타</t>
    <phoneticPr fontId="21" type="noConversion"/>
  </si>
  <si>
    <t>비유동자산</t>
    <phoneticPr fontId="21" type="noConversion"/>
  </si>
  <si>
    <t>유동자산</t>
    <phoneticPr fontId="21" type="noConversion"/>
  </si>
  <si>
    <t>전환우선주부채(유동)</t>
    <phoneticPr fontId="21" type="noConversion"/>
  </si>
  <si>
    <t>환불부채(유동)</t>
    <phoneticPr fontId="21" type="noConversion"/>
  </si>
  <si>
    <t>FY2021.Q1</t>
    <phoneticPr fontId="21" type="noConversion"/>
  </si>
  <si>
    <t>FY2021.Q2</t>
    <phoneticPr fontId="21" type="noConversion"/>
  </si>
  <si>
    <t>FY2021.Q3</t>
    <phoneticPr fontId="21" type="noConversion"/>
  </si>
  <si>
    <t>FY2021.Q4</t>
    <phoneticPr fontId="21" type="noConversion"/>
  </si>
  <si>
    <t>FY2020.Q1</t>
    <phoneticPr fontId="21" type="noConversion"/>
  </si>
  <si>
    <t>FY2020.Q1</t>
    <phoneticPr fontId="21" type="noConversion"/>
  </si>
  <si>
    <t>FY2020.Q2</t>
    <phoneticPr fontId="21" type="noConversion"/>
  </si>
  <si>
    <t>FY2020.Q3</t>
    <phoneticPr fontId="21" type="noConversion"/>
  </si>
  <si>
    <t>FY2020.Q4</t>
    <phoneticPr fontId="21" type="noConversion"/>
  </si>
  <si>
    <t>FY2021.Q1</t>
    <phoneticPr fontId="21" type="noConversion"/>
  </si>
  <si>
    <t>FY2021.Q2</t>
    <phoneticPr fontId="21" type="noConversion"/>
  </si>
  <si>
    <t>FY2021.Q3</t>
    <phoneticPr fontId="21" type="noConversion"/>
  </si>
  <si>
    <t>FY2021.Q4</t>
    <phoneticPr fontId="21" type="noConversion"/>
  </si>
  <si>
    <t>FY2020.Q3</t>
    <phoneticPr fontId="21" type="noConversion"/>
  </si>
  <si>
    <t>FY2020.Q4</t>
    <phoneticPr fontId="21" type="noConversion"/>
  </si>
  <si>
    <t>FY2021.Q1</t>
    <phoneticPr fontId="21" type="noConversion"/>
  </si>
  <si>
    <t>FY2021.Q3</t>
    <phoneticPr fontId="21" type="noConversion"/>
  </si>
  <si>
    <t>FY2020.Q1</t>
    <phoneticPr fontId="21" type="noConversion"/>
  </si>
  <si>
    <t>FY2020.Q2</t>
    <phoneticPr fontId="21" type="noConversion"/>
  </si>
  <si>
    <t>FY2020.Q4</t>
    <phoneticPr fontId="21" type="noConversion"/>
  </si>
  <si>
    <t>FY2021.Q2</t>
    <phoneticPr fontId="21" type="noConversion"/>
  </si>
  <si>
    <t>FY2021.Q4</t>
    <phoneticPr fontId="21" type="noConversion"/>
  </si>
  <si>
    <t>FY2020.Q1</t>
    <phoneticPr fontId="21" type="noConversion"/>
  </si>
  <si>
    <t>FY2020.Q2</t>
    <phoneticPr fontId="21" type="noConversion"/>
  </si>
  <si>
    <t>FY2020.Q3</t>
    <phoneticPr fontId="21" type="noConversion"/>
  </si>
  <si>
    <t>FY2020.Q4</t>
    <phoneticPr fontId="21" type="noConversion"/>
  </si>
  <si>
    <t>FY2021.Q1</t>
    <phoneticPr fontId="21" type="noConversion"/>
  </si>
  <si>
    <t>FY2021.Q2</t>
    <phoneticPr fontId="21" type="noConversion"/>
  </si>
  <si>
    <t>FY2021.Q3</t>
    <phoneticPr fontId="21" type="noConversion"/>
  </si>
  <si>
    <t>FY2020.Q1</t>
    <phoneticPr fontId="21" type="noConversion"/>
  </si>
  <si>
    <t>FY2020.Q2</t>
    <phoneticPr fontId="21" type="noConversion"/>
  </si>
  <si>
    <t>FY2020.Q4</t>
    <phoneticPr fontId="21" type="noConversion"/>
  </si>
  <si>
    <t>FY2021.Q1</t>
    <phoneticPr fontId="21" type="noConversion"/>
  </si>
  <si>
    <t>FY2021.Q4</t>
    <phoneticPr fontId="21" type="noConversion"/>
  </si>
  <si>
    <t>FY2020.Q1</t>
    <phoneticPr fontId="21" type="noConversion"/>
  </si>
  <si>
    <t>FY2020.Q3</t>
    <phoneticPr fontId="21" type="noConversion"/>
  </si>
  <si>
    <t>FY2020.Q4</t>
    <phoneticPr fontId="21" type="noConversion"/>
  </si>
  <si>
    <t>FY2021.Q1</t>
    <phoneticPr fontId="21" type="noConversion"/>
  </si>
  <si>
    <t>FY2021.Q3</t>
    <phoneticPr fontId="21" type="noConversion"/>
  </si>
  <si>
    <t>FY2021.Q4</t>
    <phoneticPr fontId="21" type="noConversion"/>
  </si>
  <si>
    <t>잡이익</t>
    <phoneticPr fontId="21" type="noConversion"/>
  </si>
  <si>
    <t>2SM002-CMXX69</t>
  </si>
  <si>
    <t>4ET013-CMXX22</t>
  </si>
  <si>
    <t>4IMB01-CMYE01</t>
  </si>
  <si>
    <t>4IMB01-CMYE02</t>
  </si>
  <si>
    <t>4IMB01-CMYE03</t>
  </si>
  <si>
    <t>4IMB01-CMYE07</t>
  </si>
  <si>
    <t>4IMB01-CMYE08</t>
  </si>
  <si>
    <t>3SM0010-CMXX02</t>
  </si>
  <si>
    <t>4IMB01-CMYE06</t>
  </si>
  <si>
    <t>4IMB01-CMYE04</t>
  </si>
  <si>
    <t>당기손익공정가치측정금융부채평가이익</t>
    <phoneticPr fontId="21" type="noConversion"/>
  </si>
  <si>
    <t>대손충당금환입</t>
    <phoneticPr fontId="21" type="noConversion"/>
  </si>
  <si>
    <t>대손충당금환입</t>
    <phoneticPr fontId="21" type="noConversion"/>
  </si>
  <si>
    <t>단기금융부채평가이익</t>
    <phoneticPr fontId="21" type="noConversion"/>
  </si>
  <si>
    <t>매출원가 반영금액</t>
  </si>
  <si>
    <t>매출원가 반영금액</t>
    <phoneticPr fontId="21" type="noConversion"/>
  </si>
  <si>
    <t>A13490</t>
    <phoneticPr fontId="21" type="noConversion"/>
  </si>
  <si>
    <t>제 23기말</t>
    <phoneticPr fontId="21" type="noConversion"/>
  </si>
  <si>
    <t>제 23 기 2021년 12월 31일 현재</t>
    <phoneticPr fontId="21" type="noConversion"/>
  </si>
  <si>
    <t>제 22 기 2020년 12월 31일 현재</t>
    <phoneticPr fontId="21" type="noConversion"/>
  </si>
  <si>
    <t>  I. 유동자산</t>
  </si>
  <si>
    <t>   현금및현금성자산</t>
  </si>
  <si>
    <t>   단기금융상품</t>
  </si>
  <si>
    <t>   매출채권및기타채권</t>
  </si>
  <si>
    <t>   재고자산</t>
  </si>
  <si>
    <t>   당기법인세자산</t>
  </si>
  <si>
    <t>   기타유동자산</t>
  </si>
  <si>
    <t>  II. 비유동자산</t>
  </si>
  <si>
    <t>   장기투자자산</t>
  </si>
  <si>
    <t>   관계기업투자주식</t>
  </si>
  <si>
    <t>   유형자산</t>
  </si>
  <si>
    <t>12, 14, 30, 31</t>
  </si>
  <si>
    <t>   무형자산</t>
  </si>
  <si>
    <t>  I. 유동부채</t>
  </si>
  <si>
    <t>    매입채무및기타채무</t>
  </si>
  <si>
    <t>    전환우선주부채</t>
  </si>
  <si>
    <t>    기타유동부채</t>
  </si>
  <si>
    <t>    리스부채</t>
  </si>
  <si>
    <t>    당기법인세부채</t>
  </si>
  <si>
    <t>  II. 비유동부채</t>
  </si>
  <si>
    <t>    순확정급여부채</t>
  </si>
  <si>
    <t>    기타비유동부채</t>
  </si>
  <si>
    <t>    장기리스부채</t>
  </si>
  <si>
    <t>  지배기업의 소유주에게 귀속되는 자본</t>
  </si>
  <si>
    <t>    I. 자본금</t>
  </si>
  <si>
    <t>    II. 자본잉여금</t>
  </si>
  <si>
    <t>    III. 기타자본항목</t>
  </si>
  <si>
    <t>    IV. 이익잉여금(결손금)</t>
  </si>
  <si>
    <t>  비지배지분</t>
  </si>
  <si>
    <t>제 23(당)기</t>
    <phoneticPr fontId="21" type="noConversion"/>
  </si>
  <si>
    <t>제 22(전)기</t>
    <phoneticPr fontId="21" type="noConversion"/>
  </si>
  <si>
    <t>당기순이익(손실)</t>
    <phoneticPr fontId="21" type="noConversion"/>
  </si>
  <si>
    <t>판매보증충당부채전입액(환입액)</t>
  </si>
  <si>
    <t>판매보증충당부채전입액(환입액)</t>
    <phoneticPr fontId="21" type="noConversion"/>
  </si>
  <si>
    <t>당기손익-공정가치측정 금융부채평가이익</t>
    <phoneticPr fontId="21" type="noConversion"/>
  </si>
  <si>
    <t>당기손익-공정가치측정 금융부채평가이익</t>
    <phoneticPr fontId="21" type="noConversion"/>
  </si>
  <si>
    <t>FY2021.Q3</t>
    <phoneticPr fontId="21" type="noConversion"/>
  </si>
  <si>
    <t>FY2021.Q2</t>
    <phoneticPr fontId="21" type="noConversion"/>
  </si>
  <si>
    <t>FY2021.Q1</t>
    <phoneticPr fontId="21" type="noConversion"/>
  </si>
  <si>
    <t>FY2020.Q4</t>
    <phoneticPr fontId="21" type="noConversion"/>
  </si>
  <si>
    <t>FY2019.Q4</t>
    <phoneticPr fontId="21" type="noConversion"/>
  </si>
  <si>
    <t>기타 현금유출이 없는 비용</t>
    <phoneticPr fontId="21" type="noConversion"/>
  </si>
  <si>
    <t>기타 현금유출이 없는 비용</t>
    <phoneticPr fontId="21" type="noConversion"/>
  </si>
  <si>
    <t>당기손익-공정가치측정 금융자산의 취득</t>
    <phoneticPr fontId="21" type="noConversion"/>
  </si>
  <si>
    <t>      리스부채의 감소</t>
    <phoneticPr fontId="21" type="noConversion"/>
  </si>
  <si>
    <t>리스부채의 감소</t>
    <phoneticPr fontId="21" type="noConversion"/>
  </si>
  <si>
    <t>리스부채의 감소</t>
    <phoneticPr fontId="21" type="noConversion"/>
  </si>
  <si>
    <t>전환우선주의 발행</t>
    <phoneticPr fontId="21" type="noConversion"/>
  </si>
  <si>
    <t xml:space="preserve">      전환우선주의 발행</t>
    <phoneticPr fontId="21" type="noConversion"/>
  </si>
  <si>
    <t>전환우선주의 발행</t>
    <phoneticPr fontId="21" type="noConversion"/>
  </si>
  <si>
    <t>2022.1.1 (당기초)</t>
    <phoneticPr fontId="21" type="noConversion"/>
  </si>
  <si>
    <t>A12540</t>
    <phoneticPr fontId="21" type="noConversion"/>
  </si>
  <si>
    <t>사용권자산감가상각비</t>
  </si>
  <si>
    <t>사용권자산감가상각비</t>
    <phoneticPr fontId="21" type="noConversion"/>
  </si>
  <si>
    <t>A12021</t>
  </si>
  <si>
    <t>A12021</t>
    <phoneticPr fontId="21" type="noConversion"/>
  </si>
  <si>
    <t>당기손익-공정가치측정 금융자산처분손실</t>
    <phoneticPr fontId="21" type="noConversion"/>
  </si>
  <si>
    <t>A13430</t>
    <phoneticPr fontId="21" type="noConversion"/>
  </si>
  <si>
    <t>A13430</t>
    <phoneticPr fontId="21" type="noConversion"/>
  </si>
  <si>
    <t>당기손익인식금융자산의 처분</t>
    <phoneticPr fontId="21" type="noConversion"/>
  </si>
  <si>
    <t>B11510</t>
    <phoneticPr fontId="21" type="noConversion"/>
  </si>
  <si>
    <t>당기손익인식금융자산의 취득</t>
    <phoneticPr fontId="21" type="noConversion"/>
  </si>
  <si>
    <t>B12510</t>
    <phoneticPr fontId="5" type="noConversion"/>
  </si>
  <si>
    <t>당기손익-공정가치측정 금융자산의 처분</t>
    <phoneticPr fontId="21" type="noConversion"/>
  </si>
  <si>
    <t>현금의 유출이 없는 비용 등의 가산</t>
    <phoneticPr fontId="5" type="noConversion"/>
  </si>
  <si>
    <t>기타 현금의 유출이 없는 비용 등</t>
    <phoneticPr fontId="21" type="noConversion"/>
  </si>
  <si>
    <t>현금의 유입이 없는 수익 등의 차감</t>
    <phoneticPr fontId="21" type="noConversion"/>
  </si>
  <si>
    <t>당기손익-공정가치측정 금융자산의 처분</t>
  </si>
  <si>
    <t>FY2022.Q1</t>
  </si>
  <si>
    <t>FY2022.Q1</t>
    <phoneticPr fontId="21" type="noConversion"/>
  </si>
  <si>
    <t>FY2022.Q1</t>
    <phoneticPr fontId="21" type="noConversion"/>
  </si>
  <si>
    <t>FY2022.Q1</t>
    <phoneticPr fontId="21" type="noConversion"/>
  </si>
  <si>
    <t>FY2021.Q1</t>
    <phoneticPr fontId="21" type="noConversion"/>
  </si>
  <si>
    <t>당기초에 발행된 것으로 간주된 전환우선주</t>
    <phoneticPr fontId="21" type="noConversion"/>
  </si>
  <si>
    <t>FY2022.Q1</t>
    <phoneticPr fontId="21" type="noConversion"/>
  </si>
  <si>
    <t>4SM002-CMXX57</t>
  </si>
  <si>
    <t>NCT OFFICIAL FANLIGHT</t>
  </si>
  <si>
    <t>LIFE DESIGN COMPANY  Inc.</t>
  </si>
  <si>
    <t>LIFE DESIGN COMPANY  Inc.</t>
    <phoneticPr fontId="21" type="noConversion"/>
  </si>
  <si>
    <t>Iriver Enterprise Ltd.</t>
  </si>
  <si>
    <t>Iriver Enterprise Ltd.</t>
    <phoneticPr fontId="21" type="noConversion"/>
  </si>
  <si>
    <t>잡손실</t>
    <phoneticPr fontId="21" type="noConversion"/>
  </si>
  <si>
    <t>FY2022.Q2</t>
    <phoneticPr fontId="21" type="noConversion"/>
  </si>
  <si>
    <t>2021.1.1 (전기초)</t>
    <phoneticPr fontId="21" type="noConversion"/>
  </si>
  <si>
    <t xml:space="preserve">  종속기업및관계기업투자관련손익</t>
    <phoneticPr fontId="21" type="noConversion"/>
  </si>
  <si>
    <t>Ⅵ.당기순이익(손실)</t>
    <phoneticPr fontId="21" type="noConversion"/>
  </si>
  <si>
    <t>FY2020.Q4</t>
    <phoneticPr fontId="21" type="noConversion"/>
  </si>
  <si>
    <t>FY2018.Q4</t>
    <phoneticPr fontId="21" type="noConversion"/>
  </si>
  <si>
    <t>FY2019.Q4</t>
    <phoneticPr fontId="21" type="noConversion"/>
  </si>
  <si>
    <t>FY2020.Q4</t>
    <phoneticPr fontId="21" type="noConversion"/>
  </si>
  <si>
    <t>사용권감가/기타</t>
  </si>
  <si>
    <t>복구공사이익</t>
  </si>
  <si>
    <t>복구공사이익</t>
    <phoneticPr fontId="21" type="noConversion"/>
  </si>
  <si>
    <t>대손충당금환입</t>
  </si>
  <si>
    <t>대손충당금환입</t>
    <phoneticPr fontId="21" type="noConversion"/>
  </si>
  <si>
    <t>외상매입금(원화)</t>
    <phoneticPr fontId="21" type="noConversion"/>
  </si>
  <si>
    <t>손상누계</t>
    <phoneticPr fontId="21" type="noConversion"/>
  </si>
  <si>
    <t>기초장부가액</t>
    <phoneticPr fontId="21" type="noConversion"/>
  </si>
  <si>
    <t>취득가액</t>
    <phoneticPr fontId="21" type="noConversion"/>
  </si>
  <si>
    <t>손상누계</t>
    <phoneticPr fontId="21" type="noConversion"/>
  </si>
  <si>
    <t>기말장부가액</t>
    <phoneticPr fontId="21" type="noConversion"/>
  </si>
  <si>
    <t>비용(원가)</t>
    <phoneticPr fontId="21" type="noConversion"/>
  </si>
  <si>
    <t>비용(판관비)</t>
    <phoneticPr fontId="21" type="noConversion"/>
  </si>
  <si>
    <t>비용(판관비)</t>
    <phoneticPr fontId="21" type="noConversion"/>
  </si>
  <si>
    <t>수익(영업외)</t>
    <phoneticPr fontId="21" type="noConversion"/>
  </si>
  <si>
    <t>비용(영업외)</t>
    <phoneticPr fontId="21" type="noConversion"/>
  </si>
  <si>
    <t>FY2021.Q4</t>
    <phoneticPr fontId="21" type="noConversion"/>
  </si>
  <si>
    <t>FY2021.Q3</t>
    <phoneticPr fontId="21" type="noConversion"/>
  </si>
  <si>
    <t>비용(원가)</t>
    <phoneticPr fontId="21" type="noConversion"/>
  </si>
  <si>
    <t>비용(판관비)</t>
    <phoneticPr fontId="21" type="noConversion"/>
  </si>
  <si>
    <t>수익(영업외)</t>
    <phoneticPr fontId="21" type="noConversion"/>
  </si>
  <si>
    <t>FY2021.Q4</t>
    <phoneticPr fontId="21" type="noConversion"/>
  </si>
  <si>
    <t>FY2021.Q1</t>
    <phoneticPr fontId="21" type="noConversion"/>
  </si>
  <si>
    <t>FY2021.Q2</t>
    <phoneticPr fontId="21" type="noConversion"/>
  </si>
  <si>
    <t>임차보증금(유동)현재가치할인차금</t>
    <phoneticPr fontId="21" type="noConversion"/>
  </si>
  <si>
    <t>사용권자산(기타)</t>
    <phoneticPr fontId="21" type="noConversion"/>
  </si>
  <si>
    <t>사용권자산(기타)감가상각누계액</t>
    <phoneticPr fontId="21" type="noConversion"/>
  </si>
  <si>
    <t>당기순이익</t>
    <phoneticPr fontId="21" type="noConversion"/>
  </si>
  <si>
    <t>영업이익(손실)</t>
    <phoneticPr fontId="21" type="noConversion"/>
  </si>
  <si>
    <t xml:space="preserve"> 유형자산</t>
    <phoneticPr fontId="21" type="noConversion"/>
  </si>
  <si>
    <t xml:space="preserve"> 관계기업투자주식</t>
    <phoneticPr fontId="21" type="noConversion"/>
  </si>
  <si>
    <t xml:space="preserve"> 장기투자자산</t>
    <phoneticPr fontId="21" type="noConversion"/>
  </si>
  <si>
    <t xml:space="preserve"> 매출채권및기타채권</t>
    <phoneticPr fontId="21" type="noConversion"/>
  </si>
  <si>
    <t xml:space="preserve"> 매입채무및기타채무</t>
    <phoneticPr fontId="21" type="noConversion"/>
  </si>
  <si>
    <t xml:space="preserve"> 전환우선주부채</t>
    <phoneticPr fontId="21" type="noConversion"/>
  </si>
  <si>
    <t xml:space="preserve"> 기타유동부채</t>
    <phoneticPr fontId="21" type="noConversion"/>
  </si>
  <si>
    <t xml:space="preserve"> 리스부채</t>
    <phoneticPr fontId="21" type="noConversion"/>
  </si>
  <si>
    <t xml:space="preserve"> 당기법인세부채</t>
    <phoneticPr fontId="21" type="noConversion"/>
  </si>
  <si>
    <t xml:space="preserve"> 매입채무및기타채무</t>
    <phoneticPr fontId="21" type="noConversion"/>
  </si>
  <si>
    <t xml:space="preserve"> 순확정급여부채</t>
    <phoneticPr fontId="21" type="noConversion"/>
  </si>
  <si>
    <t xml:space="preserve"> 기타비유동부채</t>
    <phoneticPr fontId="21" type="noConversion"/>
  </si>
  <si>
    <t xml:space="preserve"> 리스부채</t>
    <phoneticPr fontId="21" type="noConversion"/>
  </si>
  <si>
    <t xml:space="preserve"> 이연법인세부채</t>
    <phoneticPr fontId="21" type="noConversion"/>
  </si>
  <si>
    <t xml:space="preserve"> 현금및현금성자산</t>
    <phoneticPr fontId="21" type="noConversion"/>
  </si>
  <si>
    <t xml:space="preserve"> 단기금융상품</t>
    <phoneticPr fontId="21" type="noConversion"/>
  </si>
  <si>
    <t xml:space="preserve"> 매출채권및기타채권</t>
    <phoneticPr fontId="21" type="noConversion"/>
  </si>
  <si>
    <t xml:space="preserve"> 재고자산</t>
    <phoneticPr fontId="21" type="noConversion"/>
  </si>
  <si>
    <t xml:space="preserve"> 당기법인세자산</t>
    <phoneticPr fontId="21" type="noConversion"/>
  </si>
  <si>
    <t xml:space="preserve"> 기타유동자산</t>
    <phoneticPr fontId="21" type="noConversion"/>
  </si>
  <si>
    <t>과목</t>
    <phoneticPr fontId="21" type="noConversion"/>
  </si>
  <si>
    <t>자산</t>
    <phoneticPr fontId="21" type="noConversion"/>
  </si>
  <si>
    <t>주석</t>
    <phoneticPr fontId="21" type="noConversion"/>
  </si>
  <si>
    <t>부채</t>
    <phoneticPr fontId="21" type="noConversion"/>
  </si>
  <si>
    <t>부채 총계</t>
    <phoneticPr fontId="21" type="noConversion"/>
  </si>
  <si>
    <t>자본</t>
    <phoneticPr fontId="21" type="noConversion"/>
  </si>
  <si>
    <t>자산 총계</t>
    <phoneticPr fontId="21" type="noConversion"/>
  </si>
  <si>
    <t>자본 총계</t>
    <phoneticPr fontId="21" type="noConversion"/>
  </si>
  <si>
    <t>부채 및  자본 총계</t>
    <phoneticPr fontId="21" type="noConversion"/>
  </si>
  <si>
    <t>과목</t>
    <phoneticPr fontId="21" type="noConversion"/>
  </si>
  <si>
    <t>과목</t>
    <phoneticPr fontId="21" type="noConversion"/>
  </si>
  <si>
    <t> 후속적으로 당기손익으로 재분류되지 않는 포괄손익 :</t>
    <phoneticPr fontId="21" type="noConversion"/>
  </si>
  <si>
    <t> 후속적으로 당기손익으로 재분류되는 포괄손익 :</t>
    <phoneticPr fontId="21" type="noConversion"/>
  </si>
  <si>
    <t>3개월</t>
    <phoneticPr fontId="21" type="noConversion"/>
  </si>
  <si>
    <t>누적</t>
    <phoneticPr fontId="21" type="noConversion"/>
  </si>
  <si>
    <t>누적</t>
    <phoneticPr fontId="21" type="noConversion"/>
  </si>
  <si>
    <t>자산 총계</t>
    <phoneticPr fontId="21" type="noConversion"/>
  </si>
  <si>
    <t>부채</t>
    <phoneticPr fontId="21" type="noConversion"/>
  </si>
  <si>
    <t>자본</t>
    <phoneticPr fontId="21" type="noConversion"/>
  </si>
  <si>
    <t>자본 총계</t>
    <phoneticPr fontId="21" type="noConversion"/>
  </si>
  <si>
    <t>부채 및 자본 총계</t>
    <phoneticPr fontId="21" type="noConversion"/>
  </si>
  <si>
    <t>주석</t>
    <phoneticPr fontId="21" type="noConversion"/>
  </si>
  <si>
    <t>자산 총계</t>
    <phoneticPr fontId="21" type="noConversion"/>
  </si>
  <si>
    <t>부채 총계</t>
    <phoneticPr fontId="21" type="noConversion"/>
  </si>
  <si>
    <t>자본 총계</t>
    <phoneticPr fontId="21" type="noConversion"/>
  </si>
  <si>
    <t>제 23 기말</t>
    <phoneticPr fontId="18" type="noConversion"/>
  </si>
  <si>
    <t>제 22 기말</t>
    <phoneticPr fontId="18" type="noConversion"/>
  </si>
  <si>
    <t>제 21 기말</t>
    <phoneticPr fontId="18" type="noConversion"/>
  </si>
  <si>
    <t>부가세대급금</t>
    <phoneticPr fontId="21" type="noConversion"/>
  </si>
  <si>
    <t>부가세예수금</t>
    <phoneticPr fontId="21" type="noConversion"/>
  </si>
  <si>
    <t>사용권감가/기타</t>
    <phoneticPr fontId="21" type="noConversion"/>
  </si>
  <si>
    <t>사용권자산(기타)</t>
    <phoneticPr fontId="21" type="noConversion"/>
  </si>
  <si>
    <t>사용권자산(기타)감가상각누계액</t>
    <phoneticPr fontId="21" type="noConversion"/>
  </si>
  <si>
    <t>전환우선주부채(유동)</t>
    <phoneticPr fontId="21" type="noConversion"/>
  </si>
  <si>
    <t>지분법이익(손실) (메이크어스)</t>
    <phoneticPr fontId="21" type="noConversion"/>
  </si>
  <si>
    <t>지분법이익(손실) (비마이프렌즈)</t>
    <phoneticPr fontId="21" type="noConversion"/>
  </si>
  <si>
    <t>지분법이익(손실) (빗썸메타)</t>
    <phoneticPr fontId="21" type="noConversion"/>
  </si>
  <si>
    <t>관계기업투자주식처분이익(손실) (빗썸메타)</t>
    <phoneticPr fontId="21" type="noConversion"/>
  </si>
  <si>
    <t>관계기업투자주식처분이익(손실) (비마이프렌즈)</t>
    <phoneticPr fontId="21" type="noConversion"/>
  </si>
  <si>
    <t>관계기업투자주식처분이익(손실) (메이크어스)</t>
    <phoneticPr fontId="21" type="noConversion"/>
  </si>
  <si>
    <t>관계기업투자주식처분손실(이익)</t>
    <phoneticPr fontId="21" type="noConversion"/>
  </si>
  <si>
    <t>Tickmark ID</t>
  </si>
  <si>
    <t>Description</t>
  </si>
  <si>
    <t>Occurrences</t>
  </si>
  <si>
    <t>Reviewed By</t>
  </si>
  <si>
    <t>Review Date</t>
  </si>
  <si>
    <t>Review Note Number</t>
  </si>
  <si>
    <t>Text</t>
  </si>
  <si>
    <t>Status</t>
  </si>
  <si>
    <t>Priority</t>
  </si>
  <si>
    <t>Creator</t>
  </si>
  <si>
    <t>Created Date</t>
  </si>
  <si>
    <t>Clearer</t>
  </si>
  <si>
    <t>Cleared Date</t>
  </si>
  <si>
    <t>Closer</t>
  </si>
  <si>
    <t>Closed Date</t>
  </si>
  <si>
    <t>Source Entity Name</t>
  </si>
  <si>
    <t>Source Entity Type</t>
  </si>
  <si>
    <t>Target Entity Name</t>
  </si>
  <si>
    <t>Target Entity Type</t>
  </si>
  <si>
    <t>Source Value</t>
  </si>
  <si>
    <t>Target Value</t>
  </si>
  <si>
    <t>Target Name</t>
  </si>
  <si>
    <t>NCR Status</t>
  </si>
  <si>
    <t>복구공사이익</t>
    <phoneticPr fontId="21" type="noConversion"/>
  </si>
  <si>
    <t>5. 법인세의 환급</t>
    <phoneticPr fontId="21" type="noConversion"/>
  </si>
  <si>
    <t>법인세의 환급</t>
    <phoneticPr fontId="21" type="noConversion"/>
  </si>
  <si>
    <t>지분법손실</t>
    <phoneticPr fontId="21" type="noConversion"/>
  </si>
  <si>
    <t>지분법손실</t>
    <phoneticPr fontId="21" type="noConversion"/>
  </si>
  <si>
    <t>법인세비용</t>
    <phoneticPr fontId="21" type="noConversion"/>
  </si>
  <si>
    <t>퇴직급여</t>
    <phoneticPr fontId="21" type="noConversion"/>
  </si>
  <si>
    <t>감가상각비</t>
    <phoneticPr fontId="21" type="noConversion"/>
  </si>
  <si>
    <t>무형자산상각비</t>
    <phoneticPr fontId="21" type="noConversion"/>
  </si>
  <si>
    <t>주식보상비용</t>
    <phoneticPr fontId="21" type="noConversion"/>
  </si>
  <si>
    <t>대손상각비(환입액)</t>
    <phoneticPr fontId="21" type="noConversion"/>
  </si>
  <si>
    <t>기타의대손상각비(환입액)</t>
    <phoneticPr fontId="21" type="noConversion"/>
  </si>
  <si>
    <t>반품충당부채전입액</t>
    <phoneticPr fontId="21" type="noConversion"/>
  </si>
  <si>
    <t>복구충당부채전입액(환입액)</t>
    <phoneticPr fontId="21" type="noConversion"/>
  </si>
  <si>
    <t>재고자산평가손실(환입액)</t>
    <phoneticPr fontId="21" type="noConversion"/>
  </si>
  <si>
    <t>이자비용</t>
    <phoneticPr fontId="21" type="noConversion"/>
  </si>
  <si>
    <t>외화환산손실</t>
    <phoneticPr fontId="21" type="noConversion"/>
  </si>
  <si>
    <t>유형자산손상차손</t>
    <phoneticPr fontId="21" type="noConversion"/>
  </si>
  <si>
    <t>유형자산폐기손실</t>
    <phoneticPr fontId="21" type="noConversion"/>
  </si>
  <si>
    <t>무형자산손상차손</t>
    <phoneticPr fontId="21" type="noConversion"/>
  </si>
  <si>
    <t>유형자산처분손실</t>
    <phoneticPr fontId="21" type="noConversion"/>
  </si>
  <si>
    <t>무형자산처분손실</t>
    <phoneticPr fontId="21" type="noConversion"/>
  </si>
  <si>
    <t>종속기업투자주식손상차손</t>
    <phoneticPr fontId="21" type="noConversion"/>
  </si>
  <si>
    <t>잡손실</t>
    <phoneticPr fontId="21" type="noConversion"/>
  </si>
  <si>
    <t>당기손익-공정가치측정 금융자산평가손실</t>
    <phoneticPr fontId="21" type="noConversion"/>
  </si>
  <si>
    <t>당기손익공정가치측정금융부채평가손실</t>
    <phoneticPr fontId="21" type="noConversion"/>
  </si>
  <si>
    <t>관계기업투자주식처분손실</t>
    <phoneticPr fontId="21" type="noConversion"/>
  </si>
  <si>
    <t>종속기업투자주식처분손실</t>
    <phoneticPr fontId="21" type="noConversion"/>
  </si>
  <si>
    <t>이자수익</t>
    <phoneticPr fontId="21" type="noConversion"/>
  </si>
  <si>
    <t>외화환산이익</t>
    <phoneticPr fontId="21" type="noConversion"/>
  </si>
  <si>
    <t>당기손익인식금융자산평가이익</t>
    <phoneticPr fontId="21" type="noConversion"/>
  </si>
  <si>
    <t>당기손익-공정가치측정 금융자산평가이익</t>
    <phoneticPr fontId="21" type="noConversion"/>
  </si>
  <si>
    <t>당기손익-공정가치측정 금융자산처분이익</t>
    <phoneticPr fontId="21" type="noConversion"/>
  </si>
  <si>
    <t>유형자산처분이익</t>
    <phoneticPr fontId="21" type="noConversion"/>
  </si>
  <si>
    <t>무형자산처분이익</t>
    <phoneticPr fontId="21" type="noConversion"/>
  </si>
  <si>
    <t>지분법이익</t>
    <phoneticPr fontId="21" type="noConversion"/>
  </si>
  <si>
    <t>관계기업투자주식처분이익</t>
    <phoneticPr fontId="21" type="noConversion"/>
  </si>
  <si>
    <t>기타수익</t>
    <phoneticPr fontId="21" type="noConversion"/>
  </si>
  <si>
    <t>단기대여금의 감소</t>
    <phoneticPr fontId="21" type="noConversion"/>
  </si>
  <si>
    <t>임차보증금의 감소</t>
    <phoneticPr fontId="21" type="noConversion"/>
  </si>
  <si>
    <t>기타보증금의 감소</t>
    <phoneticPr fontId="21" type="noConversion"/>
  </si>
  <si>
    <t>당기손익-공정가치측정 금융자산의 감소</t>
    <phoneticPr fontId="21" type="noConversion"/>
  </si>
  <si>
    <t>유형자산의 처분</t>
    <phoneticPr fontId="21" type="noConversion"/>
  </si>
  <si>
    <t>무형자산의 처분</t>
    <phoneticPr fontId="21" type="noConversion"/>
  </si>
  <si>
    <t>합병으로 인한 현금유입액</t>
    <phoneticPr fontId="21" type="noConversion"/>
  </si>
  <si>
    <t>단기대여금의 증가</t>
    <phoneticPr fontId="21" type="noConversion"/>
  </si>
  <si>
    <t>단기금융상품의 증가</t>
    <phoneticPr fontId="21" type="noConversion"/>
  </si>
  <si>
    <t>장기대여금의 증가</t>
    <phoneticPr fontId="21" type="noConversion"/>
  </si>
  <si>
    <t>임차보증금의 증가</t>
    <phoneticPr fontId="21" type="noConversion"/>
  </si>
  <si>
    <t>기타보증금의 증가</t>
    <phoneticPr fontId="21" type="noConversion"/>
  </si>
  <si>
    <t>기타유동자산의 증가</t>
    <phoneticPr fontId="21" type="noConversion"/>
  </si>
  <si>
    <t>당기손익인식금융자산의 증가</t>
    <phoneticPr fontId="21" type="noConversion"/>
  </si>
  <si>
    <t>관계기업 취득에 따른 순현금흐름</t>
    <phoneticPr fontId="21" type="noConversion"/>
  </si>
  <si>
    <t>종속기업 취득에 따른 순현금흐름</t>
    <phoneticPr fontId="21" type="noConversion"/>
  </si>
  <si>
    <t>종속기업 처분에 따른 순현금흐름</t>
    <phoneticPr fontId="21" type="noConversion"/>
  </si>
  <si>
    <t>유형자산의 취득</t>
    <phoneticPr fontId="21" type="noConversion"/>
  </si>
  <si>
    <t>무형자산의 취득</t>
    <phoneticPr fontId="21" type="noConversion"/>
  </si>
  <si>
    <t>사업양수에 따른 지급</t>
    <phoneticPr fontId="21" type="noConversion"/>
  </si>
  <si>
    <t>별도 결손금 자본잉여금 보전</t>
  </si>
  <si>
    <t>별도 결손금 자본잉여금 보전</t>
    <phoneticPr fontId="21" type="noConversion"/>
  </si>
  <si>
    <t>관계기업의 해외사업환산</t>
    <phoneticPr fontId="21" type="noConversion"/>
  </si>
  <si>
    <t>-</t>
    <phoneticPr fontId="21" type="noConversion"/>
  </si>
  <si>
    <t>주식선택권가득 후 소멸 분 계정대체</t>
    <phoneticPr fontId="21" type="noConversion"/>
  </si>
  <si>
    <t>보험수리적손익</t>
    <phoneticPr fontId="21" type="noConversion"/>
  </si>
  <si>
    <t>이익잉여금(결손금)</t>
    <phoneticPr fontId="21" type="noConversion"/>
  </si>
  <si>
    <t>합계</t>
    <phoneticPr fontId="21" type="noConversion"/>
  </si>
  <si>
    <t>해외사업장환산외환차이</t>
    <phoneticPr fontId="21" type="noConversion"/>
  </si>
  <si>
    <t xml:space="preserve">  해외사업장환산외환차이</t>
    <phoneticPr fontId="21" type="noConversion"/>
  </si>
  <si>
    <t>금융수익</t>
    <phoneticPr fontId="21" type="noConversion"/>
  </si>
  <si>
    <t>금융비용</t>
    <phoneticPr fontId="21" type="noConversion"/>
  </si>
  <si>
    <t>기타영업외수익</t>
    <phoneticPr fontId="21" type="noConversion"/>
  </si>
  <si>
    <t>기타영업외비용</t>
    <phoneticPr fontId="21" type="noConversion"/>
  </si>
  <si>
    <t>종속기업및관계기업투자관련손익</t>
    <phoneticPr fontId="21" type="noConversion"/>
  </si>
  <si>
    <t>법인세비용(수익)</t>
    <phoneticPr fontId="21" type="noConversion"/>
  </si>
  <si>
    <t>지배기업의 소유주지분</t>
    <phoneticPr fontId="21" type="noConversion"/>
  </si>
  <si>
    <t>비지배지분</t>
    <phoneticPr fontId="21" type="noConversion"/>
  </si>
  <si>
    <t>확정급여제도의 재측정요소</t>
    <phoneticPr fontId="21" type="noConversion"/>
  </si>
  <si>
    <t>해외사업장환산외환차이</t>
    <phoneticPr fontId="21" type="noConversion"/>
  </si>
  <si>
    <t>지배기업의 소유주지분</t>
    <phoneticPr fontId="21" type="noConversion"/>
  </si>
  <si>
    <t>기본주당이익(손실)</t>
    <phoneticPr fontId="21" type="noConversion"/>
  </si>
  <si>
    <t>희석주당이익(손실)</t>
    <phoneticPr fontId="21" type="noConversion"/>
  </si>
  <si>
    <t>후속적으로 당기손익으로 재분류되는 기타포괄손익 :</t>
    <phoneticPr fontId="21" type="noConversion"/>
  </si>
  <si>
    <t>후속적으로 당기손익으로 재분류되지 않는 기타포괄손익 :</t>
    <phoneticPr fontId="21" type="noConversion"/>
  </si>
  <si>
    <t>판매비와관리비</t>
    <phoneticPr fontId="21" type="noConversion"/>
  </si>
  <si>
    <t>총포괄손익:</t>
    <phoneticPr fontId="21" type="noConversion"/>
  </si>
  <si>
    <t>당기순이익(손실)</t>
    <phoneticPr fontId="21" type="noConversion"/>
  </si>
  <si>
    <t>해외사업장환산외환차이</t>
    <phoneticPr fontId="21" type="noConversion"/>
  </si>
  <si>
    <t>자본에 직접 반영된 소유주와의 거래:</t>
    <phoneticPr fontId="21" type="noConversion"/>
  </si>
  <si>
    <t>전환사채의 전환</t>
    <phoneticPr fontId="21" type="noConversion"/>
  </si>
  <si>
    <t>사업결합</t>
    <phoneticPr fontId="21" type="noConversion"/>
  </si>
  <si>
    <t>주식보상비용</t>
    <phoneticPr fontId="21" type="noConversion"/>
  </si>
  <si>
    <t>총포괄손익:</t>
    <phoneticPr fontId="21" type="noConversion"/>
  </si>
  <si>
    <t>확정급여제도의 재측정요소</t>
    <phoneticPr fontId="21" type="noConversion"/>
  </si>
  <si>
    <t>자본에 직접 반영된 소유주와의 거래:</t>
    <phoneticPr fontId="21" type="noConversion"/>
  </si>
  <si>
    <t>자본잉여금 결손금 보전</t>
    <phoneticPr fontId="21" type="noConversion"/>
  </si>
  <si>
    <t>주식보상비용</t>
    <phoneticPr fontId="21" type="noConversion"/>
  </si>
  <si>
    <t>매입채무및기타채무_비유동</t>
  </si>
  <si>
    <t>매입채무및기타채무_비유동</t>
    <phoneticPr fontId="21" type="noConversion"/>
  </si>
  <si>
    <t>자산</t>
    <phoneticPr fontId="21" type="noConversion"/>
  </si>
  <si>
    <t>* 21년 별도 결손금 자본잉여금 보전</t>
    <phoneticPr fontId="21" type="noConversion"/>
  </si>
  <si>
    <t>지분법자본변동</t>
    <phoneticPr fontId="21" type="noConversion"/>
  </si>
  <si>
    <t>지분법자본변동</t>
    <phoneticPr fontId="21" type="noConversion"/>
  </si>
  <si>
    <t xml:space="preserve">  지분법자본변동</t>
    <phoneticPr fontId="21" type="noConversion"/>
  </si>
  <si>
    <t>FY2022.Q2</t>
  </si>
  <si>
    <t>4ET014-CMXX37</t>
  </si>
  <si>
    <t>4ET014-CMXX40</t>
  </si>
  <si>
    <t>Minions BTスピーカー（BOB）</t>
  </si>
  <si>
    <t>Minions BTスピーカー（KEVIN）</t>
  </si>
  <si>
    <t>Minions BTスピーカー（OTTO）</t>
  </si>
  <si>
    <t>Minions　歯ブラシ除菌器</t>
  </si>
  <si>
    <t>aespa OFFFICIAL FANLIGHT</t>
  </si>
  <si>
    <t>FANLIGHT CUSTOM EMBLEM karina Ver.</t>
  </si>
  <si>
    <t>FANLIGHT CUSTOM EMBLEM winter Ver.</t>
  </si>
  <si>
    <t>FANLIGHT CUSTOM EMBLEM giselle Ver.</t>
  </si>
  <si>
    <t>FANLIGHT CUSTOM EMBLEM ningninga Ver.</t>
  </si>
  <si>
    <t>선수금(외화_콘텐츠)</t>
  </si>
  <si>
    <t>결손금 보전(드림어스별도)</t>
    <phoneticPr fontId="21" type="noConversion"/>
  </si>
  <si>
    <t>결손금보전</t>
    <phoneticPr fontId="21" type="noConversion"/>
  </si>
  <si>
    <t>FY2022.07</t>
    <phoneticPr fontId="21" type="noConversion"/>
  </si>
  <si>
    <t>전기말 대비 증감</t>
    <phoneticPr fontId="21" type="noConversion"/>
  </si>
  <si>
    <t>FY2022.07</t>
    <phoneticPr fontId="21" type="noConversion"/>
  </si>
  <si>
    <t>LIFE DESIGN 
COMPANY  Inc.</t>
    <phoneticPr fontId="21" type="noConversion"/>
  </si>
  <si>
    <t>전월 대비 
증감</t>
    <phoneticPr fontId="21" type="noConversion"/>
  </si>
  <si>
    <t>FY2022.08</t>
  </si>
  <si>
    <t>FY2022.08</t>
    <phoneticPr fontId="21" type="noConversion"/>
  </si>
  <si>
    <t>FY2022.Q2</t>
    <phoneticPr fontId="21" type="noConversion"/>
  </si>
  <si>
    <t>제24기 3분기</t>
    <phoneticPr fontId="21" type="noConversion"/>
  </si>
  <si>
    <t>제23기 3분기</t>
    <phoneticPr fontId="21" type="noConversion"/>
  </si>
  <si>
    <t>제 24기 3분기</t>
    <phoneticPr fontId="21" type="noConversion"/>
  </si>
  <si>
    <t>제 24 기말</t>
    <phoneticPr fontId="18" type="noConversion"/>
  </si>
  <si>
    <t>2022.9.30 (당기말)</t>
    <phoneticPr fontId="21" type="noConversion"/>
  </si>
  <si>
    <t>2021.09.30 (전기말)</t>
    <phoneticPr fontId="21" type="noConversion"/>
  </si>
  <si>
    <t>연결조정</t>
    <phoneticPr fontId="21" type="noConversion"/>
  </si>
  <si>
    <t>4, 26</t>
    <phoneticPr fontId="21" type="noConversion"/>
  </si>
  <si>
    <t>4, 26</t>
    <phoneticPr fontId="21" type="noConversion"/>
  </si>
  <si>
    <t>16, 20, 26</t>
  </si>
  <si>
    <t>16, 20, 26</t>
    <phoneticPr fontId="21" type="noConversion"/>
  </si>
  <si>
    <t>5, 21, 26</t>
  </si>
  <si>
    <t>5, 21, 26</t>
    <phoneticPr fontId="21" type="noConversion"/>
  </si>
  <si>
    <t>5, 21</t>
  </si>
  <si>
    <t>5, 21</t>
    <phoneticPr fontId="21" type="noConversion"/>
  </si>
  <si>
    <t>4, 9</t>
  </si>
  <si>
    <t>4, 9</t>
    <phoneticPr fontId="21" type="noConversion"/>
  </si>
  <si>
    <t>5, 6, 26</t>
  </si>
  <si>
    <t>5, 6, 26</t>
    <phoneticPr fontId="21" type="noConversion"/>
  </si>
  <si>
    <t>5, 6, 26</t>
    <phoneticPr fontId="21" type="noConversion"/>
  </si>
  <si>
    <t>10, 12, 26, 27</t>
  </si>
  <si>
    <t>10, 12, 26, 27</t>
    <phoneticPr fontId="21" type="noConversion"/>
  </si>
  <si>
    <t>11, 27</t>
  </si>
  <si>
    <t>11, 27</t>
    <phoneticPr fontId="21" type="noConversion"/>
  </si>
  <si>
    <t>5, 13, 26</t>
  </si>
  <si>
    <t>5, 13, 26</t>
    <phoneticPr fontId="21" type="noConversion"/>
  </si>
  <si>
    <t>5, 15, 27</t>
  </si>
  <si>
    <t>5, 15, 27</t>
    <phoneticPr fontId="21" type="noConversion"/>
  </si>
  <si>
    <t>5, 12, 27</t>
  </si>
  <si>
    <t>5, 12, 27</t>
    <phoneticPr fontId="21" type="noConversion"/>
  </si>
  <si>
    <t>5, 12, 27</t>
    <phoneticPr fontId="21" type="noConversion"/>
  </si>
  <si>
    <t>1, 17</t>
  </si>
  <si>
    <t>1, 17</t>
    <phoneticPr fontId="21" type="noConversion"/>
  </si>
  <si>
    <t>18, 19</t>
  </si>
  <si>
    <t>18, 19</t>
    <phoneticPr fontId="21" type="noConversion"/>
  </si>
  <si>
    <t>Ⅰ. 자본금</t>
    <phoneticPr fontId="21" type="noConversion"/>
  </si>
  <si>
    <t>Ⅱ. 자본잉여금</t>
    <phoneticPr fontId="21" type="noConversion"/>
  </si>
  <si>
    <t>Ⅲ. 기타자본항목</t>
    <phoneticPr fontId="21" type="noConversion"/>
  </si>
  <si>
    <t>Ⅳ. 결손금</t>
    <phoneticPr fontId="21" type="noConversion"/>
  </si>
  <si>
    <t>광고/매체광고</t>
  </si>
  <si>
    <t>광고/매체광고</t>
    <phoneticPr fontId="21" type="noConversion"/>
  </si>
  <si>
    <t>2022.09.30</t>
    <phoneticPr fontId="21" type="noConversion"/>
  </si>
  <si>
    <t>환산차대</t>
  </si>
  <si>
    <t>연결조정 추가</t>
    <phoneticPr fontId="21" type="noConversion"/>
  </si>
  <si>
    <t>스튜디오 돌핀_비품 손상 조정 분개</t>
    <phoneticPr fontId="21" type="noConversion"/>
  </si>
  <si>
    <t>자기주식처분</t>
    <phoneticPr fontId="21" type="noConversion"/>
  </si>
  <si>
    <t>V1.0</t>
    <phoneticPr fontId="21" type="noConversion"/>
  </si>
  <si>
    <t>2021.4Q</t>
    <phoneticPr fontId="21" type="noConversion"/>
  </si>
  <si>
    <t>2022.3Q</t>
    <phoneticPr fontId="21" type="noConversion"/>
  </si>
  <si>
    <t>투자활동으로 인한 현금유출액</t>
    <phoneticPr fontId="21" type="noConversion"/>
  </si>
  <si>
    <t>유형자산 처분 내부거래 제거</t>
    <phoneticPr fontId="21" type="noConversion"/>
  </si>
  <si>
    <t>CFS V1.0</t>
    <phoneticPr fontId="21" type="noConversion"/>
  </si>
  <si>
    <t xml:space="preserve">      자기주식의 처분</t>
    <phoneticPr fontId="21" type="noConversion"/>
  </si>
  <si>
    <t>V1.0</t>
    <phoneticPr fontId="21" type="noConversion"/>
  </si>
  <si>
    <t>V1.0</t>
    <phoneticPr fontId="21" type="noConversion"/>
  </si>
  <si>
    <t>FY2022.10</t>
    <phoneticPr fontId="21" type="noConversion"/>
  </si>
  <si>
    <t>FY2022.10</t>
    <phoneticPr fontId="21" type="noConversion"/>
  </si>
  <si>
    <t>FY2022.10
(당월)</t>
    <phoneticPr fontId="21" type="noConversion"/>
  </si>
  <si>
    <t>FY2022.09
(전월)</t>
    <phoneticPr fontId="21" type="noConversion"/>
  </si>
  <si>
    <t>FY2022.Q3</t>
  </si>
  <si>
    <t>FY2022.Q3</t>
    <phoneticPr fontId="21" type="noConversion"/>
  </si>
  <si>
    <t>2022.10.31</t>
    <phoneticPr fontId="21" type="noConversion"/>
  </si>
  <si>
    <t>FY2022.Q3</t>
    <phoneticPr fontId="21" type="noConversion"/>
  </si>
  <si>
    <t>FY2022.Q4</t>
    <phoneticPr fontId="21" type="noConversion"/>
  </si>
  <si>
    <t>FY2022.Q3</t>
    <phoneticPr fontId="21" type="noConversion"/>
  </si>
  <si>
    <t>FY2022.Q4</t>
    <phoneticPr fontId="21" type="noConversion"/>
  </si>
  <si>
    <t>FY2022.Q4</t>
    <phoneticPr fontId="21" type="noConversion"/>
  </si>
  <si>
    <t>FY2022.Q3</t>
    <phoneticPr fontId="21" type="noConversion"/>
  </si>
  <si>
    <t>FY2022.Q3</t>
    <phoneticPr fontId="21" type="noConversion"/>
  </si>
  <si>
    <t>FY2022.Q3</t>
    <phoneticPr fontId="21" type="noConversion"/>
  </si>
  <si>
    <t>FY2022.Q3</t>
    <phoneticPr fontId="21" type="noConversion"/>
  </si>
  <si>
    <t>Change in FY2022.Q4</t>
    <phoneticPr fontId="21" type="noConversion"/>
  </si>
  <si>
    <t>FY2022.Q3</t>
    <phoneticPr fontId="21" type="noConversion"/>
  </si>
  <si>
    <t>V1.1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</si>
</sst>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1"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#,###;[Red]\(#,###\);\-"/>
    <numFmt numFmtId="177" formatCode="_-* #,##0.0000_-;\-* #,##0.0000_-;_-* &quot;-&quot;_-;_-@_-"/>
    <numFmt numFmtId="178" formatCode="#,###.000;[Red]\(#,###.000\);\-"/>
    <numFmt numFmtId="179" formatCode="###,###,###,###"/>
    <numFmt numFmtId="180" formatCode="_-* #,##0.000000_-;\-* #,##0.000000_-;_-* &quot;-&quot;_-;_-@_-"/>
    <numFmt numFmtId="181" formatCode="#,##0;[Red]\(#,##0\);\-"/>
    <numFmt numFmtId="182" formatCode="#,###.00;[Red]\(#,###.00\);\-"/>
    <numFmt numFmtId="183" formatCode="0_);[Red]\(0\)"/>
    <numFmt numFmtId="184" formatCode="#,##0_);[Red]\(#,##0\)"/>
    <numFmt numFmtId="185" formatCode="#,###.0000;[Red]\(#,###.0000\);\-"/>
    <numFmt numFmtId="186" formatCode="#,###,"/>
    <numFmt numFmtId="187" formatCode="_-* #,##0.00000_-;\-* #,##0.00000_-;_-* &quot;-&quot;_-;_-@_-"/>
    <numFmt numFmtId="188" formatCode="#,##0\ ;\(#,##0\);\-\ "/>
    <numFmt numFmtId="189" formatCode="#,##0\ ;[Red]\(#,##0\);\-\ "/>
    <numFmt numFmtId="190" formatCode="#,##0.00_);[Red]\(#,##0.00\)"/>
    <numFmt numFmtId="191" formatCode="_-* #,##0.00000_-;\-* #,##0.00000_-;_-* &quot;-&quot;?????_-;_-@_-"/>
    <numFmt numFmtId="192" formatCode="#,###.00000000000000000000;[Red]\(#,###.00000000000000000000\);\-"/>
    <numFmt numFmtId="193" formatCode="#,###.000000000000000000000;[Red]\(#,###.000000000000000000000\);\-"/>
    <numFmt numFmtId="194" formatCode="#,##0.0"/>
    <numFmt numFmtId="195" formatCode="#,##0.000"/>
    <numFmt numFmtId="196" formatCode="&quot;₩&quot;\!\$#,##0_);[Red]&quot;₩&quot;\!\(&quot;₩&quot;\!\$#,##0&quot;₩&quot;\!\)"/>
    <numFmt numFmtId="197" formatCode="\ mm&quot;월&quot;\ dd&quot;일&quot;"/>
    <numFmt numFmtId="198" formatCode="#,##0%"/>
    <numFmt numFmtId="199" formatCode="_(* #,##0_);_(* \(#,##0\);_(* &quot;-&quot;??_);_(@_)"/>
    <numFmt numFmtId="200" formatCode="_(&quot;$&quot;* #,##0.00_);_(&quot;$&quot;* \(#,##0.00\);_(&quot;$&quot;* &quot;-&quot;??_);_(@_)"/>
    <numFmt numFmtId="201" formatCode="#."/>
    <numFmt numFmtId="202" formatCode="_(&quot;$&quot;* #,##0_);_(&quot;$&quot;* \(#,##0\);_(&quot;$&quot;* &quot;-&quot;_);_(@_)"/>
    <numFmt numFmtId="203" formatCode="_ * #,##0_ ;_ * \-#,##0_ ;_ * &quot;-&quot;_ ;_ @_ "/>
    <numFmt numFmtId="204" formatCode="_ &quot;₩&quot;* #,##0_ ;_ &quot;₩&quot;* \-#,##0_ ;_ &quot;₩&quot;* &quot;-&quot;_ ;_ @_ "/>
    <numFmt numFmtId="205" formatCode="_ &quot;₩&quot;* #,##0.00_ ;_ &quot;₩&quot;* \-#,##0.00_ ;_ &quot;₩&quot;* &quot;-&quot;??_ ;_ @_ "/>
    <numFmt numFmtId="206" formatCode="0.0"/>
    <numFmt numFmtId="207" formatCode="_ * #,##0_ ;_ * &quot;₩&quot;&quot;₩&quot;&quot;₩&quot;&quot;₩&quot;&quot;₩&quot;&quot;₩&quot;&quot;₩&quot;&quot;₩&quot;&quot;₩&quot;&quot;₩&quot;&quot;₩&quot;\-#,##0_ ;_ * &quot;-&quot;_ ;_ @_ "/>
    <numFmt numFmtId="208" formatCode="0.0000%"/>
    <numFmt numFmtId="209" formatCode="_ * #,##0_ ;_ * &quot;₩&quot;\!\-#,##0_ ;_ * &quot;-&quot;_ ;_ @_ "/>
    <numFmt numFmtId="210" formatCode="_ * #,##0.00_ ;_ * \-#,##0.00_ ;_ * &quot;-&quot;??_ ;_ @_ "/>
    <numFmt numFmtId="211" formatCode="&quot;₩&quot;#,##0.00;[Red]&quot;₩&quot;&quot;₩&quot;\-#,##0.00"/>
    <numFmt numFmtId="212" formatCode="0_)"/>
    <numFmt numFmtId="213" formatCode=".00"/>
    <numFmt numFmtId="214" formatCode=".000"/>
    <numFmt numFmtId="215" formatCode="#,##0.00000_);\(#,##0.00000\)"/>
    <numFmt numFmtId="216" formatCode=";;;"/>
    <numFmt numFmtId="217" formatCode="&quot;$&quot;#,##0_);\(&quot;$&quot;#,##0\)"/>
    <numFmt numFmtId="218" formatCode="_-* #,##0.000_-;\-* #,##0.000_-;_-* &quot;-&quot;??_-;_-@_-"/>
    <numFmt numFmtId="219" formatCode="#,##0;\-#,##0;&quot;-&quot;"/>
    <numFmt numFmtId="220" formatCode="#,##0.00;\-#,##0.00;&quot;-&quot;"/>
    <numFmt numFmtId="221" formatCode="#,##0%;\-#,##0%;&quot;- &quot;"/>
    <numFmt numFmtId="222" formatCode="#,##0.0%;\-#,##0.0%;&quot;- &quot;"/>
    <numFmt numFmtId="223" formatCode="#,##0.00%;\-#,##0.00%;&quot;- &quot;"/>
    <numFmt numFmtId="224" formatCode="#,##0.0;\-#,##0.0;&quot;-&quot;"/>
    <numFmt numFmtId="225" formatCode="&quot;$&quot;#,##0.0_);\(&quot;$&quot;#,##0.0\)"/>
    <numFmt numFmtId="226" formatCode="0.000_)"/>
    <numFmt numFmtId="227" formatCode="_ * #,##0.0000000_ ;_ * \-#,##0.0000000_ ;_ * &quot;-&quot;_ ;_ @_ "/>
    <numFmt numFmtId="228" formatCode="#,##0.00&quot; F&quot;_);\(#,##0.00&quot; F&quot;\)"/>
    <numFmt numFmtId="229" formatCode="#,##0_%_);\(#,##0\)_%;#,##0_%_);@_%_)"/>
    <numFmt numFmtId="230" formatCode="#,##0.00_%_);\(#,##0.00\)_%;#,##0.00_%_);@_%_)"/>
    <numFmt numFmtId="231" formatCode="#,##0;\(#,##0\)"/>
    <numFmt numFmtId="232" formatCode="d/m/yy\ h:mm"/>
    <numFmt numFmtId="233" formatCode="\(0.00\)"/>
    <numFmt numFmtId="234" formatCode="#,##0.0000_);\(#,##0.0000\)"/>
    <numFmt numFmtId="235" formatCode="\$#.00"/>
    <numFmt numFmtId="236" formatCode="&quot;₩&quot;#,##0;[Red]&quot;₩&quot;\-#,##0"/>
    <numFmt numFmtId="237" formatCode="&quot;$&quot;#,##0_%_);\(&quot;$&quot;#,##0\)_%;&quot;$&quot;#,##0_%_);@_%_)"/>
    <numFmt numFmtId="238" formatCode="&quot;$&quot;#,##0.00_%_);\(&quot;$&quot;#,##0.00\)_%;&quot;$&quot;#,##0.00_%_);@_%_)"/>
    <numFmt numFmtId="239" formatCode="_-&quot;₩&quot;* #,##0.00_-;&quot;₩&quot;\-&quot;₩&quot;* #,##0.00_-;_-&quot;₩&quot;* &quot;-&quot;??_-;_-@_-"/>
    <numFmt numFmtId="240" formatCode="_(&quot;$&quot;* #,##0.00_);_(&quot;$&quot;* \(#,##0.00\);\ &quot;--  &quot;;_(@_)"/>
    <numFmt numFmtId="241" formatCode="&quot;$&quot;#,##0.00_);[Red]\(&quot;$&quot;#,##0.00\)"/>
    <numFmt numFmtId="242" formatCode="&quot;$&quot;#,##0\ ;\(&quot;$&quot;#,##0\)"/>
    <numFmt numFmtId="243" formatCode="&quot;₩&quot;#,##0.0000000000;&quot;₩&quot;\-#,##0.0000000000"/>
    <numFmt numFmtId="244" formatCode="0.0&quot;  &quot;"/>
    <numFmt numFmtId="245" formatCode="#,##0.0_);\(#,##0.0\)"/>
    <numFmt numFmtId="246" formatCode="m/d/yy_%_)"/>
    <numFmt numFmtId="247" formatCode="#,##0.000;[Red]&quot;-&quot;#,##0.000"/>
    <numFmt numFmtId="248" formatCode="m/d/yyyy\ \ h:mm\ AM/PM"/>
    <numFmt numFmtId="249" formatCode="#,##0.0000_ ;[Red]\-#,##0.0000\ "/>
    <numFmt numFmtId="250" formatCode="0_ "/>
    <numFmt numFmtId="251" formatCode="\$#,##0.0_);\(\$#,##0.0\)"/>
    <numFmt numFmtId="252" formatCode="0.0000&quot;  &quot;"/>
    <numFmt numFmtId="253" formatCode="0_%_);\(0\)_%;0_%_);@_%_)"/>
    <numFmt numFmtId="254" formatCode="_-[$€-2]* #,##0.00_-;\-[$€-2]* #,##0.00_-;_-[$€-2]* &quot;-&quot;??_-"/>
    <numFmt numFmtId="255" formatCode="_-* #,##0.00\ [$€-1]_-;\-* #,##0.00\ [$€-1]_-;_-* &quot;-&quot;??\ [$€-1]_-"/>
    <numFmt numFmtId="256" formatCode="0.0%"/>
    <numFmt numFmtId="257" formatCode="#,##0."/>
    <numFmt numFmtId="258" formatCode="#.00"/>
    <numFmt numFmtId="259" formatCode="General_)"/>
    <numFmt numFmtId="260" formatCode="0.0\%_);\(0.0\%\);0.0\%_);@_%_)"/>
    <numFmt numFmtId="261" formatCode="#,##0.0_);[Red]\(#,##0.0\)"/>
    <numFmt numFmtId="262" formatCode="#,##0.0000;[Red]\-#,##0.0000"/>
    <numFmt numFmtId="263" formatCode="&quot;$&quot;#,##0.0000_);[Red]\(&quot;$&quot;#,##0.0000\)"/>
    <numFmt numFmtId="264" formatCode="#,##0;[Red]&quot;△&quot;#,##0"/>
    <numFmt numFmtId="265" formatCode="mm/yyyy"/>
    <numFmt numFmtId="266" formatCode="\ \ \ #,###"/>
    <numFmt numFmtId="267" formatCode="0.00000000"/>
    <numFmt numFmtId="268" formatCode="_-* #,##0\ _F_-;\-* #,##0\ _F_-;_-* &quot;-&quot;\ _F_-;_-@_-"/>
    <numFmt numFmtId="269" formatCode="_-* #,##0.00\ _F_-;\-* #,##0.00\ _F_-;_-* &quot;-&quot;??\ _F_-;_-@_-"/>
    <numFmt numFmtId="270" formatCode="mmmmm"/>
    <numFmt numFmtId="271" formatCode="&quot;R$&quot;#,##0_);\(&quot;R$&quot;#,##0\)"/>
    <numFmt numFmtId="272" formatCode="_-&quot;?&quot;* #,##0_-;\-&quot;?&quot;* #,##0_-;_-&quot;?&quot;* &quot;-&quot;_-;_-@_-"/>
    <numFmt numFmtId="273" formatCode="_-&quot;?&quot;* #,##0.00_-;\-&quot;?&quot;* #,##0.00_-;_-&quot;?&quot;* &quot;-&quot;??_-;_-@_-"/>
    <numFmt numFmtId="274" formatCode="\ \W\ #,###"/>
    <numFmt numFmtId="275" formatCode="&quot;₩&quot;#,##0"/>
    <numFmt numFmtId="276" formatCode="_-* #,##0\ &quot;F&quot;_-;\-* #,##0\ &quot;F&quot;_-;_-* &quot;-&quot;\ &quot;F&quot;_-;_-@_-"/>
    <numFmt numFmtId="277" formatCode="_-* #,##0.00\ &quot;F&quot;_-;\-* #,##0.00\ &quot;F&quot;_-;_-* &quot;-&quot;??\ &quot;F&quot;_-;_-@_-"/>
    <numFmt numFmtId="278" formatCode="0.0\x_)_);&quot;NM&quot;_x_)_);0.0\x_)_);@_%_)"/>
    <numFmt numFmtId="279" formatCode="[Red]#,##0;[Black]\-#,##0"/>
    <numFmt numFmtId="280" formatCode="#,##0.0_);[Red]\(#,##0.0\);&quot;--  &quot;"/>
    <numFmt numFmtId="281" formatCode="#,##0;&quot;(&quot;&quot;-&quot;&quot;)&quot;#,##0"/>
    <numFmt numFmtId="282" formatCode="[&lt;=9999999]###\-####;\(###\)\ ###\-####"/>
    <numFmt numFmtId="283" formatCode="&quot;- &quot;0&quot; -&quot;"/>
    <numFmt numFmtId="284" formatCode="%#.00"/>
    <numFmt numFmtId="285" formatCode="0%_);\(0%\)"/>
    <numFmt numFmtId="286" formatCode="0%;\(0%\)"/>
    <numFmt numFmtId="287" formatCode="0.0%;[Red]\(0.0%\)"/>
    <numFmt numFmtId="288" formatCode="&quot;₩&quot;\ #,##0.00;&quot;₩&quot;\ \-#,##0.00"/>
    <numFmt numFmtId="289" formatCode="\ \ @"/>
    <numFmt numFmtId="290" formatCode="\ \ \ \ @"/>
    <numFmt numFmtId="291" formatCode="_(* #,##0.0,_);_(* \(#,##0.0,\);_(* &quot;-&quot;_);_(@_)"/>
    <numFmt numFmtId="292" formatCode="_ * #,##0.00_ ;_ * &quot;₩&quot;\!\-#,##0.00_ ;_ * &quot;-&quot;??_ ;_ @_ "/>
    <numFmt numFmtId="293" formatCode="#,##0.00,_);[Red]\(#,##0.00\)"/>
    <numFmt numFmtId="294" formatCode="#,##0.000,_);[Red]\(#,##0.000\)"/>
    <numFmt numFmtId="295" formatCode="#,##0_ "/>
    <numFmt numFmtId="296" formatCode="#,##0_ ;[Red]\-#,##0\ "/>
    <numFmt numFmtId="297" formatCode="#,##0\ &quot;DM&quot;;[Red]\-#,##0\ &quot;DM&quot;"/>
    <numFmt numFmtId="298" formatCode="&quot;₩&quot;#,##0.00;[Red]&quot;₩&quot;\-#,##0.00"/>
    <numFmt numFmtId="299" formatCode="0.0\x"/>
    <numFmt numFmtId="300" formatCode="#,##0&quot;포&quot;"/>
    <numFmt numFmtId="301" formatCode="\(#,##0\)"/>
    <numFmt numFmtId="302" formatCode="00"/>
    <numFmt numFmtId="303" formatCode="_-* #,##0_-;[Red]&quot;△&quot;#,##0_-;;"/>
    <numFmt numFmtId="304" formatCode="#,##0_);[Red]\(#,##0\);\-\ "/>
    <numFmt numFmtId="305" formatCode="#,##0.0000000_);[Red]\(#,##0.0000000\)"/>
    <numFmt numFmtId="306" formatCode="#,##0&quot;Vial&quot;"/>
    <numFmt numFmtId="307" formatCode="#,##0_);[Red]\(#,##0\);&quot;-&quot;_)"/>
    <numFmt numFmtId="308" formatCode="0.00_);\(0.00\)"/>
    <numFmt numFmtId="309" formatCode="&quot;(&quot;#,##0&quot;) &quot;;&quot;(&quot;&quot;-&quot;&quot;)&quot;&quot;(&quot;#,##0&quot;) &quot;"/>
    <numFmt numFmtId="310" formatCode="#,##0&quot;㎖&quot;"/>
    <numFmt numFmtId="311" formatCode="#,##0&quot;앰플&quot;"/>
    <numFmt numFmtId="312" formatCode="#,##0&quot;g&quot;"/>
    <numFmt numFmtId="313" formatCode="#,##0\ &quot;F&quot;;[Red]\-#,##0\ &quot;F&quot;"/>
    <numFmt numFmtId="314" formatCode="&quot;$&quot;#,##0_);[Red]\(&quot;$&quot;#,##0\)"/>
    <numFmt numFmtId="315" formatCode="m&quot;₩&quot;/d&quot;₩&quot;/yy&quot;₩&quot;\!\ h&quot;₩&quot;:mm"/>
    <numFmt numFmtId="316" formatCode="#,##0.00;&quot;-&quot;#,##0.00"/>
    <numFmt numFmtId="317" formatCode="mm&quot;월&quot;\ dd&quot;일&quot;"/>
    <numFmt numFmtId="318" formatCode="#,##0;&quot;-&quot;#,##0"/>
    <numFmt numFmtId="319" formatCode="0.0E+00"/>
    <numFmt numFmtId="320" formatCode="d/&quot;기&quot;&quot;정&quot;&quot;치&quot;"/>
    <numFmt numFmtId="321" formatCode="mm&quot;월 &quot;dd&quot;일&quot;"/>
    <numFmt numFmtId="322" formatCode="m\/d\/yy\ h\:mm"/>
    <numFmt numFmtId="323" formatCode="&quot; ￦&quot;#,##0_);&quot;(￦&quot;#,##0\);&quot; ￦&quot;\-_)"/>
    <numFmt numFmtId="324" formatCode="#,###;&quot;△&quot;#,###"/>
    <numFmt numFmtId="325" formatCode="#0&quot;일&quot;"/>
    <numFmt numFmtId="326" formatCode="#,##0&quot;정&quot;"/>
    <numFmt numFmtId="327" formatCode="#,##0&quot;매&quot;"/>
    <numFmt numFmtId="328" formatCode="&quot;#&quot;##0"/>
    <numFmt numFmtId="329" formatCode="#,##0;[Red]\-#,##0;\-"/>
    <numFmt numFmtId="330" formatCode="[Blue]#,##0.00;[Red]\-#,##0.00"/>
    <numFmt numFmtId="331" formatCode="#,##0&quot;캅셀&quot;"/>
    <numFmt numFmtId="332" formatCode="_(* #,##0.00_);_(* &quot;₩&quot;\(#,##0.00&quot;₩&quot;\);_(* &quot;-&quot;??_);_(@_)"/>
    <numFmt numFmtId="333" formatCode="#,##0;[Red]&quot;-&quot;#,##0"/>
    <numFmt numFmtId="334" formatCode="0.000000000000E+00"/>
    <numFmt numFmtId="335" formatCode="_-&quot;$&quot;* #,##0.00_-;\-&quot;$&quot;* #,##0.00_-;_-&quot;$&quot;* &quot;-&quot;??_-;_-@_-"/>
    <numFmt numFmtId="336" formatCode="_-&quot;$&quot;* #,##0_-;\-&quot;$&quot;* #,##0_-;_-&quot;$&quot;* &quot;-&quot;_-;_-@_-"/>
    <numFmt numFmtId="337" formatCode="#,##0&quot;?_);[Red]\(#,##0&quot;&quot;?&quot;\)"/>
    <numFmt numFmtId="338" formatCode="#,##0\ &quot;F&quot;;\-#,##0\ &quot;F&quot;"/>
    <numFmt numFmtId="339" formatCode="\ \-m\/dd"/>
    <numFmt numFmtId="340" formatCode="&quot;Rp&quot;#,##0_);\(&quot;Rp&quot;#,##0\)"/>
    <numFmt numFmtId="341" formatCode="&quot;₩&quot;#,##0;&quot;₩&quot;\-#,##0"/>
    <numFmt numFmtId="342" formatCode="[$CAD]\ #,##0.00;[Red]\-[$CAD]\ #,##0.00"/>
    <numFmt numFmtId="343" formatCode="_-* #,##0.00_-;\-* #,##0.00_-;_-* &quot;-&quot;_-;_-@_-"/>
    <numFmt numFmtId="344" formatCode="#,##0,;[Red]\-#,##0,"/>
    <numFmt numFmtId="345" formatCode="#,##0,_);[Red]\(#,##0,\)"/>
    <numFmt numFmtId="346" formatCode="#,##0,_);[Red]\(#,##0,\)_)"/>
    <numFmt numFmtId="347" formatCode="#,##0.0000_);[Red]\(#,##0.0000\)"/>
    <numFmt numFmtId="348" formatCode="_-* #,##0_-;\-* #,##0_-;_-* &quot;-&quot;??_-;_-@_-"/>
    <numFmt numFmtId="349" formatCode="#,###.000000000;[Red]\(#,###.000000000\);\-"/>
    <numFmt numFmtId="350" formatCode="#,###.0;[Red]\(#,###.0\);\-"/>
  </numFmts>
  <fonts count="41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함초롬돋움"/>
      <family val="3"/>
      <charset val="129"/>
    </font>
    <font>
      <b/>
      <sz val="9"/>
      <color theme="1"/>
      <name val="함초롬돋움"/>
      <family val="3"/>
      <charset val="129"/>
    </font>
    <font>
      <b/>
      <sz val="9"/>
      <color theme="0"/>
      <name val="함초롬돋움"/>
      <family val="3"/>
      <charset val="129"/>
    </font>
    <font>
      <sz val="11"/>
      <color theme="1"/>
      <name val="맑은 고딕"/>
      <family val="2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9"/>
      <color rgb="FFC0000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rgb="FFC00000"/>
      <name val="함초롬돋움"/>
      <family val="3"/>
      <charset val="129"/>
    </font>
    <font>
      <b/>
      <sz val="9"/>
      <name val="함초롬돋움"/>
      <family val="3"/>
      <charset val="129"/>
    </font>
    <font>
      <sz val="9"/>
      <name val="함초롬돋움"/>
      <family val="3"/>
      <charset val="129"/>
    </font>
    <font>
      <sz val="9"/>
      <color indexed="9"/>
      <name val="함초롬돋움"/>
      <family val="3"/>
      <charset val="129"/>
    </font>
    <font>
      <sz val="9"/>
      <color indexed="8"/>
      <name val="함초롬돋움"/>
      <family val="3"/>
      <charset val="129"/>
    </font>
    <font>
      <b/>
      <sz val="9"/>
      <color theme="0" tint="-4.9989318521683403E-2"/>
      <name val="함초롬돋움"/>
      <family val="3"/>
      <charset val="129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9"/>
      <color theme="0"/>
      <name val="함초롬돋움"/>
      <family val="3"/>
      <charset val="129"/>
    </font>
    <font>
      <b/>
      <sz val="9"/>
      <color rgb="FF000000"/>
      <name val="함초롬돋움"/>
      <family val="3"/>
      <charset val="129"/>
    </font>
    <font>
      <sz val="9"/>
      <color rgb="FF000000"/>
      <name val="함초롬돋움"/>
      <family val="3"/>
      <charset val="129"/>
    </font>
    <font>
      <sz val="9"/>
      <color rgb="FFFF0000"/>
      <name val="함초롬돋움"/>
      <family val="3"/>
      <charset val="129"/>
    </font>
    <font>
      <sz val="9"/>
      <color theme="1" tint="0.14999847407452621"/>
      <name val="함초롬돋움"/>
      <family val="3"/>
      <charset val="129"/>
    </font>
    <font>
      <sz val="9"/>
      <color rgb="FFC00000"/>
      <name val="함초롬돋움"/>
      <family val="3"/>
      <charset val="129"/>
    </font>
    <font>
      <sz val="10"/>
      <name val="Arial"/>
      <family val="2"/>
    </font>
    <font>
      <sz val="11"/>
      <name val="Book Antiqua"/>
      <family val="1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함초롬돋움"/>
      <family val="3"/>
      <charset val="129"/>
    </font>
    <font>
      <sz val="10"/>
      <color indexed="8"/>
      <name val="Arial"/>
      <family val="2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굴림"/>
      <family val="3"/>
      <charset val="129"/>
    </font>
    <font>
      <sz val="10"/>
      <name val="가는각진제목체"/>
      <family val="1"/>
      <charset val="129"/>
    </font>
    <font>
      <sz val="9"/>
      <color indexed="18"/>
      <name val="맑은 고딕"/>
      <family val="3"/>
      <charset val="129"/>
    </font>
    <font>
      <sz val="8"/>
      <name val="가는각진제목체"/>
      <family val="1"/>
      <charset val="129"/>
    </font>
    <font>
      <b/>
      <sz val="9"/>
      <color indexed="12"/>
      <name val="맑은 고딕"/>
      <family val="3"/>
      <charset val="129"/>
    </font>
    <font>
      <b/>
      <sz val="9"/>
      <color indexed="18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9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9"/>
      <name val="돋움"/>
      <family val="3"/>
      <charset val="129"/>
    </font>
    <font>
      <sz val="11"/>
      <name val="Times New Roman"/>
      <family val="1"/>
    </font>
    <font>
      <sz val="10"/>
      <name val="바탕체"/>
      <family val="1"/>
      <charset val="129"/>
    </font>
    <font>
      <b/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돋움"/>
      <family val="3"/>
      <charset val="129"/>
    </font>
    <font>
      <sz val="12"/>
      <name val="Times New Roman"/>
      <family val="1"/>
    </font>
    <font>
      <sz val="1"/>
      <color indexed="8"/>
      <name val="Courier"/>
      <family val="3"/>
    </font>
    <font>
      <b/>
      <sz val="12"/>
      <name val="바탕체"/>
      <family val="1"/>
      <charset val="129"/>
    </font>
    <font>
      <i/>
      <sz val="12"/>
      <name val="바탕체"/>
      <family val="1"/>
      <charset val="129"/>
    </font>
    <font>
      <sz val="12"/>
      <name val="¹????¼"/>
      <family val="1"/>
      <charset val="129"/>
    </font>
    <font>
      <sz val="11"/>
      <name val="??????"/>
      <family val="1"/>
    </font>
    <font>
      <u/>
      <sz val="8.4"/>
      <color indexed="12"/>
      <name val="Arial"/>
      <family val="2"/>
    </font>
    <font>
      <sz val="11"/>
      <name val="????"/>
      <family val="3"/>
    </font>
    <font>
      <sz val="12"/>
      <name val="???"/>
      <family val="3"/>
    </font>
    <font>
      <sz val="12"/>
      <color indexed="8"/>
      <name val="?UAAA?"/>
      <family val="2"/>
      <charset val="204"/>
    </font>
    <font>
      <sz val="8"/>
      <name val="Arial"/>
      <family val="2"/>
    </font>
    <font>
      <u/>
      <sz val="11"/>
      <color indexed="36"/>
      <name val="굃굍 굊긕긘긞긏"/>
      <family val="3"/>
      <charset val="129"/>
    </font>
    <font>
      <sz val="11"/>
      <name val="돋?o"/>
      <family val="3"/>
      <charset val="129"/>
    </font>
    <font>
      <sz val="12"/>
      <name val="톝꾄ⁿ?"/>
      <family val="3"/>
      <charset val="129"/>
    </font>
    <font>
      <sz val="10"/>
      <name val="Courier"/>
      <family val="3"/>
    </font>
    <font>
      <sz val="10"/>
      <name val="굴림체"/>
      <family val="3"/>
      <charset val="129"/>
    </font>
    <font>
      <sz val="10"/>
      <name val="Helv"/>
      <family val="2"/>
    </font>
    <font>
      <sz val="11"/>
      <name val="굴림체"/>
      <family val="3"/>
      <charset val="129"/>
    </font>
    <font>
      <sz val="10"/>
      <name val="Times New Roman"/>
      <family val="1"/>
    </font>
    <font>
      <sz val="10"/>
      <color indexed="9"/>
      <name val="Arial"/>
      <family val="2"/>
    </font>
    <font>
      <i/>
      <sz val="10"/>
      <color indexed="13"/>
      <name val="Arial"/>
      <family val="2"/>
    </font>
    <font>
      <sz val="10"/>
      <color indexed="13"/>
      <name val="Arial"/>
      <family val="2"/>
    </font>
    <font>
      <b/>
      <i/>
      <sz val="9"/>
      <name val="Arial"/>
      <family val="2"/>
    </font>
    <font>
      <i/>
      <sz val="10"/>
      <name val="Arial"/>
      <family val="2"/>
    </font>
    <font>
      <b/>
      <sz val="11"/>
      <name val="돋움"/>
      <family val="3"/>
      <charset val="129"/>
    </font>
    <font>
      <sz val="12"/>
      <name val="바e"/>
      <family val="3"/>
      <charset val="129"/>
    </font>
    <font>
      <sz val="12"/>
      <name val="¹UAAA¼"/>
      <family val="1"/>
      <charset val="129"/>
    </font>
    <font>
      <sz val="10"/>
      <name val="‚l‚r ƒSƒVƒbƒN"/>
      <family val="3"/>
    </font>
    <font>
      <sz val="1"/>
      <color indexed="18"/>
      <name val="Courier"/>
      <family val="3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2"/>
      <name val="MS Sans Serif"/>
      <family val="2"/>
    </font>
    <font>
      <sz val="10"/>
      <name val="¸iA¶"/>
      <family val="3"/>
      <charset val="129"/>
    </font>
    <font>
      <b/>
      <sz val="11"/>
      <color indexed="12"/>
      <name val="굴림체"/>
      <family val="3"/>
      <charset val="129"/>
    </font>
    <font>
      <sz val="14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0"/>
      <color indexed="8"/>
      <name val="HY그래픽"/>
      <family val="1"/>
      <charset val="129"/>
    </font>
    <font>
      <sz val="10"/>
      <color theme="1"/>
      <name val="맑은 고딕"/>
      <family val="2"/>
      <charset val="129"/>
    </font>
    <font>
      <sz val="11"/>
      <name val="돋움체"/>
      <family val="3"/>
      <charset val="129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indexed="9"/>
      <name val="HY그래픽"/>
      <family val="1"/>
      <charset val="129"/>
    </font>
    <font>
      <sz val="12"/>
      <name val="官帕眉"/>
      <family val="1"/>
    </font>
    <font>
      <sz val="11"/>
      <name val="??o"/>
      <family val="1"/>
    </font>
    <font>
      <sz val="12"/>
      <name val="1UAÁA1"/>
      <family val="1"/>
    </font>
    <font>
      <sz val="9"/>
      <name val="Tahoma"/>
      <family val="2"/>
    </font>
    <font>
      <sz val="11"/>
      <name val="￠R¨u¡§u¡E¡þ¨I¡AA¡§u"/>
      <family val="3"/>
      <charset val="129"/>
    </font>
    <font>
      <sz val="11"/>
      <name val="??????o"/>
      <family val="3"/>
    </font>
    <font>
      <sz val="12"/>
      <name val="ⓒoUAAA¨u"/>
      <family val="3"/>
      <charset val="129"/>
    </font>
    <font>
      <sz val="11"/>
      <name val="¥ì¢¬¢¯o"/>
      <family val="3"/>
    </font>
    <font>
      <sz val="12"/>
      <name val="￠RERERIi￠RERERE￠RERER¡ER￠R"/>
      <family val="3"/>
      <charset val="129"/>
    </font>
    <font>
      <sz val="11"/>
      <name val="μ¸¿o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1"/>
      <name val="µ¸?o"/>
      <family val="3"/>
      <charset val="129"/>
    </font>
    <font>
      <sz val="12"/>
      <name val="±¼¸²Ã¼"/>
      <family val="3"/>
      <charset val="129"/>
    </font>
    <font>
      <sz val="12"/>
      <name val="±1¸2A1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Arial"/>
      <family val="2"/>
    </font>
    <font>
      <sz val="10"/>
      <name val="±¼¸²Ã¼"/>
      <family val="3"/>
      <charset val="129"/>
    </font>
    <font>
      <sz val="12"/>
      <name val="µ¸¿òÃ¼"/>
      <family val="3"/>
      <charset val="129"/>
    </font>
    <font>
      <sz val="11"/>
      <color indexed="20"/>
      <name val="맑은 고딕"/>
      <family val="3"/>
      <charset val="129"/>
    </font>
    <font>
      <sz val="8"/>
      <color indexed="48"/>
      <name val="Arial"/>
      <family val="2"/>
    </font>
    <font>
      <b/>
      <sz val="12"/>
      <name val="Arial MT"/>
      <family val="2"/>
    </font>
    <font>
      <b/>
      <sz val="11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2"/>
      <name val="Tms Rmn"/>
      <family val="1"/>
    </font>
    <font>
      <sz val="11"/>
      <name val="Arial Narrow"/>
      <family val="2"/>
    </font>
    <font>
      <i/>
      <sz val="8"/>
      <color indexed="12"/>
      <name val="Arial"/>
      <family val="2"/>
    </font>
    <font>
      <b/>
      <sz val="14"/>
      <color indexed="8"/>
      <name val="Times New Roman"/>
      <family val="1"/>
    </font>
    <font>
      <sz val="8"/>
      <name val="Palatino"/>
      <family val="1"/>
    </font>
    <font>
      <sz val="10"/>
      <color indexed="20"/>
      <name val="Arial"/>
      <family val="2"/>
    </font>
    <font>
      <sz val="12"/>
      <name val="??oA?"/>
      <family val="2"/>
      <charset val="204"/>
    </font>
    <font>
      <sz val="10"/>
      <name val="¡ERERER¡ERER￠RER¡ER¡E?u￠R"/>
      <family val="3"/>
      <charset val="129"/>
    </font>
    <font>
      <sz val="12"/>
      <name val="¡§IoUAAA￠R¡×u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¨IoUAAA¡§u"/>
      <family val="1"/>
      <charset val="129"/>
    </font>
    <font>
      <sz val="10"/>
      <name val="±¼¸²A¼"/>
      <family val="3"/>
      <charset val="129"/>
    </font>
    <font>
      <sz val="12"/>
      <name val="±¼¸²A¼"/>
      <family val="3"/>
      <charset val="129"/>
    </font>
    <font>
      <sz val="11"/>
      <name val="±¼¸²Ã¼"/>
      <family val="3"/>
      <charset val="129"/>
    </font>
    <font>
      <sz val="12"/>
      <name val="±¼¸²Ã¼"/>
      <family val="3"/>
    </font>
    <font>
      <sz val="10"/>
      <name val="¹ÙÅÁÃ¼"/>
      <family val="1"/>
      <charset val="129"/>
    </font>
    <font>
      <sz val="12"/>
      <name val="System"/>
      <family val="2"/>
      <charset val="129"/>
    </font>
    <font>
      <sz val="10"/>
      <name val="¹ÙÅÁÃ¼"/>
      <family val="3"/>
      <charset val="129"/>
    </font>
    <font>
      <sz val="10"/>
      <name val="¹UAAA¼"/>
      <family val="1"/>
      <charset val="129"/>
    </font>
    <font>
      <sz val="12"/>
      <name val="μ¸¿oA¼"/>
      <family val="3"/>
      <charset val="129"/>
    </font>
    <font>
      <sz val="12"/>
      <name val="¹ÙÅÁÃ¼"/>
      <family val="1"/>
    </font>
    <font>
      <sz val="12"/>
      <name val="¹UAAA¼"/>
      <family val="3"/>
    </font>
    <font>
      <sz val="11"/>
      <name val="±¼¸²A¼"/>
      <family val="3"/>
      <charset val="129"/>
    </font>
    <font>
      <sz val="10"/>
      <name val="±¼¸²A¼"/>
      <family val="3"/>
    </font>
    <font>
      <sz val="10"/>
      <name val="±¼¸²Ã¼"/>
      <family val="3"/>
    </font>
    <font>
      <b/>
      <sz val="11"/>
      <color indexed="52"/>
      <name val="맑은 고딕"/>
      <family val="3"/>
      <charset val="129"/>
    </font>
    <font>
      <sz val="9"/>
      <name val="Tms Rmn"/>
      <family val="1"/>
    </font>
    <font>
      <b/>
      <sz val="8"/>
      <color indexed="9"/>
      <name val="Arial"/>
      <family val="2"/>
    </font>
    <font>
      <b/>
      <u/>
      <sz val="8"/>
      <name val="Arial"/>
      <family val="2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u/>
      <sz val="11.6"/>
      <color indexed="12"/>
      <name val="Arial"/>
      <family val="2"/>
    </font>
    <font>
      <sz val="10"/>
      <color indexed="8"/>
      <name val="Impact"/>
      <family val="2"/>
    </font>
    <font>
      <b/>
      <sz val="10"/>
      <name val="Arial"/>
      <family val="2"/>
    </font>
    <font>
      <i/>
      <sz val="10"/>
      <color indexed="10"/>
      <name val="Arial"/>
      <family val="2"/>
    </font>
    <font>
      <sz val="11"/>
      <name val="Tms Rmn"/>
      <family val="1"/>
    </font>
    <font>
      <sz val="10"/>
      <name val="돋움체"/>
      <family val="3"/>
      <charset val="129"/>
    </font>
    <font>
      <sz val="10"/>
      <name val="BERNHARD"/>
      <family val="2"/>
    </font>
    <font>
      <sz val="10"/>
      <color indexed="0"/>
      <name val="MS Sans Serif"/>
      <family val="2"/>
    </font>
    <font>
      <sz val="10"/>
      <color indexed="8"/>
      <name val="Times New Roman"/>
      <family val="1"/>
    </font>
    <font>
      <sz val="10"/>
      <name val="MS Serif"/>
      <family val="1"/>
    </font>
    <font>
      <sz val="10"/>
      <color indexed="8"/>
      <name val="Geneva"/>
      <family val="2"/>
    </font>
    <font>
      <sz val="16"/>
      <name val="굴림체"/>
      <family val="3"/>
      <charset val="129"/>
    </font>
    <font>
      <b/>
      <sz val="8"/>
      <name val="Arial"/>
      <family val="2"/>
    </font>
    <font>
      <u val="doubleAccounting"/>
      <sz val="10"/>
      <name val="Arial"/>
      <family val="2"/>
    </font>
    <font>
      <sz val="10"/>
      <name val="Courier New"/>
      <family val="3"/>
    </font>
    <font>
      <b/>
      <sz val="8"/>
      <name val="Arial Narrow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11"/>
      <color indexed="23"/>
      <name val="맑은 고딕"/>
      <family val="3"/>
      <charset val="129"/>
    </font>
    <font>
      <i/>
      <sz val="1"/>
      <color indexed="8"/>
      <name val="Courier"/>
      <family val="3"/>
    </font>
    <font>
      <u/>
      <sz val="7.5"/>
      <color indexed="36"/>
      <name val="Arial"/>
      <family val="2"/>
    </font>
    <font>
      <u/>
      <sz val="10"/>
      <color indexed="36"/>
      <name val="Arial"/>
      <family val="2"/>
    </font>
    <font>
      <u/>
      <sz val="10"/>
      <color indexed="14"/>
      <name val="MS Sans Serif"/>
      <family val="2"/>
    </font>
    <font>
      <sz val="7"/>
      <name val="Palatino"/>
      <family val="1"/>
    </font>
    <font>
      <sz val="10"/>
      <name val="Geneva"/>
      <family val="2"/>
    </font>
    <font>
      <b/>
      <sz val="12"/>
      <name val="Times New Roman"/>
      <family val="1"/>
    </font>
    <font>
      <sz val="9"/>
      <name val="Arial Narrow"/>
      <family val="2"/>
    </font>
    <font>
      <sz val="11"/>
      <color indexed="17"/>
      <name val="맑은 고딕"/>
      <family val="3"/>
      <charset val="129"/>
    </font>
    <font>
      <i/>
      <sz val="8"/>
      <color indexed="23"/>
      <name val="Arial"/>
      <family val="2"/>
    </font>
    <font>
      <sz val="8"/>
      <color indexed="23"/>
      <name val="Arial"/>
      <family val="2"/>
    </font>
    <font>
      <u/>
      <sz val="13"/>
      <name val="Arial"/>
      <family val="2"/>
    </font>
    <font>
      <i/>
      <u/>
      <sz val="12"/>
      <name val="Arial"/>
      <family val="2"/>
    </font>
    <font>
      <u/>
      <sz val="12"/>
      <name val="Arial"/>
      <family val="2"/>
    </font>
    <font>
      <i/>
      <u/>
      <sz val="11"/>
      <name val="Arial"/>
      <family val="2"/>
    </font>
    <font>
      <u/>
      <sz val="11"/>
      <name val="Arial"/>
      <family val="2"/>
    </font>
    <font>
      <i/>
      <u/>
      <sz val="10"/>
      <name val="Arial"/>
      <family val="2"/>
    </font>
    <font>
      <u/>
      <sz val="10"/>
      <name val="Arial"/>
      <family val="2"/>
    </font>
    <font>
      <i/>
      <u/>
      <sz val="9"/>
      <name val="Arial"/>
      <family val="2"/>
    </font>
    <font>
      <u/>
      <sz val="9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8"/>
      <name val="Helvetica-Black"/>
      <family val="2"/>
    </font>
    <font>
      <b/>
      <sz val="11"/>
      <color indexed="56"/>
      <name val="맑은 고딕"/>
      <family val="3"/>
      <charset val="129"/>
    </font>
    <font>
      <i/>
      <sz val="14"/>
      <name val="Palatino"/>
      <family val="1"/>
    </font>
    <font>
      <b/>
      <sz val="24"/>
      <color indexed="12"/>
      <name val="Monaco"/>
      <family val="1"/>
    </font>
    <font>
      <b/>
      <sz val="12"/>
      <name val="Tms Rmn"/>
      <family val="1"/>
    </font>
    <font>
      <b/>
      <sz val="14"/>
      <name val="Arial"/>
      <family val="2"/>
    </font>
    <font>
      <b/>
      <sz val="8"/>
      <name val="MS Sans Serif"/>
      <family val="2"/>
    </font>
    <font>
      <b/>
      <sz val="12"/>
      <color indexed="9"/>
      <name val="Geneva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2"/>
      <name val="Courier"/>
      <family val="3"/>
    </font>
    <font>
      <b/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b/>
      <i/>
      <sz val="7"/>
      <name val="Times New Roman"/>
      <family val="1"/>
    </font>
    <font>
      <sz val="12"/>
      <name val="Helv"/>
      <family val="2"/>
    </font>
    <font>
      <sz val="8"/>
      <color indexed="39"/>
      <name val="Arial"/>
      <family val="2"/>
    </font>
    <font>
      <sz val="10"/>
      <name val="ＭＳ ゴシック"/>
      <family val="3"/>
      <charset val="129"/>
    </font>
    <font>
      <sz val="10"/>
      <color indexed="14"/>
      <name val="Arial"/>
      <family val="2"/>
    </font>
    <font>
      <sz val="11"/>
      <color indexed="52"/>
      <name val="맑은 고딕"/>
      <family val="3"/>
      <charset val="129"/>
    </font>
    <font>
      <sz val="12"/>
      <color indexed="9"/>
      <name val="Helv"/>
      <family val="2"/>
    </font>
    <font>
      <b/>
      <sz val="11"/>
      <name val="Helv"/>
      <family val="2"/>
    </font>
    <font>
      <sz val="8"/>
      <name val="Helvetica"/>
      <family val="2"/>
    </font>
    <font>
      <sz val="8"/>
      <color indexed="12"/>
      <name val="Helvetica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sz val="6"/>
      <name val="Arial"/>
      <family val="2"/>
    </font>
    <font>
      <u/>
      <sz val="18"/>
      <name val="Times New Roman"/>
      <family val="1"/>
    </font>
    <font>
      <b/>
      <i/>
      <sz val="10"/>
      <name val="Arial"/>
      <family val="2"/>
    </font>
    <font>
      <b/>
      <sz val="11"/>
      <color indexed="63"/>
      <name val="맑은 고딕"/>
      <family val="3"/>
      <charset val="129"/>
    </font>
    <font>
      <sz val="11"/>
      <color indexed="8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0"/>
      <color indexed="9"/>
      <name val="Arial"/>
      <family val="2"/>
    </font>
    <font>
      <b/>
      <sz val="22"/>
      <color indexed="8"/>
      <name val="Times New Roman"/>
      <family val="1"/>
    </font>
    <font>
      <sz val="10"/>
      <color indexed="16"/>
      <name val="Helvetica-Black"/>
      <family val="2"/>
    </font>
    <font>
      <b/>
      <sz val="10"/>
      <color indexed="8"/>
      <name val="Times New Roman"/>
      <family val="1"/>
    </font>
    <font>
      <sz val="10"/>
      <name val="Frutiger 45 Light"/>
      <family val="2"/>
    </font>
    <font>
      <i/>
      <sz val="8"/>
      <name val="Arial"/>
      <family val="2"/>
    </font>
    <font>
      <sz val="11"/>
      <name val="굃굍 긕긘긞긏"/>
      <family val="3"/>
      <charset val="129"/>
    </font>
    <font>
      <sz val="10"/>
      <name val="돋움"/>
      <family val="3"/>
    </font>
    <font>
      <sz val="10"/>
      <color indexed="10"/>
      <name val="Arial"/>
      <family val="2"/>
    </font>
    <font>
      <b/>
      <sz val="8"/>
      <color indexed="18"/>
      <name val="Times New Roman"/>
      <family val="1"/>
    </font>
    <font>
      <sz val="10"/>
      <name val="Tms Rmn"/>
      <family val="1"/>
    </font>
    <font>
      <sz val="10"/>
      <color indexed="8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i/>
      <sz val="10"/>
      <name val="Times New Roman"/>
      <family val="1"/>
    </font>
    <font>
      <u val="singleAccounting"/>
      <sz val="10"/>
      <name val="Arial"/>
      <family val="2"/>
    </font>
    <font>
      <sz val="8"/>
      <name val="MS Sans Serif"/>
      <family val="2"/>
    </font>
    <font>
      <b/>
      <u/>
      <sz val="10"/>
      <name val="Arial"/>
      <family val="2"/>
    </font>
    <font>
      <b/>
      <sz val="8"/>
      <color indexed="8"/>
      <name val="Helv"/>
      <family val="2"/>
    </font>
    <font>
      <sz val="10"/>
      <name val="Univers"/>
      <family val="2"/>
    </font>
    <font>
      <sz val="11"/>
      <name val="Univers"/>
      <family val="2"/>
    </font>
    <font>
      <sz val="12"/>
      <name val="Univers"/>
      <family val="2"/>
    </font>
    <font>
      <sz val="8"/>
      <name val="Univers"/>
      <family val="2"/>
    </font>
    <font>
      <sz val="9"/>
      <name val="Univers"/>
      <family val="2"/>
    </font>
    <font>
      <b/>
      <sz val="10"/>
      <name val="Univers"/>
      <family val="2"/>
    </font>
    <font>
      <b/>
      <sz val="11"/>
      <name val="Univers"/>
      <family val="2"/>
    </font>
    <font>
      <b/>
      <sz val="12"/>
      <name val="Univers"/>
      <family val="2"/>
    </font>
    <font>
      <b/>
      <sz val="8"/>
      <name val="Univers"/>
      <family val="2"/>
    </font>
    <font>
      <b/>
      <sz val="9"/>
      <name val="Univers"/>
      <family val="2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b/>
      <sz val="10"/>
      <name val="Times New Roman"/>
      <family val="1"/>
    </font>
    <font>
      <sz val="7"/>
      <name val="Arial"/>
      <family val="2"/>
    </font>
    <font>
      <b/>
      <sz val="10"/>
      <color indexed="10"/>
      <name val="Arial"/>
      <family val="2"/>
    </font>
    <font>
      <b/>
      <sz val="11"/>
      <name val="Times New Roman"/>
      <family val="1"/>
    </font>
    <font>
      <b/>
      <sz val="9"/>
      <name val="Times New Roman"/>
      <family val="1"/>
    </font>
    <font>
      <b/>
      <u/>
      <sz val="13"/>
      <name val="굴림체"/>
      <family val="3"/>
      <charset val="129"/>
    </font>
    <font>
      <sz val="13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9"/>
      <name val="Arial"/>
      <family val="2"/>
    </font>
    <font>
      <sz val="11"/>
      <color indexed="12"/>
      <name val="Times New Roman"/>
      <family val="1"/>
    </font>
    <font>
      <sz val="11"/>
      <color indexed="10"/>
      <name val="맑은 고딕"/>
      <family val="3"/>
      <charset val="129"/>
    </font>
    <font>
      <sz val="8"/>
      <name val="DejaVu Sans"/>
      <family val="2"/>
    </font>
    <font>
      <u/>
      <sz val="11.6"/>
      <color indexed="36"/>
      <name val="Arial"/>
      <family val="2"/>
    </font>
    <font>
      <u/>
      <sz val="9"/>
      <color indexed="12"/>
      <name val="Arial"/>
      <family val="2"/>
    </font>
    <font>
      <sz val="10"/>
      <name val="掉葡羹"/>
      <family val="3"/>
      <charset val="129"/>
    </font>
    <font>
      <sz val="11"/>
      <name val="궁서"/>
      <family val="1"/>
      <charset val="129"/>
    </font>
    <font>
      <sz val="11"/>
      <color rgb="FFFF0000"/>
      <name val="맑은 고딕"/>
      <family val="3"/>
      <charset val="129"/>
      <scheme val="minor"/>
    </font>
    <font>
      <sz val="10"/>
      <color indexed="10"/>
      <name val="HY그래픽"/>
      <family val="1"/>
      <charset val="129"/>
    </font>
    <font>
      <b/>
      <sz val="11"/>
      <color rgb="FFFA7D00"/>
      <name val="맑은 고딕"/>
      <family val="3"/>
      <charset val="129"/>
      <scheme val="minor"/>
    </font>
    <font>
      <b/>
      <sz val="10"/>
      <color indexed="52"/>
      <name val="HY그래픽"/>
      <family val="1"/>
      <charset val="129"/>
    </font>
    <font>
      <sz val="11"/>
      <name val="바탕체"/>
      <family val="1"/>
      <charset val="129"/>
    </font>
    <font>
      <sz val="12"/>
      <color indexed="22"/>
      <name val="바탕체"/>
      <family val="1"/>
      <charset val="129"/>
    </font>
    <font>
      <b/>
      <sz val="18"/>
      <color indexed="22"/>
      <name val="바탕체"/>
      <family val="1"/>
      <charset val="129"/>
    </font>
    <font>
      <b/>
      <sz val="15"/>
      <color indexed="22"/>
      <name val="바탕체"/>
      <family val="1"/>
      <charset val="129"/>
    </font>
    <font>
      <sz val="10"/>
      <name val="PragmaticaCTT"/>
      <family val="1"/>
    </font>
    <font>
      <sz val="11"/>
      <name val="굴림"/>
      <family val="3"/>
      <charset val="129"/>
    </font>
    <font>
      <u/>
      <sz val="11"/>
      <color indexed="12"/>
      <name val="굃굍 굊긕긘긞긏"/>
      <family val="3"/>
      <charset val="129"/>
    </font>
    <font>
      <sz val="10"/>
      <name val="Century Gothic"/>
      <family val="2"/>
    </font>
    <font>
      <sz val="11"/>
      <color rgb="FF9C0006"/>
      <name val="맑은 고딕"/>
      <family val="3"/>
      <charset val="129"/>
      <scheme val="minor"/>
    </font>
    <font>
      <sz val="10"/>
      <color indexed="20"/>
      <name val="HY그래픽"/>
      <family val="1"/>
      <charset val="129"/>
    </font>
    <font>
      <sz val="11"/>
      <name val="HY헤드라인M"/>
      <family val="1"/>
      <charset val="129"/>
    </font>
    <font>
      <u/>
      <sz val="11"/>
      <color indexed="20"/>
      <name val="돋움"/>
      <family val="3"/>
      <charset val="129"/>
    </font>
    <font>
      <sz val="14"/>
      <name val="뼥?ⓒ"/>
      <family val="1"/>
      <charset val="129"/>
    </font>
    <font>
      <sz val="14"/>
      <name val="ＭＳ 明朝"/>
      <family val="3"/>
      <charset val="255"/>
    </font>
    <font>
      <sz val="10"/>
      <name val="굴림"/>
      <family val="3"/>
      <charset val="129"/>
    </font>
    <font>
      <sz val="10"/>
      <color theme="1"/>
      <name val="Times New Roman"/>
      <family val="1"/>
    </font>
    <font>
      <sz val="9"/>
      <color indexed="8"/>
      <name val="굴림"/>
      <family val="3"/>
      <charset val="129"/>
    </font>
    <font>
      <b/>
      <u/>
      <sz val="16"/>
      <name val="굴림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0"/>
      <color indexed="60"/>
      <name val="HY그래픽"/>
      <family val="1"/>
      <charset val="129"/>
    </font>
    <font>
      <sz val="12"/>
      <name val="뼻뮝"/>
      <family val="1"/>
      <charset val="129"/>
    </font>
    <font>
      <sz val="12"/>
      <name val="뼻뮝"/>
      <family val="3"/>
      <charset val="129"/>
    </font>
    <font>
      <sz val="12"/>
      <name val="宋?"/>
      <family val="3"/>
      <charset val="129"/>
    </font>
    <font>
      <sz val="12"/>
      <name val="宋体"/>
      <family val="3"/>
      <charset val="255"/>
    </font>
    <font>
      <sz val="12"/>
      <name val="夥鰻羹"/>
      <family val="1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i/>
      <sz val="10"/>
      <color indexed="23"/>
      <name val="HY그래픽"/>
      <family val="1"/>
      <charset val="129"/>
    </font>
    <font>
      <b/>
      <sz val="11"/>
      <color theme="0"/>
      <name val="맑은 고딕"/>
      <family val="3"/>
      <charset val="129"/>
      <scheme val="minor"/>
    </font>
    <font>
      <b/>
      <sz val="10"/>
      <color indexed="9"/>
      <name val="HY그래픽"/>
      <family val="1"/>
      <charset val="129"/>
    </font>
    <font>
      <sz val="14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새굴림"/>
      <family val="1"/>
      <charset val="129"/>
    </font>
    <font>
      <sz val="14"/>
      <name val="뼻뮝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0"/>
      <color indexed="52"/>
      <name val="HY그래픽"/>
      <family val="1"/>
      <charset val="129"/>
    </font>
    <font>
      <u/>
      <sz val="12"/>
      <color indexed="36"/>
      <name val="바탕체"/>
      <family val="1"/>
      <charset val="129"/>
    </font>
    <font>
      <sz val="11"/>
      <name val="蹈框"/>
      <family val="3"/>
      <charset val="129"/>
    </font>
    <font>
      <sz val="14"/>
      <color indexed="12"/>
      <name val="궁서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indexed="8"/>
      <name val="HY그래픽"/>
      <family val="1"/>
      <charset val="129"/>
    </font>
    <font>
      <sz val="10"/>
      <name val="궁서(English)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0"/>
      <color indexed="62"/>
      <name val="HY그래픽"/>
      <family val="1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HY그래픽"/>
      <family val="1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HY그래픽"/>
      <family val="1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HY그래픽"/>
      <family val="1"/>
      <charset val="129"/>
    </font>
    <font>
      <b/>
      <sz val="18"/>
      <color indexed="56"/>
      <name val="맑은 고딕"/>
      <family val="3"/>
      <charset val="129"/>
    </font>
    <font>
      <sz val="16"/>
      <name val="옛체"/>
      <family val="1"/>
      <charset val="129"/>
    </font>
    <font>
      <b/>
      <sz val="14"/>
      <name val="굴림체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0"/>
      <color indexed="17"/>
      <name val="HY그래픽"/>
      <family val="1"/>
      <charset val="129"/>
    </font>
    <font>
      <sz val="12"/>
      <name val="新細明體"/>
      <family val="1"/>
    </font>
    <font>
      <b/>
      <sz val="11"/>
      <color rgb="FF3F3F3F"/>
      <name val="맑은 고딕"/>
      <family val="3"/>
      <charset val="129"/>
      <scheme val="minor"/>
    </font>
    <font>
      <b/>
      <sz val="10"/>
      <color indexed="63"/>
      <name val="HY그래픽"/>
      <family val="1"/>
      <charset val="129"/>
    </font>
    <font>
      <sz val="12"/>
      <name val="T"/>
      <family val="2"/>
    </font>
    <font>
      <sz val="14"/>
      <name val="AngsanaUPC"/>
      <family val="1"/>
    </font>
    <font>
      <b/>
      <sz val="14"/>
      <color indexed="8"/>
      <name val="굴림체"/>
      <family val="3"/>
      <charset val="129"/>
    </font>
    <font>
      <u/>
      <sz val="10"/>
      <color indexed="12"/>
      <name val="Courier"/>
      <family val="3"/>
    </font>
    <font>
      <sz val="11"/>
      <name val="바탕"/>
      <family val="1"/>
      <charset val="129"/>
    </font>
    <font>
      <b/>
      <sz val="12"/>
      <name val="굴림체"/>
      <family val="3"/>
      <charset val="129"/>
    </font>
    <font>
      <b/>
      <sz val="10"/>
      <color theme="0"/>
      <name val="Book Antiqua"/>
      <family val="1"/>
    </font>
    <font>
      <u/>
      <sz val="9"/>
      <color indexed="36"/>
      <name val="Arial"/>
      <family val="2"/>
    </font>
    <font>
      <sz val="10"/>
      <color theme="1"/>
      <name val="나눔고딕"/>
      <family val="2"/>
      <charset val="129"/>
    </font>
    <font>
      <sz val="10"/>
      <color theme="1"/>
      <name val="나눔고딕"/>
      <family val="3"/>
      <charset val="129"/>
    </font>
    <font>
      <sz val="10"/>
      <color theme="1"/>
      <name val="Book Antiqua"/>
      <family val="1"/>
    </font>
    <font>
      <sz val="8"/>
      <color theme="1"/>
      <name val="Times New Roman"/>
      <family val="1"/>
    </font>
    <font>
      <sz val="10"/>
      <color theme="1"/>
      <name val="HY그래픽"/>
      <family val="1"/>
      <charset val="129"/>
    </font>
    <font>
      <sz val="12"/>
      <name val="Osaka"/>
      <family val="3"/>
      <charset val="255"/>
    </font>
    <font>
      <sz val="11"/>
      <color indexed="56"/>
      <name val="Times New Roman"/>
      <family val="1"/>
    </font>
    <font>
      <u/>
      <sz val="6.6"/>
      <color theme="10"/>
      <name val="맑은 고딕"/>
      <family val="3"/>
      <charset val="129"/>
    </font>
    <font>
      <sz val="11"/>
      <color rgb="FF7EAFCD"/>
      <name val="맑은 고딕"/>
      <family val="3"/>
      <charset val="129"/>
      <scheme val="minor"/>
    </font>
    <font>
      <sz val="9"/>
      <color indexed="12"/>
      <name val="굴림"/>
      <family val="3"/>
      <charset val="129"/>
    </font>
    <font>
      <u/>
      <sz val="12.65"/>
      <color theme="10"/>
      <name val="돋움"/>
      <family val="3"/>
      <charset val="129"/>
    </font>
    <font>
      <sz val="11"/>
      <name val="ＭＳ Ｐゴシック"/>
      <family val="2"/>
      <charset val="129"/>
    </font>
    <font>
      <sz val="12"/>
      <color indexed="8"/>
      <name val="돋움"/>
      <family val="3"/>
      <charset val="129"/>
    </font>
    <font>
      <sz val="16"/>
      <name val="바탕체"/>
      <family val="1"/>
      <charset val="129"/>
    </font>
    <font>
      <sz val="11"/>
      <name val="돋움"/>
      <family val="3"/>
      <charset val="136"/>
    </font>
    <font>
      <sz val="10"/>
      <color theme="1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돋움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9"/>
      <color rgb="FFC0000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theme="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color rgb="FFC00000"/>
      <name val="맑은 고딕"/>
      <family val="3"/>
      <charset val="129"/>
      <scheme val="major"/>
    </font>
    <font>
      <b/>
      <sz val="9"/>
      <color theme="0" tint="-4.9989318521683403E-2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b/>
      <sz val="9"/>
      <color indexed="8"/>
      <name val="맑은 고딕"/>
      <family val="3"/>
      <charset val="129"/>
      <scheme val="major"/>
    </font>
    <font>
      <sz val="9"/>
      <color theme="1" tint="0.1499984740745262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rgb="FFC00000"/>
      <name val="맑은 고딕"/>
      <family val="3"/>
      <charset val="129"/>
      <scheme val="major"/>
    </font>
    <font>
      <sz val="9"/>
      <color rgb="FF000000"/>
      <name val="함초롬돋움"/>
      <family val="1"/>
      <charset val="129"/>
    </font>
  </fonts>
  <fills count="1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23055"/>
        <bgColor indexed="64"/>
      </patternFill>
    </fill>
    <fill>
      <patternFill patternType="solid">
        <fgColor rgb="FFF0F2F4"/>
        <bgColor indexed="64"/>
      </patternFill>
    </fill>
    <fill>
      <patternFill patternType="solid">
        <fgColor rgb="FF00295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153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lightGray"/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13"/>
      </patternFill>
    </fill>
    <fill>
      <patternFill patternType="solid">
        <fgColor indexed="43"/>
        <bgColor indexed="64"/>
      </patternFill>
    </fill>
    <fill>
      <patternFill patternType="lightGray">
        <fgColor indexed="15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0"/>
        <bgColor indexed="64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31"/>
        <bgColor indexed="64"/>
      </patternFill>
    </fill>
    <fill>
      <patternFill patternType="darkVertical"/>
    </fill>
    <fill>
      <patternFill patternType="solid">
        <fgColor indexed="1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3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49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1530"/>
      </left>
      <right/>
      <top style="medium">
        <color rgb="FF001530"/>
      </top>
      <bottom/>
      <diagonal/>
    </border>
    <border>
      <left/>
      <right/>
      <top style="medium">
        <color rgb="FF00153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1530"/>
      </left>
      <right style="thin">
        <color theme="0" tint="-0.249977111117893"/>
      </right>
      <top style="medium">
        <color rgb="FF00153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1530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1530"/>
      </right>
      <top style="medium">
        <color rgb="FF001530"/>
      </top>
      <bottom style="thin">
        <color theme="0" tint="-0.249977111117893"/>
      </bottom>
      <diagonal/>
    </border>
    <border>
      <left style="medium">
        <color rgb="FF00153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153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1530"/>
      </left>
      <right style="thin">
        <color theme="0" tint="-0.249977111117893"/>
      </right>
      <top style="thin">
        <color theme="0" tint="-0.249977111117893"/>
      </top>
      <bottom style="medium">
        <color rgb="FF00153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530"/>
      </bottom>
      <diagonal/>
    </border>
    <border>
      <left style="thin">
        <color theme="0" tint="-0.249977111117893"/>
      </left>
      <right style="medium">
        <color rgb="FF001530"/>
      </right>
      <top style="thin">
        <color theme="0" tint="-0.249977111117893"/>
      </top>
      <bottom style="medium">
        <color rgb="FF001530"/>
      </bottom>
      <diagonal/>
    </border>
    <border>
      <left style="medium">
        <color rgb="FF223055"/>
      </left>
      <right style="thin">
        <color theme="0" tint="-0.149998474074526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223055"/>
      </right>
      <top style="medium">
        <color rgb="FF223055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223055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9847407452621"/>
      </left>
      <right style="medium">
        <color rgb="FF223055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223055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223055"/>
      </right>
      <top/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rgb="FF223055"/>
      </right>
      <top style="thin">
        <color theme="0" tint="-0.14999847407452621"/>
      </top>
      <bottom/>
      <diagonal/>
    </border>
    <border>
      <left style="medium">
        <color rgb="FF223055"/>
      </left>
      <right style="thin">
        <color theme="0" tint="-0.14999847407452621"/>
      </right>
      <top style="medium">
        <color rgb="FF223055"/>
      </top>
      <bottom style="medium">
        <color rgb="FF223055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223055"/>
      </top>
      <bottom style="medium">
        <color rgb="FF223055"/>
      </bottom>
      <diagonal/>
    </border>
    <border>
      <left style="thin">
        <color theme="0" tint="-0.14999847407452621"/>
      </left>
      <right style="medium">
        <color rgb="FF223055"/>
      </right>
      <top style="medium">
        <color rgb="FF223055"/>
      </top>
      <bottom style="medium">
        <color rgb="FF223055"/>
      </bottom>
      <diagonal/>
    </border>
    <border>
      <left style="medium">
        <color rgb="FF223055"/>
      </left>
      <right/>
      <top style="medium">
        <color rgb="FF223055"/>
      </top>
      <bottom/>
      <diagonal/>
    </border>
    <border>
      <left/>
      <right/>
      <top style="medium">
        <color rgb="FF223055"/>
      </top>
      <bottom/>
      <diagonal/>
    </border>
    <border>
      <left/>
      <right style="medium">
        <color rgb="FF223055"/>
      </right>
      <top style="medium">
        <color rgb="FF223055"/>
      </top>
      <bottom/>
      <diagonal/>
    </border>
    <border>
      <left style="medium">
        <color rgb="FF223055"/>
      </left>
      <right/>
      <top/>
      <bottom/>
      <diagonal/>
    </border>
    <border>
      <left/>
      <right style="medium">
        <color rgb="FF223055"/>
      </right>
      <top/>
      <bottom/>
      <diagonal/>
    </border>
    <border>
      <left style="medium">
        <color rgb="FF223055"/>
      </left>
      <right/>
      <top/>
      <bottom style="medium">
        <color rgb="FF223055"/>
      </bottom>
      <diagonal/>
    </border>
    <border>
      <left/>
      <right/>
      <top/>
      <bottom style="medium">
        <color rgb="FF223055"/>
      </bottom>
      <diagonal/>
    </border>
    <border>
      <left/>
      <right style="medium">
        <color rgb="FF223055"/>
      </right>
      <top/>
      <bottom style="medium">
        <color rgb="FF223055"/>
      </bottom>
      <diagonal/>
    </border>
    <border>
      <left style="medium">
        <color rgb="FF223055"/>
      </left>
      <right style="thin">
        <color theme="0" tint="-4.9989318521683403E-2"/>
      </right>
      <top style="medium">
        <color rgb="FF223055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rgb="FF223055"/>
      </top>
      <bottom style="thin">
        <color theme="0" tint="-4.9989318521683403E-2"/>
      </bottom>
      <diagonal/>
    </border>
    <border>
      <left style="medium">
        <color rgb="FF223055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rgb="FF223055"/>
      </left>
      <right style="thin">
        <color theme="0" tint="-4.9989318521683403E-2"/>
      </right>
      <top style="thin">
        <color theme="0" tint="-4.9989318521683403E-2"/>
      </top>
      <bottom style="medium">
        <color rgb="FF223055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rgb="FF223055"/>
      </bottom>
      <diagonal/>
    </border>
    <border>
      <left style="medium">
        <color rgb="FF223055"/>
      </left>
      <right style="medium">
        <color rgb="FF223055"/>
      </right>
      <top style="medium">
        <color rgb="FF223055"/>
      </top>
      <bottom/>
      <diagonal/>
    </border>
    <border>
      <left style="medium">
        <color rgb="FF223055"/>
      </left>
      <right style="medium">
        <color rgb="FF223055"/>
      </right>
      <top/>
      <bottom/>
      <diagonal/>
    </border>
    <border>
      <left style="medium">
        <color rgb="FF223055"/>
      </left>
      <right style="medium">
        <color rgb="FF223055"/>
      </right>
      <top/>
      <bottom style="medium">
        <color rgb="FF223055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223055"/>
      </top>
      <bottom style="medium">
        <color indexed="64"/>
      </bottom>
      <diagonal/>
    </border>
    <border>
      <left/>
      <right/>
      <top style="medium">
        <color rgb="FF223055"/>
      </top>
      <bottom style="medium">
        <color indexed="64"/>
      </bottom>
      <diagonal/>
    </border>
    <border>
      <left/>
      <right style="medium">
        <color indexed="64"/>
      </right>
      <top style="medium">
        <color rgb="FF2230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223055"/>
      </left>
      <right/>
      <top style="medium">
        <color rgb="FF223055"/>
      </top>
      <bottom style="medium">
        <color rgb="FF223055"/>
      </bottom>
      <diagonal/>
    </border>
    <border>
      <left/>
      <right/>
      <top style="medium">
        <color rgb="FF223055"/>
      </top>
      <bottom style="medium">
        <color rgb="FF223055"/>
      </bottom>
      <diagonal/>
    </border>
    <border>
      <left/>
      <right style="medium">
        <color rgb="FF223055"/>
      </right>
      <top style="medium">
        <color rgb="FF223055"/>
      </top>
      <bottom style="medium">
        <color rgb="FF22305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223055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0" tint="-0.14999847407452621"/>
      </left>
      <right/>
      <top style="medium">
        <color rgb="FF223055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rgb="FF223055"/>
      </top>
      <bottom style="thin">
        <color theme="0" tint="-0.14999847407452621"/>
      </bottom>
      <diagonal/>
    </border>
    <border>
      <left/>
      <right style="medium">
        <color rgb="FF223055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4.9989318521683403E-2"/>
      </left>
      <right style="medium">
        <color rgb="FF223055"/>
      </right>
      <top style="medium">
        <color rgb="FF223055"/>
      </top>
      <bottom style="thin">
        <color theme="0" tint="-4.9989318521683403E-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223055"/>
      </bottom>
      <diagonal/>
    </border>
    <border>
      <left style="thin">
        <color theme="0" tint="-4.9989318521683403E-2"/>
      </left>
      <right style="medium">
        <color rgb="FF223055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rgb="FF223055"/>
      </right>
      <top style="thin">
        <color theme="0" tint="-4.9989318521683403E-2"/>
      </top>
      <bottom style="medium">
        <color rgb="FF223055"/>
      </bottom>
      <diagonal/>
    </border>
    <border>
      <left style="medium">
        <color rgb="FF223055"/>
      </left>
      <right style="thin">
        <color theme="0" tint="-0.14999847407452621"/>
      </right>
      <top style="medium">
        <color rgb="FF223055"/>
      </top>
      <bottom/>
      <diagonal/>
    </border>
    <border>
      <left style="thin">
        <color theme="0" tint="-0.14999847407452621"/>
      </left>
      <right style="medium">
        <color rgb="FF223055"/>
      </right>
      <top style="medium">
        <color rgb="FF223055"/>
      </top>
      <bottom/>
      <diagonal/>
    </border>
    <border>
      <left/>
      <right/>
      <top style="thin">
        <color rgb="FF223055"/>
      </top>
      <bottom style="medium">
        <color rgb="FF223055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rgb="FF22305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00000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auto="1"/>
      </left>
      <right/>
      <top style="thin">
        <color theme="0" tint="-0.14999847407452621"/>
      </top>
      <bottom style="medium">
        <color rgb="FF223055"/>
      </bottom>
      <diagonal/>
    </border>
    <border>
      <left/>
      <right/>
      <top style="thin">
        <color theme="0" tint="-0.14999847407452621"/>
      </top>
      <bottom style="medium">
        <color rgb="FF223055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1530"/>
      </right>
      <top/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 style="double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double">
        <color theme="4"/>
      </bottom>
      <diagonal/>
    </border>
    <border>
      <left style="medium">
        <color theme="4"/>
      </left>
      <right/>
      <top style="double">
        <color theme="4"/>
      </top>
      <bottom style="hair">
        <color theme="4"/>
      </bottom>
      <diagonal/>
    </border>
    <border>
      <left style="medium">
        <color theme="4"/>
      </left>
      <right/>
      <top style="hair">
        <color theme="4"/>
      </top>
      <bottom style="hair">
        <color theme="4"/>
      </bottom>
      <diagonal/>
    </border>
    <border>
      <left style="medium">
        <color theme="4"/>
      </left>
      <right/>
      <top style="hair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double">
        <color theme="4"/>
      </top>
      <bottom style="hair">
        <color theme="4"/>
      </bottom>
      <diagonal/>
    </border>
    <border>
      <left style="thin">
        <color theme="4"/>
      </left>
      <right/>
      <top style="hair">
        <color theme="4"/>
      </top>
      <bottom style="hair">
        <color theme="4"/>
      </bottom>
      <diagonal/>
    </border>
    <border>
      <left style="thin">
        <color theme="4"/>
      </left>
      <right/>
      <top style="hair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medium">
        <color rgb="FF223055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uble">
        <color theme="4"/>
      </top>
      <bottom/>
      <diagonal/>
    </border>
    <border>
      <left/>
      <right style="thin">
        <color theme="4"/>
      </right>
      <top style="double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double">
        <color theme="4"/>
      </top>
      <bottom style="hair">
        <color theme="4"/>
      </bottom>
      <diagonal/>
    </border>
    <border>
      <left/>
      <right style="thin">
        <color theme="4"/>
      </right>
      <top style="hair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hair">
        <color theme="4"/>
      </bottom>
      <diagonal/>
    </border>
    <border>
      <left/>
      <right style="thin">
        <color theme="4"/>
      </right>
      <top style="hair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hair">
        <color theme="4"/>
      </bottom>
      <diagonal/>
    </border>
    <border>
      <left/>
      <right style="thin">
        <color theme="4"/>
      </right>
      <top style="hair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double">
        <color theme="4"/>
      </bottom>
      <diagonal/>
    </border>
    <border>
      <left style="thin">
        <color theme="4"/>
      </left>
      <right/>
      <top style="hair">
        <color theme="4"/>
      </top>
      <bottom style="double">
        <color theme="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 style="hair">
        <color theme="4"/>
      </top>
      <bottom/>
      <diagonal/>
    </border>
    <border>
      <left style="thin">
        <color theme="4"/>
      </left>
      <right/>
      <top style="hair">
        <color theme="4"/>
      </top>
      <bottom/>
      <diagonal/>
    </border>
    <border>
      <left style="medium">
        <color theme="4"/>
      </left>
      <right/>
      <top style="hair">
        <color theme="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medium">
        <color indexed="64"/>
      </left>
      <right style="medium">
        <color indexed="12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30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/>
      <right/>
      <top/>
      <bottom style="double">
        <color indexed="52"/>
      </bottom>
      <diagonal/>
    </border>
    <border>
      <left style="dotted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medium">
        <color auto="1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1530"/>
      </top>
      <bottom/>
      <diagonal/>
    </border>
    <border>
      <left/>
      <right/>
      <top/>
      <bottom style="thin">
        <color rgb="FF001530"/>
      </bottom>
      <diagonal/>
    </border>
    <border>
      <left style="thin">
        <color theme="4"/>
      </left>
      <right style="thin">
        <color theme="4"/>
      </right>
      <top style="hair">
        <color theme="4"/>
      </top>
      <bottom/>
      <diagonal/>
    </border>
    <border>
      <left style="thin">
        <color theme="0" tint="-4.9989318521683403E-2"/>
      </left>
      <right style="medium">
        <color rgb="FF223055"/>
      </right>
      <top style="medium">
        <color theme="1"/>
      </top>
      <bottom style="thin">
        <color theme="0" tint="-4.9989318521683403E-2"/>
      </bottom>
      <diagonal/>
    </border>
    <border>
      <left/>
      <right/>
      <top style="medium">
        <color rgb="FF223055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9847407452621"/>
      </top>
      <bottom style="medium">
        <color rgb="FF223055"/>
      </bottom>
      <diagonal/>
    </border>
    <border>
      <left/>
      <right style="medium">
        <color rgb="FF223055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rgb="FF223055"/>
      </right>
      <top style="thin">
        <color theme="0" tint="-0.14999847407452621"/>
      </top>
      <bottom style="medium">
        <color rgb="FF223055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67955565050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223055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medium">
        <color rgb="FF223055"/>
      </left>
      <right style="thin">
        <color theme="0" tint="-0.14996795556505021"/>
      </right>
      <top style="medium">
        <color rgb="FF223055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223055"/>
      </right>
      <top style="medium">
        <color rgb="FF223055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6795556505021"/>
      </top>
      <bottom style="medium">
        <color rgb="FF223055"/>
      </bottom>
      <diagonal/>
    </border>
    <border>
      <left style="medium">
        <color rgb="FF001530"/>
      </left>
      <right style="thin">
        <color theme="0" tint="-0.14996795556505021"/>
      </right>
      <top style="medium">
        <color rgb="FF00153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153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1530"/>
      </right>
      <top style="medium">
        <color rgb="FF001530"/>
      </top>
      <bottom style="thin">
        <color theme="0" tint="-0.14996795556505021"/>
      </bottom>
      <diagonal/>
    </border>
    <border>
      <left style="medium">
        <color rgb="FF00153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153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1530"/>
      </left>
      <right style="thin">
        <color theme="0" tint="-0.14996795556505021"/>
      </right>
      <top style="thin">
        <color theme="0" tint="-0.14996795556505021"/>
      </top>
      <bottom style="medium">
        <color rgb="FF00153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1530"/>
      </bottom>
      <diagonal/>
    </border>
    <border>
      <left style="thin">
        <color theme="0" tint="-0.14996795556505021"/>
      </left>
      <right style="medium">
        <color rgb="FF001530"/>
      </right>
      <top style="thin">
        <color theme="0" tint="-0.14996795556505021"/>
      </top>
      <bottom style="medium">
        <color rgb="FF001530"/>
      </bottom>
      <diagonal/>
    </border>
    <border>
      <left style="medium">
        <color rgb="FF223055"/>
      </left>
      <right style="medium">
        <color rgb="FF223055"/>
      </right>
      <top style="medium">
        <color rgb="FF223055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6795556505021"/>
      </bottom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223055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  <border>
      <left style="medium">
        <color rgb="FF223055"/>
      </left>
      <right/>
      <top style="thin">
        <color theme="0" tint="-0.14999847407452621"/>
      </top>
      <bottom style="thin">
        <color theme="0" tint="-0.14996795556505021"/>
      </bottom>
      <diagonal/>
    </border>
    <border>
      <left style="medium">
        <color rgb="FF223055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medium">
        <color rgb="FF001530"/>
      </left>
      <right/>
      <top style="medium">
        <color rgb="FF001530"/>
      </top>
      <bottom style="thin">
        <color theme="0" tint="-0.249977111117893"/>
      </bottom>
      <diagonal/>
    </border>
    <border>
      <left style="medium">
        <color rgb="FF001530"/>
      </left>
      <right/>
      <top/>
      <bottom style="thin">
        <color theme="0" tint="-0.249977111117893"/>
      </bottom>
      <diagonal/>
    </border>
    <border>
      <left style="medium">
        <color rgb="FF001530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1530"/>
      </left>
      <right/>
      <top style="thin">
        <color theme="0" tint="-0.249977111117893"/>
      </top>
      <bottom style="medium">
        <color rgb="FF001530"/>
      </bottom>
      <diagonal/>
    </border>
    <border>
      <left style="thin">
        <color theme="0" tint="-0.14996795556505021"/>
      </left>
      <right style="thin">
        <color theme="0" tint="-0.249977111117893"/>
      </right>
      <top style="medium">
        <color rgb="FF001530"/>
      </top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249977111117893"/>
      </right>
      <top/>
      <bottom/>
      <diagonal/>
    </border>
    <border>
      <left style="thin">
        <color theme="0" tint="-0.149967955565050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249977111117893"/>
      </right>
      <top style="thin">
        <color theme="0" tint="-0.249977111117893"/>
      </top>
      <bottom style="medium">
        <color rgb="FF001530"/>
      </bottom>
      <diagonal/>
    </border>
    <border>
      <left style="medium">
        <color rgb="FF223055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rgb="FF223055"/>
      </left>
      <right/>
      <top style="medium">
        <color rgb="FF223055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rgb="FF223055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medium">
        <color rgb="FF223055"/>
      </left>
      <right style="medium">
        <color rgb="FF223055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67955565050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67955565050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 style="thin">
        <color theme="0" tint="-0.14993743705557422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9847407452621"/>
      </top>
      <bottom style="medium">
        <color rgb="FF223055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6795556505021"/>
      </right>
      <top style="double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double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rgb="FF223055"/>
      </left>
      <right style="medium">
        <color rgb="FF223055"/>
      </right>
      <top style="medium">
        <color rgb="FF223055"/>
      </top>
      <bottom style="thin">
        <color theme="0" tint="-0.14996795556505021"/>
      </bottom>
      <diagonal/>
    </border>
    <border>
      <left style="medium">
        <color rgb="FF223055"/>
      </left>
      <right style="medium">
        <color rgb="FF223055"/>
      </right>
      <top style="thin">
        <color theme="0" tint="-0.14996795556505021"/>
      </top>
      <bottom style="double">
        <color indexed="64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rgb="FF223055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medium">
        <color rgb="FF223055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medium">
        <color rgb="FF223055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rgb="FF223055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medium">
        <color rgb="FF223055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/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/>
      <right style="medium">
        <color rgb="FF001530"/>
      </right>
      <top style="medium">
        <color rgb="FF001530"/>
      </top>
      <bottom/>
      <diagonal/>
    </border>
    <border>
      <left style="medium">
        <color rgb="FF001530"/>
      </left>
      <right/>
      <top/>
      <bottom/>
      <diagonal/>
    </border>
    <border>
      <left/>
      <right style="medium">
        <color rgb="FF001530"/>
      </right>
      <top/>
      <bottom/>
      <diagonal/>
    </border>
    <border>
      <left style="medium">
        <color rgb="FF001530"/>
      </left>
      <right/>
      <top/>
      <bottom style="thin">
        <color auto="1"/>
      </bottom>
      <diagonal/>
    </border>
    <border>
      <left/>
      <right style="medium">
        <color rgb="FF001530"/>
      </right>
      <top/>
      <bottom style="thin">
        <color auto="1"/>
      </bottom>
      <diagonal/>
    </border>
    <border>
      <left style="medium">
        <color rgb="FF001530"/>
      </left>
      <right/>
      <top style="thin">
        <color auto="1"/>
      </top>
      <bottom/>
      <diagonal/>
    </border>
    <border>
      <left/>
      <right style="medium">
        <color rgb="FF001530"/>
      </right>
      <top style="thin">
        <color auto="1"/>
      </top>
      <bottom/>
      <diagonal/>
    </border>
    <border>
      <left style="medium">
        <color rgb="FF001530"/>
      </left>
      <right/>
      <top style="thin">
        <color rgb="FF001530"/>
      </top>
      <bottom/>
      <diagonal/>
    </border>
    <border>
      <left/>
      <right style="medium">
        <color rgb="FF001530"/>
      </right>
      <top style="thin">
        <color rgb="FF001530"/>
      </top>
      <bottom/>
      <diagonal/>
    </border>
    <border>
      <left style="medium">
        <color rgb="FF001530"/>
      </left>
      <right/>
      <top/>
      <bottom style="thin">
        <color rgb="FF001530"/>
      </bottom>
      <diagonal/>
    </border>
    <border>
      <left/>
      <right style="medium">
        <color rgb="FF001530"/>
      </right>
      <top/>
      <bottom style="thin">
        <color rgb="FF001530"/>
      </bottom>
      <diagonal/>
    </border>
    <border>
      <left style="medium">
        <color rgb="FF001530"/>
      </left>
      <right/>
      <top/>
      <bottom style="medium">
        <color rgb="FF001530"/>
      </bottom>
      <diagonal/>
    </border>
    <border>
      <left/>
      <right/>
      <top/>
      <bottom style="medium">
        <color rgb="FF001530"/>
      </bottom>
      <diagonal/>
    </border>
    <border>
      <left/>
      <right style="medium">
        <color rgb="FF001530"/>
      </right>
      <top/>
      <bottom style="medium">
        <color rgb="FF001530"/>
      </bottom>
      <diagonal/>
    </border>
    <border>
      <left style="medium">
        <color rgb="FF223055"/>
      </left>
      <right/>
      <top style="thin">
        <color auto="1"/>
      </top>
      <bottom/>
      <diagonal/>
    </border>
    <border>
      <left/>
      <right style="medium">
        <color rgb="FF223055"/>
      </right>
      <top style="thin">
        <color auto="1"/>
      </top>
      <bottom/>
      <diagonal/>
    </border>
    <border>
      <left style="medium">
        <color rgb="FF223055"/>
      </left>
      <right/>
      <top style="medium">
        <color rgb="FF223055"/>
      </top>
      <bottom style="hair">
        <color auto="1"/>
      </bottom>
      <diagonal/>
    </border>
    <border>
      <left/>
      <right/>
      <top style="medium">
        <color rgb="FF223055"/>
      </top>
      <bottom style="hair">
        <color auto="1"/>
      </bottom>
      <diagonal/>
    </border>
    <border>
      <left/>
      <right style="medium">
        <color rgb="FF223055"/>
      </right>
      <top style="medium">
        <color rgb="FF223055"/>
      </top>
      <bottom style="hair">
        <color auto="1"/>
      </bottom>
      <diagonal/>
    </border>
    <border>
      <left style="medium">
        <color rgb="FF223055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rgb="FF223055"/>
      </right>
      <top style="hair">
        <color auto="1"/>
      </top>
      <bottom style="hair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0691854609822"/>
      </left>
      <right style="thin">
        <color theme="0" tint="-0.14990691854609822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8764000366222"/>
      </left>
      <right style="thin">
        <color theme="0" tint="-0.1498764000366222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99847407452621"/>
      </top>
      <bottom style="medium">
        <color rgb="FF223055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rgb="FF001530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rgb="FF223055"/>
      </left>
      <right/>
      <top style="thin">
        <color rgb="FF223055"/>
      </top>
      <bottom style="hair">
        <color auto="1"/>
      </bottom>
      <diagonal/>
    </border>
    <border>
      <left/>
      <right/>
      <top style="thin">
        <color rgb="FF223055"/>
      </top>
      <bottom style="hair">
        <color auto="1"/>
      </bottom>
      <diagonal/>
    </border>
    <border>
      <left/>
      <right style="medium">
        <color rgb="FF223055"/>
      </right>
      <top style="thin">
        <color rgb="FF223055"/>
      </top>
      <bottom style="hair">
        <color auto="1"/>
      </bottom>
      <diagonal/>
    </border>
    <border>
      <left style="medium">
        <color rgb="FF223055"/>
      </left>
      <right/>
      <top style="thin">
        <color rgb="FF223055"/>
      </top>
      <bottom style="thin">
        <color rgb="FF223055"/>
      </bottom>
      <diagonal/>
    </border>
    <border>
      <left/>
      <right/>
      <top style="thin">
        <color rgb="FF223055"/>
      </top>
      <bottom style="thin">
        <color rgb="FF223055"/>
      </bottom>
      <diagonal/>
    </border>
    <border>
      <left/>
      <right style="medium">
        <color rgb="FF223055"/>
      </right>
      <top style="thin">
        <color rgb="FF223055"/>
      </top>
      <bottom style="thin">
        <color rgb="FF223055"/>
      </bottom>
      <diagonal/>
    </border>
    <border>
      <left style="medium">
        <color rgb="FF223055"/>
      </left>
      <right/>
      <top/>
      <bottom style="hair">
        <color auto="1"/>
      </bottom>
      <diagonal/>
    </border>
    <border>
      <left/>
      <right style="medium">
        <color rgb="FF223055"/>
      </right>
      <top/>
      <bottom style="hair">
        <color auto="1"/>
      </bottom>
      <diagonal/>
    </border>
    <border>
      <left style="medium">
        <color rgb="FF223055"/>
      </left>
      <right/>
      <top style="thin">
        <color rgb="FF223055"/>
      </top>
      <bottom/>
      <diagonal/>
    </border>
    <border>
      <left/>
      <right/>
      <top style="thin">
        <color rgb="FF223055"/>
      </top>
      <bottom/>
      <diagonal/>
    </border>
    <border>
      <left/>
      <right style="medium">
        <color rgb="FF223055"/>
      </right>
      <top style="thin">
        <color rgb="FF223055"/>
      </top>
      <bottom/>
      <diagonal/>
    </border>
    <border>
      <left style="thin">
        <color theme="0" tint="-0.14990691854609822"/>
      </left>
      <right/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0691854609822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0691854609822"/>
      </left>
      <right/>
      <top style="thin">
        <color theme="0" tint="-0.14999847407452621"/>
      </top>
      <bottom style="medium">
        <color rgb="FF223055"/>
      </bottom>
      <diagonal/>
    </border>
    <border>
      <left style="medium">
        <color rgb="FF223055"/>
      </left>
      <right style="thin">
        <color theme="0" tint="-0.1498764000366222"/>
      </right>
      <top style="medium">
        <color rgb="FF223055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8764000366222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8764000366222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/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medium">
        <color rgb="FF223055"/>
      </left>
      <right/>
      <top style="hair">
        <color rgb="FF223055"/>
      </top>
      <bottom style="medium">
        <color rgb="FF223055"/>
      </bottom>
      <diagonal/>
    </border>
    <border>
      <left/>
      <right/>
      <top style="hair">
        <color rgb="FF223055"/>
      </top>
      <bottom style="medium">
        <color rgb="FF223055"/>
      </bottom>
      <diagonal/>
    </border>
    <border>
      <left/>
      <right style="medium">
        <color rgb="FF223055"/>
      </right>
      <top style="hair">
        <color rgb="FF223055"/>
      </top>
      <bottom style="medium">
        <color rgb="FF223055"/>
      </bottom>
      <diagonal/>
    </border>
    <border>
      <left style="thin">
        <color rgb="FF000000"/>
      </left>
      <right style="thin">
        <color theme="0" tint="-0.24994659260841701"/>
      </right>
      <top style="thin">
        <color rgb="FF00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00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000000"/>
      </right>
      <top style="thin">
        <color rgb="FF000000"/>
      </top>
      <bottom style="thin">
        <color theme="0" tint="-0.24994659260841701"/>
      </bottom>
      <diagonal/>
    </border>
    <border>
      <left style="thin">
        <color rgb="FF00000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00000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0000"/>
      </left>
      <right style="thin">
        <color theme="0" tint="-0.24994659260841701"/>
      </right>
      <top style="thin">
        <color theme="0" tint="-0.24994659260841701"/>
      </top>
      <bottom style="thin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rgb="FF000000"/>
      </bottom>
      <diagonal/>
    </border>
    <border>
      <left style="thin">
        <color theme="0" tint="-0.24994659260841701"/>
      </left>
      <right style="thin">
        <color rgb="FF000000"/>
      </right>
      <top style="thin">
        <color theme="0" tint="-0.24994659260841701"/>
      </top>
      <bottom style="thin">
        <color rgb="FF000000"/>
      </bottom>
      <diagonal/>
    </border>
    <border>
      <left style="medium">
        <color rgb="FF223055"/>
      </left>
      <right/>
      <top style="hair">
        <color auto="1"/>
      </top>
      <bottom style="hair">
        <color rgb="FF223055"/>
      </bottom>
      <diagonal/>
    </border>
    <border>
      <left/>
      <right/>
      <top style="hair">
        <color auto="1"/>
      </top>
      <bottom style="hair">
        <color rgb="FF223055"/>
      </bottom>
      <diagonal/>
    </border>
    <border>
      <left/>
      <right style="medium">
        <color rgb="FF223055"/>
      </right>
      <top style="hair">
        <color auto="1"/>
      </top>
      <bottom style="hair">
        <color rgb="FF223055"/>
      </bottom>
      <diagonal/>
    </border>
    <border>
      <left style="medium">
        <color rgb="FF223055"/>
      </left>
      <right/>
      <top style="hair">
        <color rgb="FF223055"/>
      </top>
      <bottom style="hair">
        <color rgb="FF223055"/>
      </bottom>
      <diagonal/>
    </border>
    <border>
      <left/>
      <right/>
      <top style="hair">
        <color rgb="FF223055"/>
      </top>
      <bottom style="hair">
        <color rgb="FF223055"/>
      </bottom>
      <diagonal/>
    </border>
    <border>
      <left/>
      <right style="medium">
        <color rgb="FF223055"/>
      </right>
      <top style="hair">
        <color rgb="FF223055"/>
      </top>
      <bottom style="hair">
        <color rgb="FF223055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rgb="FF223055"/>
      </right>
      <top style="medium">
        <color rgb="FF223055"/>
      </top>
      <bottom style="thin">
        <color theme="0" tint="-0.14996795556505021"/>
      </bottom>
      <diagonal/>
    </border>
    <border>
      <left/>
      <right style="medium">
        <color auto="1"/>
      </right>
      <top style="medium">
        <color rgb="FF223055"/>
      </top>
      <bottom style="thin">
        <color theme="0" tint="-0.14999847407452621"/>
      </bottom>
      <diagonal/>
    </border>
    <border>
      <left/>
      <right style="medium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auto="1"/>
      </right>
      <top style="thin">
        <color theme="0" tint="-0.149998474074526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 style="medium">
        <color auto="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249977111117893"/>
      </left>
      <right/>
      <top style="medium">
        <color rgb="FF001530"/>
      </top>
      <bottom style="thin">
        <color theme="0" tint="-0.249977111117893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4"/>
      </left>
      <right/>
      <top style="thin">
        <color theme="4"/>
      </top>
      <bottom style="hair">
        <color theme="4"/>
      </bottom>
      <diagonal/>
    </border>
    <border>
      <left style="medium">
        <color rgb="FF223055"/>
      </left>
      <right/>
      <top style="hair">
        <color rgb="FF223055"/>
      </top>
      <bottom/>
      <diagonal/>
    </border>
    <border>
      <left/>
      <right/>
      <top style="hair">
        <color rgb="FF223055"/>
      </top>
      <bottom/>
      <diagonal/>
    </border>
    <border>
      <left/>
      <right style="medium">
        <color rgb="FF223055"/>
      </right>
      <top style="hair">
        <color rgb="FF223055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223055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/>
      <top style="medium">
        <color rgb="FF223055"/>
      </top>
      <bottom style="thin">
        <color theme="0" tint="-0.14996795556505021"/>
      </bottom>
      <diagonal/>
    </border>
    <border>
      <left style="medium">
        <color rgb="FF223055"/>
      </left>
      <right/>
      <top style="medium">
        <color rgb="FF223055"/>
      </top>
      <bottom style="thin">
        <color theme="0" tint="-0.149998474074526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00000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rgb="FFD9E2F3"/>
      </left>
      <right style="thin">
        <color rgb="FFD9E2F3"/>
      </right>
      <top style="thin">
        <color rgb="FFD9E2F3"/>
      </top>
      <bottom style="thin">
        <color rgb="FFD9E2F3"/>
      </bottom>
      <diagonal/>
    </border>
    <border>
      <left style="thin">
        <color rgb="FF223055"/>
      </left>
      <right/>
      <top style="thin">
        <color rgb="FF223055"/>
      </top>
      <bottom/>
      <diagonal/>
    </border>
    <border>
      <left/>
      <right style="thin">
        <color rgb="FF223055"/>
      </right>
      <top style="thin">
        <color rgb="FF223055"/>
      </top>
      <bottom/>
      <diagonal/>
    </border>
    <border>
      <left style="thin">
        <color rgb="FF223055"/>
      </left>
      <right/>
      <top/>
      <bottom/>
      <diagonal/>
    </border>
    <border>
      <left/>
      <right style="thin">
        <color rgb="FF223055"/>
      </right>
      <top/>
      <bottom/>
      <diagonal/>
    </border>
    <border>
      <left style="thin">
        <color rgb="FF223055"/>
      </left>
      <right/>
      <top style="double">
        <color rgb="FF223055"/>
      </top>
      <bottom style="thin">
        <color rgb="FF223055"/>
      </bottom>
      <diagonal/>
    </border>
    <border>
      <left/>
      <right style="thin">
        <color rgb="FF223055"/>
      </right>
      <top style="double">
        <color rgb="FF223055"/>
      </top>
      <bottom style="thin">
        <color rgb="FF223055"/>
      </bottom>
      <diagonal/>
    </border>
    <border>
      <left/>
      <right/>
      <top style="thin">
        <color theme="0" tint="-0.14996795556505021"/>
      </top>
      <bottom style="medium">
        <color rgb="FF223055"/>
      </bottom>
      <diagonal/>
    </border>
    <border>
      <left style="thin">
        <color theme="0" tint="-0.14993743705557422"/>
      </left>
      <right style="medium">
        <color rgb="FF223055"/>
      </right>
      <top style="thin">
        <color theme="0" tint="-0.14996795556505021"/>
      </top>
      <bottom style="medium">
        <color rgb="FF223055"/>
      </bottom>
      <diagonal/>
    </border>
    <border>
      <left style="thin">
        <color theme="0" tint="-0.14993743705557422"/>
      </left>
      <right style="medium">
        <color rgb="FF223055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 style="medium">
        <color rgb="FF223055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9847407452621"/>
      </top>
      <bottom style="medium">
        <color rgb="FF223055"/>
      </bottom>
      <diagonal/>
    </border>
    <border>
      <left style="medium">
        <color rgb="FF223055"/>
      </left>
      <right/>
      <top style="thin">
        <color theme="0" tint="-0.14996795556505021"/>
      </top>
      <bottom style="medium">
        <color rgb="FF223055"/>
      </bottom>
      <diagonal/>
    </border>
    <border>
      <left style="thin">
        <color theme="2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/>
      </left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thin">
        <color rgb="FF000000"/>
      </left>
      <right style="thin">
        <color theme="0" tint="-0.14996795556505021"/>
      </right>
      <top style="thin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000000"/>
      </right>
      <top style="thin">
        <color rgb="FF000000"/>
      </top>
      <bottom style="thin">
        <color theme="0" tint="-0.14996795556505021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rgb="FF000000"/>
      </bottom>
      <diagonal/>
    </border>
    <border>
      <left style="medium">
        <color rgb="FF223055"/>
      </left>
      <right style="thin">
        <color theme="0" tint="-0.14996795556505021"/>
      </right>
      <top style="double">
        <color rgb="FF223055"/>
      </top>
      <bottom style="medium">
        <color rgb="FF223055"/>
      </bottom>
      <diagonal/>
    </border>
    <border>
      <left style="thin">
        <color theme="0" tint="-0.14996795556505021"/>
      </left>
      <right style="thin">
        <color theme="0" tint="-0.14996795556505021"/>
      </right>
      <top style="double">
        <color rgb="FF223055"/>
      </top>
      <bottom style="medium">
        <color rgb="FF223055"/>
      </bottom>
      <diagonal/>
    </border>
    <border>
      <left style="thin">
        <color theme="0" tint="-0.14996795556505021"/>
      </left>
      <right style="medium">
        <color rgb="FF223055"/>
      </right>
      <top style="double">
        <color rgb="FF223055"/>
      </top>
      <bottom style="medium">
        <color rgb="FF223055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3743705557422"/>
      </top>
      <bottom/>
      <diagonal/>
    </border>
    <border>
      <left style="medium">
        <color indexed="64"/>
      </left>
      <right style="thin">
        <color theme="0" tint="-0.14996795556505021"/>
      </right>
      <top style="double">
        <color rgb="FF223055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double">
        <color rgb="FF223055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double">
        <color rgb="FF223055"/>
      </top>
      <bottom style="medium">
        <color indexed="64"/>
      </bottom>
      <diagonal/>
    </border>
    <border>
      <left style="medium">
        <color indexed="64"/>
      </left>
      <right/>
      <top style="double">
        <color rgb="FF223055"/>
      </top>
      <bottom style="medium">
        <color indexed="64"/>
      </bottom>
      <diagonal/>
    </border>
    <border>
      <left/>
      <right style="medium">
        <color indexed="64"/>
      </right>
      <top style="double">
        <color rgb="FF223055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double">
        <color rgb="FF223055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6795556505021"/>
      </top>
      <bottom style="double">
        <color rgb="FF223055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 style="double">
        <color rgb="FF223055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medium">
        <color rgb="FF223055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medium">
        <color rgb="FF223055"/>
      </right>
      <top style="medium">
        <color rgb="FF223055"/>
      </top>
      <bottom style="thin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6795556505021"/>
      </top>
      <bottom style="thin">
        <color theme="0" tint="-0.14999847407452621"/>
      </bottom>
      <diagonal/>
    </border>
  </borders>
  <cellStyleXfs count="10065">
    <xf numFmtId="0" fontId="0" fillId="0" borderId="0"/>
    <xf numFmtId="41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>
      <alignment vertical="center"/>
    </xf>
    <xf numFmtId="0" fontId="10" fillId="0" borderId="0">
      <alignment vertical="center"/>
    </xf>
    <xf numFmtId="0" fontId="25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2" fillId="0" borderId="0"/>
    <xf numFmtId="0" fontId="33" fillId="0" borderId="0"/>
    <xf numFmtId="0" fontId="32" fillId="0" borderId="0"/>
    <xf numFmtId="9" fontId="3" fillId="0" borderId="0" applyFont="0" applyFill="0" applyBorder="0" applyAlignment="0" applyProtection="0">
      <alignment vertical="center"/>
    </xf>
    <xf numFmtId="0" fontId="3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25" fillId="0" borderId="0"/>
    <xf numFmtId="41" fontId="2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2" fillId="0" borderId="0"/>
    <xf numFmtId="41" fontId="3" fillId="0" borderId="0" applyFont="0" applyFill="0" applyBorder="0" applyAlignment="0" applyProtection="0">
      <alignment vertical="center"/>
    </xf>
    <xf numFmtId="0" fontId="25" fillId="0" borderId="0"/>
    <xf numFmtId="41" fontId="25" fillId="0" borderId="0" applyFont="0" applyFill="0" applyBorder="0" applyAlignment="0" applyProtection="0"/>
    <xf numFmtId="0" fontId="34" fillId="0" borderId="0">
      <alignment vertical="center"/>
    </xf>
    <xf numFmtId="0" fontId="8" fillId="0" borderId="0"/>
    <xf numFmtId="41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1" fontId="2" fillId="0" borderId="0" applyFont="0" applyFill="0" applyBorder="0" applyAlignment="0" applyProtection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0" fontId="40" fillId="0" borderId="0"/>
    <xf numFmtId="0" fontId="25" fillId="0" borderId="0"/>
    <xf numFmtId="0" fontId="4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0" fontId="32" fillId="0" borderId="0"/>
    <xf numFmtId="0" fontId="32" fillId="0" borderId="0"/>
    <xf numFmtId="0" fontId="1" fillId="30" borderId="125" applyNumberFormat="0" applyFont="0" applyAlignment="0" applyProtection="0">
      <alignment vertical="center"/>
    </xf>
    <xf numFmtId="0" fontId="42" fillId="0" borderId="0">
      <alignment vertical="center"/>
    </xf>
    <xf numFmtId="0" fontId="32" fillId="0" borderId="0"/>
    <xf numFmtId="0" fontId="43" fillId="0" borderId="0"/>
    <xf numFmtId="0" fontId="44" fillId="0" borderId="126" applyNumberFormat="0" applyFill="0" applyAlignment="0" applyProtection="0">
      <alignment vertical="center"/>
    </xf>
    <xf numFmtId="0" fontId="47" fillId="0" borderId="0"/>
    <xf numFmtId="0" fontId="47" fillId="0" borderId="0"/>
    <xf numFmtId="41" fontId="47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54" fillId="0" borderId="0"/>
    <xf numFmtId="0" fontId="47" fillId="0" borderId="0"/>
    <xf numFmtId="41" fontId="1" fillId="0" borderId="0" applyFont="0" applyFill="0" applyBorder="0" applyAlignment="0" applyProtection="0">
      <alignment vertical="center"/>
    </xf>
    <xf numFmtId="0" fontId="57" fillId="0" borderId="0" applyFont="0" applyFill="0" applyBorder="0" applyAlignment="0" applyProtection="0"/>
    <xf numFmtId="0" fontId="54" fillId="0" borderId="0" applyFont="0" applyFill="0" applyBorder="0" applyAlignment="0" applyProtection="0"/>
    <xf numFmtId="41" fontId="59" fillId="0" borderId="0" applyFont="0" applyFill="0" applyBorder="0" applyAlignment="0" applyProtection="0"/>
    <xf numFmtId="0" fontId="32" fillId="0" borderId="0"/>
    <xf numFmtId="43" fontId="10" fillId="0" borderId="0" applyFont="0" applyFill="0" applyBorder="0" applyAlignment="0" applyProtection="0"/>
    <xf numFmtId="38" fontId="57" fillId="0" borderId="0" applyFont="0" applyFill="0" applyBorder="0" applyAlignment="0" applyProtection="0"/>
    <xf numFmtId="41" fontId="10" fillId="0" borderId="0"/>
    <xf numFmtId="0" fontId="32" fillId="0" borderId="0"/>
    <xf numFmtId="38" fontId="57" fillId="0" borderId="0" applyFont="0" applyFill="0" applyBorder="0" applyAlignment="0" applyProtection="0"/>
    <xf numFmtId="0" fontId="60" fillId="0" borderId="0"/>
    <xf numFmtId="0" fontId="32" fillId="0" borderId="0"/>
    <xf numFmtId="0" fontId="61" fillId="0" borderId="0" applyNumberFormat="0" applyFill="0" applyBorder="0" applyAlignment="0" applyProtection="0"/>
    <xf numFmtId="9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60" fillId="0" borderId="149">
      <alignment horizontal="centerContinuous" vertical="center"/>
    </xf>
    <xf numFmtId="41" fontId="10" fillId="0" borderId="0"/>
    <xf numFmtId="3" fontId="62" fillId="0" borderId="122"/>
    <xf numFmtId="194" fontId="54" fillId="0" borderId="0">
      <alignment vertical="center"/>
    </xf>
    <xf numFmtId="4" fontId="54" fillId="0" borderId="0">
      <alignment vertical="center"/>
    </xf>
    <xf numFmtId="195" fontId="54" fillId="0" borderId="0">
      <alignment vertical="center"/>
    </xf>
    <xf numFmtId="3" fontId="62" fillId="0" borderId="122"/>
    <xf numFmtId="0" fontId="60" fillId="0" borderId="149">
      <alignment horizontal="centerContinuous" vertical="center"/>
    </xf>
    <xf numFmtId="0" fontId="60" fillId="0" borderId="149">
      <alignment horizontal="centerContinuous" vertical="center"/>
    </xf>
    <xf numFmtId="24" fontId="57" fillId="0" borderId="0" applyFont="0" applyFill="0" applyBorder="0" applyAlignment="0" applyProtection="0"/>
    <xf numFmtId="196" fontId="57" fillId="0" borderId="0" applyFont="0" applyFill="0" applyBorder="0" applyAlignment="0" applyProtection="0"/>
    <xf numFmtId="197" fontId="10" fillId="0" borderId="0" applyNumberFormat="0" applyFont="0" applyFill="0" applyBorder="0" applyAlignment="0" applyProtection="0"/>
    <xf numFmtId="197" fontId="10" fillId="0" borderId="0" applyNumberFormat="0" applyFont="0" applyFill="0" applyBorder="0" applyAlignment="0" applyProtection="0"/>
    <xf numFmtId="198" fontId="10" fillId="0" borderId="0" applyNumberFormat="0" applyFont="0" applyFill="0" applyBorder="0" applyAlignment="0" applyProtection="0"/>
    <xf numFmtId="0" fontId="63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10" fillId="0" borderId="0" applyFont="0" applyFill="0" applyBorder="0" applyAlignment="0" applyProtection="0"/>
    <xf numFmtId="0" fontId="32" fillId="0" borderId="0"/>
    <xf numFmtId="0" fontId="10" fillId="0" borderId="0"/>
    <xf numFmtId="0" fontId="65" fillId="63" borderId="0" applyFont="0" applyFill="0" applyBorder="0" applyAlignment="0" applyProtection="0">
      <alignment horizontal="center"/>
    </xf>
    <xf numFmtId="199" fontId="65" fillId="63" borderId="0" applyFont="0" applyFill="0" applyBorder="0" applyAlignment="0" applyProtection="0">
      <alignment horizontal="center"/>
    </xf>
    <xf numFmtId="0" fontId="54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200" fontId="66" fillId="0" borderId="0" applyFont="0" applyFill="0" applyBorder="0" applyAlignment="0" applyProtection="0"/>
    <xf numFmtId="0" fontId="10" fillId="0" borderId="0" applyFont="0" applyFill="0" applyBorder="0" applyAlignment="0" applyProtection="0"/>
    <xf numFmtId="201" fontId="67" fillId="0" borderId="86">
      <protection locked="0"/>
    </xf>
    <xf numFmtId="38" fontId="57" fillId="0" borderId="0" applyFont="0" applyFill="0" applyBorder="0" applyAlignment="0" applyProtection="0"/>
    <xf numFmtId="0" fontId="54" fillId="0" borderId="0"/>
    <xf numFmtId="0" fontId="10" fillId="0" borderId="0"/>
    <xf numFmtId="0" fontId="54" fillId="0" borderId="0"/>
    <xf numFmtId="0" fontId="54" fillId="0" borderId="0"/>
    <xf numFmtId="0" fontId="68" fillId="0" borderId="0"/>
    <xf numFmtId="0" fontId="68" fillId="0" borderId="0"/>
    <xf numFmtId="0" fontId="54" fillId="0" borderId="0"/>
    <xf numFmtId="0" fontId="68" fillId="0" borderId="0"/>
    <xf numFmtId="0" fontId="10" fillId="0" borderId="0"/>
    <xf numFmtId="0" fontId="5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0" fillId="0" borderId="0"/>
    <xf numFmtId="0" fontId="68" fillId="0" borderId="0"/>
    <xf numFmtId="0" fontId="32" fillId="0" borderId="0" applyFont="0" applyFill="0" applyBorder="0" applyAlignment="0" applyProtection="0"/>
    <xf numFmtId="202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54" fillId="0" borderId="0" applyFont="0" applyFill="0" applyBorder="0" applyAlignment="0" applyProtection="0"/>
    <xf numFmtId="42" fontId="10" fillId="0" borderId="0" applyFont="0" applyFill="0" applyBorder="0" applyAlignment="0" applyProtection="0"/>
    <xf numFmtId="0" fontId="54" fillId="0" borderId="0" applyFont="0" applyFill="0" applyBorder="0" applyAlignment="0" applyProtection="0"/>
    <xf numFmtId="42" fontId="59" fillId="0" borderId="0" applyFont="0" applyFill="0" applyBorder="0" applyAlignment="0" applyProtection="0"/>
    <xf numFmtId="44" fontId="59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73" fillId="0" borderId="0" applyFont="0" applyFill="0" applyBorder="0" applyAlignment="0" applyProtection="0"/>
    <xf numFmtId="10" fontId="74" fillId="0" borderId="0" applyFont="0" applyFill="0" applyBorder="0" applyAlignment="0" applyProtection="0"/>
    <xf numFmtId="200" fontId="70" fillId="0" borderId="0" applyFont="0" applyFill="0" applyBorder="0" applyAlignment="0" applyProtection="0"/>
    <xf numFmtId="0" fontId="70" fillId="0" borderId="0"/>
    <xf numFmtId="0" fontId="74" fillId="0" borderId="0"/>
    <xf numFmtId="0" fontId="62" fillId="0" borderId="0" applyFont="0" applyFill="0" applyBorder="0" applyAlignment="0" applyProtection="0"/>
    <xf numFmtId="0" fontId="10" fillId="0" borderId="0" applyFont="0" applyFill="0" applyBorder="0" applyAlignment="0" applyProtection="0"/>
    <xf numFmtId="9" fontId="75" fillId="0" borderId="0" applyBorder="0" applyAlignment="0" applyProtection="0"/>
    <xf numFmtId="0" fontId="54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1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0" fontId="32" fillId="0" borderId="0"/>
    <xf numFmtId="0" fontId="77" fillId="0" borderId="0" applyNumberFormat="0" applyFill="0" applyBorder="0" applyAlignment="0" applyProtection="0">
      <alignment vertical="top"/>
      <protection locked="0"/>
    </xf>
    <xf numFmtId="41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0" fontId="54" fillId="0" borderId="0"/>
    <xf numFmtId="0" fontId="79" fillId="0" borderId="0"/>
    <xf numFmtId="37" fontId="80" fillId="0" borderId="0"/>
    <xf numFmtId="0" fontId="79" fillId="0" borderId="0"/>
    <xf numFmtId="0" fontId="78" fillId="0" borderId="0"/>
    <xf numFmtId="0" fontId="81" fillId="0" borderId="0" applyNumberFormat="0" applyFill="0" applyBorder="0" applyAlignment="0" applyProtection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82" fillId="0" borderId="0"/>
    <xf numFmtId="0" fontId="32" fillId="0" borderId="0"/>
    <xf numFmtId="41" fontId="10" fillId="0" borderId="0"/>
    <xf numFmtId="0" fontId="81" fillId="0" borderId="0" applyFont="0" applyFill="0" applyBorder="0" applyAlignment="0" applyProtection="0"/>
    <xf numFmtId="41" fontId="10" fillId="0" borderId="0"/>
    <xf numFmtId="0" fontId="32" fillId="0" borderId="0"/>
    <xf numFmtId="0" fontId="82" fillId="0" borderId="0"/>
    <xf numFmtId="0" fontId="54" fillId="0" borderId="0"/>
    <xf numFmtId="0" fontId="32" fillId="0" borderId="0"/>
    <xf numFmtId="0" fontId="82" fillId="0" borderId="0"/>
    <xf numFmtId="0" fontId="82" fillId="0" borderId="0"/>
    <xf numFmtId="0" fontId="82" fillId="0" borderId="0"/>
    <xf numFmtId="0" fontId="10" fillId="0" borderId="0" applyFont="0" applyFill="0" applyBorder="0" applyAlignment="0" applyProtection="0"/>
    <xf numFmtId="0" fontId="81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82" fillId="0" borderId="0"/>
    <xf numFmtId="0" fontId="32" fillId="0" borderId="0"/>
    <xf numFmtId="0" fontId="82" fillId="0" borderId="0"/>
    <xf numFmtId="0" fontId="32" fillId="0" borderId="0"/>
    <xf numFmtId="0" fontId="32" fillId="0" borderId="0"/>
    <xf numFmtId="0" fontId="54" fillId="0" borderId="0"/>
    <xf numFmtId="0" fontId="54" fillId="0" borderId="0"/>
    <xf numFmtId="0" fontId="5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32" fillId="0" borderId="0"/>
    <xf numFmtId="43" fontId="32" fillId="0" borderId="0" applyFont="0" applyFill="0" applyBorder="0" applyAlignment="0" applyProtection="0"/>
    <xf numFmtId="0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0" fontId="82" fillId="0" borderId="0"/>
    <xf numFmtId="0" fontId="83" fillId="0" borderId="0" applyFont="0" applyFill="0" applyBorder="0" applyAlignment="0" applyProtection="0"/>
    <xf numFmtId="0" fontId="8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82" fillId="0" borderId="0"/>
    <xf numFmtId="0" fontId="10" fillId="0" borderId="0" applyFont="0" applyFill="0" applyBorder="0" applyAlignment="0" applyProtection="0"/>
    <xf numFmtId="0" fontId="32" fillId="0" borderId="0"/>
    <xf numFmtId="0" fontId="8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82" fillId="0" borderId="0"/>
    <xf numFmtId="43" fontId="32" fillId="0" borderId="0" applyFont="0" applyFill="0" applyBorder="0" applyAlignment="0" applyProtection="0"/>
    <xf numFmtId="0" fontId="54" fillId="0" borderId="0"/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54" fillId="0" borderId="0"/>
    <xf numFmtId="0" fontId="54" fillId="0" borderId="0"/>
    <xf numFmtId="0" fontId="32" fillId="0" borderId="0"/>
    <xf numFmtId="0" fontId="32" fillId="0" borderId="0"/>
    <xf numFmtId="0" fontId="81" fillId="0" borderId="0" applyFont="0" applyFill="0" applyBorder="0" applyAlignment="0" applyProtection="0"/>
    <xf numFmtId="0" fontId="10" fillId="0" borderId="0"/>
    <xf numFmtId="0" fontId="82" fillId="0" borderId="0"/>
    <xf numFmtId="0" fontId="81" fillId="0" borderId="0" applyFont="0" applyFill="0" applyBorder="0" applyAlignment="0" applyProtection="0"/>
    <xf numFmtId="0" fontId="32" fillId="0" borderId="0"/>
    <xf numFmtId="203" fontId="32" fillId="0" borderId="0" applyFont="0" applyFill="0" applyBorder="0" applyAlignment="0" applyProtection="0"/>
    <xf numFmtId="0" fontId="32" fillId="0" borderId="0"/>
    <xf numFmtId="204" fontId="10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203" fontId="32" fillId="0" borderId="0" applyFont="0" applyFill="0" applyBorder="0" applyAlignment="0" applyProtection="0"/>
    <xf numFmtId="0" fontId="32" fillId="0" borderId="0"/>
    <xf numFmtId="0" fontId="32" fillId="0" borderId="0"/>
    <xf numFmtId="0" fontId="81" fillId="0" borderId="0" applyFont="0" applyFill="0" applyBorder="0" applyAlignment="0" applyProtection="0"/>
    <xf numFmtId="0" fontId="32" fillId="0" borderId="0"/>
    <xf numFmtId="0" fontId="32" fillId="0" borderId="0"/>
    <xf numFmtId="0" fontId="54" fillId="0" borderId="0"/>
    <xf numFmtId="0" fontId="32" fillId="0" borderId="0"/>
    <xf numFmtId="0" fontId="54" fillId="0" borderId="0"/>
    <xf numFmtId="43" fontId="32" fillId="0" borderId="0" applyFont="0" applyFill="0" applyBorder="0" applyAlignment="0" applyProtection="0"/>
    <xf numFmtId="0" fontId="82" fillId="0" borderId="0"/>
    <xf numFmtId="0" fontId="82" fillId="0" borderId="0"/>
    <xf numFmtId="0" fontId="32" fillId="0" borderId="0"/>
    <xf numFmtId="0" fontId="54" fillId="0" borderId="0"/>
    <xf numFmtId="0" fontId="32" fillId="0" borderId="0"/>
    <xf numFmtId="0" fontId="54" fillId="0" borderId="0"/>
    <xf numFmtId="0" fontId="10" fillId="0" borderId="0" applyFont="0" applyFill="0" applyBorder="0" applyAlignment="0" applyProtection="0"/>
    <xf numFmtId="0" fontId="54" fillId="0" borderId="0"/>
    <xf numFmtId="0" fontId="32" fillId="0" borderId="0"/>
    <xf numFmtId="0" fontId="68" fillId="0" borderId="0"/>
    <xf numFmtId="0" fontId="32" fillId="0" borderId="0"/>
    <xf numFmtId="0" fontId="32" fillId="0" borderId="0"/>
    <xf numFmtId="0" fontId="82" fillId="0" borderId="0"/>
    <xf numFmtId="0" fontId="68" fillId="0" borderId="0"/>
    <xf numFmtId="0" fontId="68" fillId="0" borderId="0"/>
    <xf numFmtId="0" fontId="68" fillId="0" borderId="0"/>
    <xf numFmtId="0" fontId="32" fillId="0" borderId="0"/>
    <xf numFmtId="204" fontId="10" fillId="0" borderId="0" applyFont="0" applyFill="0" applyBorder="0" applyAlignment="0" applyProtection="0"/>
    <xf numFmtId="0" fontId="32" fillId="0" borderId="0"/>
    <xf numFmtId="42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44" fontId="83" fillId="0" borderId="0" applyFont="0" applyFill="0" applyBorder="0" applyAlignment="0" applyProtection="0"/>
    <xf numFmtId="0" fontId="8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84" fillId="0" borderId="0"/>
    <xf numFmtId="0" fontId="32" fillId="0" borderId="0"/>
    <xf numFmtId="0" fontId="82" fillId="0" borderId="0"/>
    <xf numFmtId="0" fontId="82" fillId="0" borderId="0"/>
    <xf numFmtId="0" fontId="32" fillId="0" borderId="0"/>
    <xf numFmtId="0" fontId="82" fillId="0" borderId="0"/>
    <xf numFmtId="0" fontId="8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32" fillId="0" borderId="0"/>
    <xf numFmtId="0" fontId="54" fillId="0" borderId="0" applyFont="0" applyFill="0" applyBorder="0" applyAlignment="0" applyProtection="0"/>
    <xf numFmtId="0" fontId="10" fillId="0" borderId="0"/>
    <xf numFmtId="0" fontId="3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2" fillId="0" borderId="0"/>
    <xf numFmtId="0" fontId="32" fillId="0" borderId="0"/>
    <xf numFmtId="0" fontId="32" fillId="0" borderId="0"/>
    <xf numFmtId="0" fontId="82" fillId="0" borderId="0"/>
    <xf numFmtId="0" fontId="32" fillId="0" borderId="0"/>
    <xf numFmtId="0" fontId="82" fillId="0" borderId="0"/>
    <xf numFmtId="0" fontId="32" fillId="0" borderId="0"/>
    <xf numFmtId="0" fontId="10" fillId="0" borderId="0"/>
    <xf numFmtId="0" fontId="81" fillId="0" borderId="0" applyFont="0" applyFill="0" applyBorder="0" applyAlignment="0" applyProtection="0"/>
    <xf numFmtId="0" fontId="32" fillId="63" borderId="0"/>
    <xf numFmtId="0" fontId="32" fillId="63" borderId="0"/>
    <xf numFmtId="0" fontId="32" fillId="63" borderId="0"/>
    <xf numFmtId="0" fontId="32" fillId="63" borderId="0"/>
    <xf numFmtId="0" fontId="32" fillId="63" borderId="0"/>
    <xf numFmtId="0" fontId="32" fillId="63" borderId="0"/>
    <xf numFmtId="0" fontId="85" fillId="64" borderId="0"/>
    <xf numFmtId="0" fontId="86" fillId="65" borderId="0"/>
    <xf numFmtId="0" fontId="87" fillId="66" borderId="0"/>
    <xf numFmtId="0" fontId="88" fillId="0" borderId="0"/>
    <xf numFmtId="0" fontId="55" fillId="0" borderId="0"/>
    <xf numFmtId="0" fontId="76" fillId="0" borderId="0"/>
    <xf numFmtId="0" fontId="82" fillId="0" borderId="0"/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4" fontId="32" fillId="67" borderId="0"/>
    <xf numFmtId="4" fontId="32" fillId="67" borderId="0"/>
    <xf numFmtId="4" fontId="32" fillId="67" borderId="0"/>
    <xf numFmtId="4" fontId="32" fillId="67" borderId="0"/>
    <xf numFmtId="4" fontId="32" fillId="67" borderId="0"/>
    <xf numFmtId="4" fontId="32" fillId="67" borderId="0"/>
    <xf numFmtId="3" fontId="32" fillId="67" borderId="0">
      <alignment vertical="center"/>
    </xf>
    <xf numFmtId="0" fontId="32" fillId="0" borderId="0"/>
    <xf numFmtId="0" fontId="10" fillId="0" borderId="0"/>
    <xf numFmtId="0" fontId="32" fillId="0" borderId="0"/>
    <xf numFmtId="0" fontId="32" fillId="0" borderId="0"/>
    <xf numFmtId="0" fontId="6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81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82" fillId="0" borderId="0"/>
    <xf numFmtId="0" fontId="32" fillId="0" borderId="0"/>
    <xf numFmtId="0" fontId="82" fillId="0" borderId="0"/>
    <xf numFmtId="0" fontId="32" fillId="0" borderId="0"/>
    <xf numFmtId="0" fontId="54" fillId="0" borderId="0"/>
    <xf numFmtId="0" fontId="89" fillId="68" borderId="0"/>
    <xf numFmtId="0" fontId="89" fillId="68" borderId="0"/>
    <xf numFmtId="0" fontId="89" fillId="68" borderId="0"/>
    <xf numFmtId="0" fontId="89" fillId="68" borderId="0"/>
    <xf numFmtId="0" fontId="89" fillId="68" borderId="0"/>
    <xf numFmtId="0" fontId="32" fillId="0" borderId="0"/>
    <xf numFmtId="0" fontId="10" fillId="0" borderId="0" applyFont="0" applyFill="0" applyBorder="0" applyAlignment="0" applyProtection="0"/>
    <xf numFmtId="0" fontId="32" fillId="0" borderId="0"/>
    <xf numFmtId="0" fontId="32" fillId="0" borderId="0"/>
    <xf numFmtId="0" fontId="84" fillId="0" borderId="0"/>
    <xf numFmtId="43" fontId="3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2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32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82" fillId="0" borderId="0"/>
    <xf numFmtId="0" fontId="32" fillId="0" borderId="0"/>
    <xf numFmtId="0" fontId="32" fillId="0" borderId="0"/>
    <xf numFmtId="0" fontId="82" fillId="0" borderId="0"/>
    <xf numFmtId="0" fontId="32" fillId="0" borderId="0"/>
    <xf numFmtId="0" fontId="83" fillId="0" borderId="0" applyFont="0" applyFill="0" applyBorder="0" applyAlignment="0" applyProtection="0"/>
    <xf numFmtId="0" fontId="90" fillId="0" borderId="0"/>
    <xf numFmtId="0" fontId="82" fillId="0" borderId="0"/>
    <xf numFmtId="0" fontId="82" fillId="0" borderId="0"/>
    <xf numFmtId="0" fontId="32" fillId="0" borderId="0"/>
    <xf numFmtId="42" fontId="10" fillId="0" borderId="0" applyFont="0" applyFill="0" applyBorder="0" applyAlignment="0" applyProtection="0"/>
    <xf numFmtId="0" fontId="10" fillId="0" borderId="0"/>
    <xf numFmtId="0" fontId="10" fillId="0" borderId="0"/>
    <xf numFmtId="0" fontId="32" fillId="0" borderId="0"/>
    <xf numFmtId="41" fontId="10" fillId="0" borderId="0"/>
    <xf numFmtId="204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82" fillId="0" borderId="0"/>
    <xf numFmtId="0" fontId="82" fillId="0" borderId="0"/>
    <xf numFmtId="204" fontId="54" fillId="0" borderId="0" applyFont="0" applyFill="0" applyBorder="0" applyAlignment="0" applyProtection="0"/>
    <xf numFmtId="205" fontId="10" fillId="0" borderId="0" applyFont="0" applyFill="0" applyBorder="0" applyAlignment="0" applyProtection="0"/>
    <xf numFmtId="0" fontId="32" fillId="0" borderId="0"/>
    <xf numFmtId="0" fontId="32" fillId="63" borderId="0"/>
    <xf numFmtId="0" fontId="32" fillId="63" borderId="0"/>
    <xf numFmtId="0" fontId="32" fillId="63" borderId="0"/>
    <xf numFmtId="0" fontId="32" fillId="63" borderId="0"/>
    <xf numFmtId="0" fontId="32" fillId="63" borderId="0"/>
    <xf numFmtId="0" fontId="32" fillId="63" borderId="0"/>
    <xf numFmtId="0" fontId="85" fillId="64" borderId="0"/>
    <xf numFmtId="0" fontId="86" fillId="65" borderId="0"/>
    <xf numFmtId="0" fontId="87" fillId="66" borderId="0"/>
    <xf numFmtId="0" fontId="88" fillId="0" borderId="0"/>
    <xf numFmtId="0" fontId="55" fillId="0" borderId="0"/>
    <xf numFmtId="0" fontId="76" fillId="0" borderId="0"/>
    <xf numFmtId="0" fontId="82" fillId="0" borderId="0"/>
    <xf numFmtId="0" fontId="32" fillId="0" borderId="0" applyNumberFormat="0" applyFill="0" applyBorder="0" applyAlignment="0" applyProtection="0"/>
    <xf numFmtId="0" fontId="32" fillId="0" borderId="0"/>
    <xf numFmtId="0" fontId="10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82" fillId="0" borderId="0"/>
    <xf numFmtId="0" fontId="32" fillId="0" borderId="0"/>
    <xf numFmtId="0" fontId="32" fillId="0" borderId="0"/>
    <xf numFmtId="0" fontId="32" fillId="0" borderId="0"/>
    <xf numFmtId="0" fontId="82" fillId="0" borderId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 applyFont="0" applyFill="0" applyBorder="0" applyAlignment="0" applyProtection="0"/>
    <xf numFmtId="0" fontId="32" fillId="0" borderId="0"/>
    <xf numFmtId="0" fontId="81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81" fillId="0" borderId="0"/>
    <xf numFmtId="0" fontId="32" fillId="0" borderId="0"/>
    <xf numFmtId="43" fontId="32" fillId="0" borderId="0" applyFont="0" applyFill="0" applyBorder="0" applyAlignment="0" applyProtection="0"/>
    <xf numFmtId="0" fontId="81" fillId="0" borderId="0"/>
    <xf numFmtId="0" fontId="10" fillId="0" borderId="0"/>
    <xf numFmtId="0" fontId="10" fillId="0" borderId="0"/>
    <xf numFmtId="0" fontId="32" fillId="0" borderId="0"/>
    <xf numFmtId="0" fontId="82" fillId="0" borderId="0"/>
    <xf numFmtId="0" fontId="32" fillId="0" borderId="0"/>
    <xf numFmtId="0" fontId="82" fillId="0" borderId="0"/>
    <xf numFmtId="0" fontId="82" fillId="0" borderId="0"/>
    <xf numFmtId="0" fontId="32" fillId="0" borderId="0"/>
    <xf numFmtId="0" fontId="82" fillId="0" borderId="0"/>
    <xf numFmtId="0" fontId="32" fillId="0" borderId="0"/>
    <xf numFmtId="43" fontId="32" fillId="0" borderId="0" applyFont="0" applyFill="0" applyBorder="0" applyAlignment="0" applyProtection="0"/>
    <xf numFmtId="0" fontId="82" fillId="0" borderId="0"/>
    <xf numFmtId="0" fontId="10" fillId="0" borderId="0" applyFont="0" applyFill="0" applyBorder="0" applyAlignment="0" applyProtection="0"/>
    <xf numFmtId="0" fontId="57" fillId="0" borderId="0"/>
    <xf numFmtId="0" fontId="83" fillId="0" borderId="0" applyFont="0" applyFill="0" applyBorder="0" applyAlignment="0" applyProtection="0"/>
    <xf numFmtId="0" fontId="82" fillId="0" borderId="0"/>
    <xf numFmtId="0" fontId="82" fillId="0" borderId="0"/>
    <xf numFmtId="0" fontId="32" fillId="0" borderId="0"/>
    <xf numFmtId="0" fontId="32" fillId="0" borderId="0"/>
    <xf numFmtId="0" fontId="84" fillId="0" borderId="0"/>
    <xf numFmtId="204" fontId="54" fillId="0" borderId="0" applyFont="0" applyFill="0" applyBorder="0" applyAlignment="0" applyProtection="0"/>
    <xf numFmtId="0" fontId="54" fillId="0" borderId="0"/>
    <xf numFmtId="0" fontId="32" fillId="0" borderId="0"/>
    <xf numFmtId="43" fontId="32" fillId="0" borderId="0" applyFont="0" applyFill="0" applyBorder="0" applyAlignment="0" applyProtection="0"/>
    <xf numFmtId="0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0" fillId="0" borderId="0"/>
    <xf numFmtId="0" fontId="83" fillId="0" borderId="0" applyFont="0" applyFill="0" applyBorder="0" applyAlignment="0" applyProtection="0"/>
    <xf numFmtId="0" fontId="32" fillId="0" borderId="0"/>
    <xf numFmtId="0" fontId="82" fillId="0" borderId="0"/>
    <xf numFmtId="0" fontId="10" fillId="0" borderId="0" applyFont="0" applyFill="0" applyBorder="0" applyAlignment="0" applyProtection="0"/>
    <xf numFmtId="0" fontId="32" fillId="0" borderId="0"/>
    <xf numFmtId="0" fontId="8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82" fillId="0" borderId="0"/>
    <xf numFmtId="0" fontId="32" fillId="0" borderId="0"/>
    <xf numFmtId="0" fontId="10" fillId="0" borderId="0" applyFont="0" applyFill="0" applyBorder="0" applyAlignment="0" applyProtection="0"/>
    <xf numFmtId="0" fontId="82" fillId="0" borderId="0"/>
    <xf numFmtId="0" fontId="32" fillId="0" borderId="0"/>
    <xf numFmtId="0" fontId="3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" fillId="0" borderId="0" applyFont="0" applyFill="0" applyBorder="0" applyAlignment="0" applyProtection="0"/>
    <xf numFmtId="0" fontId="82" fillId="0" borderId="0"/>
    <xf numFmtId="0" fontId="82" fillId="0" borderId="0"/>
    <xf numFmtId="0" fontId="82" fillId="0" borderId="0"/>
    <xf numFmtId="0" fontId="32" fillId="0" borderId="0"/>
    <xf numFmtId="0" fontId="32" fillId="0" borderId="0"/>
    <xf numFmtId="0" fontId="32" fillId="0" borderId="0"/>
    <xf numFmtId="0" fontId="82" fillId="0" borderId="0"/>
    <xf numFmtId="0" fontId="8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32" fillId="0" borderId="0"/>
    <xf numFmtId="0" fontId="10" fillId="0" borderId="0"/>
    <xf numFmtId="43" fontId="32" fillId="0" borderId="0" applyFont="0" applyFill="0" applyBorder="0" applyAlignment="0" applyProtection="0"/>
    <xf numFmtId="0" fontId="32" fillId="0" borderId="0"/>
    <xf numFmtId="43" fontId="32" fillId="0" borderId="0" applyFont="0" applyFill="0" applyBorder="0" applyAlignment="0" applyProtection="0"/>
    <xf numFmtId="0" fontId="82" fillId="0" borderId="0"/>
    <xf numFmtId="0" fontId="82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2" fillId="0" borderId="0"/>
    <xf numFmtId="0" fontId="54" fillId="0" borderId="0"/>
    <xf numFmtId="0" fontId="32" fillId="0" borderId="0"/>
    <xf numFmtId="41" fontId="10" fillId="0" borderId="0"/>
    <xf numFmtId="41" fontId="10" fillId="0" borderId="0"/>
    <xf numFmtId="41" fontId="10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82" fillId="0" borderId="0"/>
    <xf numFmtId="0" fontId="32" fillId="0" borderId="0"/>
    <xf numFmtId="0" fontId="81" fillId="0" borderId="0" applyFont="0" applyFill="0" applyBorder="0" applyAlignment="0" applyProtection="0"/>
    <xf numFmtId="0" fontId="32" fillId="0" borderId="0"/>
    <xf numFmtId="0" fontId="32" fillId="0" borderId="0"/>
    <xf numFmtId="0" fontId="10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10" fillId="0" borderId="0" applyFont="0" applyFill="0" applyBorder="0" applyAlignment="0" applyProtection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32" fillId="0" borderId="0"/>
    <xf numFmtId="204" fontId="54" fillId="0" borderId="0" applyFont="0" applyFill="0" applyBorder="0" applyAlignment="0" applyProtection="0"/>
    <xf numFmtId="205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54" fillId="0" borderId="0"/>
    <xf numFmtId="0" fontId="82" fillId="0" borderId="0"/>
    <xf numFmtId="0" fontId="82" fillId="0" borderId="0"/>
    <xf numFmtId="0" fontId="32" fillId="0" borderId="0"/>
    <xf numFmtId="0" fontId="90" fillId="0" borderId="0"/>
    <xf numFmtId="0" fontId="81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0" fontId="54" fillId="0" borderId="0"/>
    <xf numFmtId="0" fontId="83" fillId="0" borderId="0" applyFont="0" applyFill="0" applyBorder="0" applyAlignment="0" applyProtection="0"/>
    <xf numFmtId="0" fontId="54" fillId="0" borderId="0"/>
    <xf numFmtId="0" fontId="54" fillId="0" borderId="0"/>
    <xf numFmtId="0" fontId="32" fillId="0" borderId="0"/>
    <xf numFmtId="0" fontId="82" fillId="0" borderId="0"/>
    <xf numFmtId="0" fontId="54" fillId="0" borderId="0"/>
    <xf numFmtId="204" fontId="10" fillId="0" borderId="0" applyFont="0" applyFill="0" applyBorder="0" applyAlignment="0" applyProtection="0"/>
    <xf numFmtId="0" fontId="32" fillId="0" borderId="0"/>
    <xf numFmtId="0" fontId="82" fillId="0" borderId="0"/>
    <xf numFmtId="0" fontId="32" fillId="0" borderId="0"/>
    <xf numFmtId="0" fontId="91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82" fillId="0" borderId="0"/>
    <xf numFmtId="0" fontId="82" fillId="0" borderId="0"/>
    <xf numFmtId="43" fontId="32" fillId="0" borderId="0" applyFont="0" applyFill="0" applyBorder="0" applyAlignment="0" applyProtection="0"/>
    <xf numFmtId="0" fontId="82" fillId="0" borderId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2" fillId="0" borderId="0"/>
    <xf numFmtId="0" fontId="57" fillId="0" borderId="0"/>
    <xf numFmtId="0" fontId="8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82" fillId="0" borderId="0"/>
    <xf numFmtId="42" fontId="10" fillId="0" borderId="0" applyFont="0" applyFill="0" applyBorder="0" applyAlignment="0" applyProtection="0"/>
    <xf numFmtId="0" fontId="32" fillId="0" borderId="0"/>
    <xf numFmtId="0" fontId="32" fillId="0" borderId="0"/>
    <xf numFmtId="0" fontId="82" fillId="0" borderId="0"/>
    <xf numFmtId="0" fontId="82" fillId="0" borderId="0"/>
    <xf numFmtId="0" fontId="32" fillId="0" borderId="0"/>
    <xf numFmtId="44" fontId="83" fillId="0" borderId="0" applyFont="0" applyFill="0" applyBorder="0" applyAlignment="0" applyProtection="0"/>
    <xf numFmtId="0" fontId="32" fillId="0" borderId="0"/>
    <xf numFmtId="43" fontId="32" fillId="0" borderId="0" applyFont="0" applyFill="0" applyBorder="0" applyAlignment="0" applyProtection="0"/>
    <xf numFmtId="0" fontId="82" fillId="0" borderId="0"/>
    <xf numFmtId="0" fontId="32" fillId="0" borderId="0"/>
    <xf numFmtId="43" fontId="32" fillId="0" borderId="0" applyFont="0" applyFill="0" applyBorder="0" applyAlignment="0" applyProtection="0"/>
    <xf numFmtId="0" fontId="82" fillId="0" borderId="0"/>
    <xf numFmtId="0" fontId="32" fillId="0" borderId="0"/>
    <xf numFmtId="0" fontId="32" fillId="0" borderId="0"/>
    <xf numFmtId="0" fontId="82" fillId="0" borderId="0"/>
    <xf numFmtId="0" fontId="10" fillId="0" borderId="0" applyFont="0" applyFill="0" applyBorder="0" applyAlignment="0" applyProtection="0"/>
    <xf numFmtId="0" fontId="54" fillId="0" borderId="0"/>
    <xf numFmtId="0" fontId="82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32" fillId="0" borderId="0"/>
    <xf numFmtId="203" fontId="32" fillId="0" borderId="0" applyFont="0" applyFill="0" applyBorder="0" applyAlignment="0" applyProtection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82" fillId="0" borderId="0"/>
    <xf numFmtId="203" fontId="32" fillId="0" borderId="0" applyFont="0" applyFill="0" applyBorder="0" applyAlignment="0" applyProtection="0"/>
    <xf numFmtId="0" fontId="10" fillId="0" borderId="0"/>
    <xf numFmtId="0" fontId="10" fillId="0" borderId="0"/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54" fillId="0" borderId="0"/>
    <xf numFmtId="0" fontId="32" fillId="0" borderId="0"/>
    <xf numFmtId="0" fontId="81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0" fontId="32" fillId="0" borderId="0"/>
    <xf numFmtId="0" fontId="82" fillId="0" borderId="0"/>
    <xf numFmtId="0" fontId="81" fillId="0" borderId="0"/>
    <xf numFmtId="43" fontId="32" fillId="0" borderId="0" applyFont="0" applyFill="0" applyBorder="0" applyAlignment="0" applyProtection="0"/>
    <xf numFmtId="0" fontId="32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 applyFont="0" applyFill="0" applyBorder="0" applyAlignment="0" applyProtection="0"/>
    <xf numFmtId="0" fontId="83" fillId="0" borderId="0" applyFont="0" applyFill="0" applyBorder="0" applyAlignment="0" applyProtection="0"/>
    <xf numFmtId="0" fontId="32" fillId="0" borderId="0"/>
    <xf numFmtId="0" fontId="54" fillId="0" borderId="0"/>
    <xf numFmtId="0" fontId="83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82" fillId="0" borderId="0"/>
    <xf numFmtId="0" fontId="82" fillId="0" borderId="0"/>
    <xf numFmtId="0" fontId="81" fillId="0" borderId="0" applyFont="0" applyFill="0" applyBorder="0" applyAlignment="0" applyProtection="0"/>
    <xf numFmtId="0" fontId="32" fillId="0" borderId="0"/>
    <xf numFmtId="204" fontId="10" fillId="0" borderId="0" applyFont="0" applyFill="0" applyBorder="0" applyAlignment="0" applyProtection="0"/>
    <xf numFmtId="0" fontId="82" fillId="0" borderId="0"/>
    <xf numFmtId="0" fontId="32" fillId="0" borderId="0"/>
    <xf numFmtId="0" fontId="32" fillId="0" borderId="0"/>
    <xf numFmtId="0" fontId="82" fillId="0" borderId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0" fontId="82" fillId="0" borderId="0"/>
    <xf numFmtId="0" fontId="32" fillId="0" borderId="0"/>
    <xf numFmtId="0" fontId="32" fillId="0" borderId="0"/>
    <xf numFmtId="0" fontId="32" fillId="0" borderId="0" applyNumberFormat="0" applyFill="0" applyBorder="0" applyAlignment="0" applyProtection="0"/>
    <xf numFmtId="0" fontId="32" fillId="0" borderId="0"/>
    <xf numFmtId="0" fontId="82" fillId="0" borderId="0"/>
    <xf numFmtId="43" fontId="32" fillId="0" borderId="0" applyFont="0" applyFill="0" applyBorder="0" applyAlignment="0" applyProtection="0"/>
    <xf numFmtId="0" fontId="32" fillId="0" borderId="0"/>
    <xf numFmtId="44" fontId="83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2" fillId="0" borderId="0"/>
    <xf numFmtId="0" fontId="32" fillId="0" borderId="0"/>
    <xf numFmtId="0" fontId="32" fillId="0" borderId="0"/>
    <xf numFmtId="0" fontId="82" fillId="0" borderId="0"/>
    <xf numFmtId="0" fontId="32" fillId="0" borderId="0"/>
    <xf numFmtId="0" fontId="81" fillId="0" borderId="0" applyFont="0" applyFill="0" applyBorder="0" applyAlignment="0" applyProtection="0"/>
    <xf numFmtId="0" fontId="32" fillId="0" borderId="0"/>
    <xf numFmtId="0" fontId="81" fillId="0" borderId="0" applyFont="0" applyFill="0" applyBorder="0" applyAlignment="0" applyProtection="0"/>
    <xf numFmtId="0" fontId="10" fillId="0" borderId="0"/>
    <xf numFmtId="0" fontId="32" fillId="0" borderId="0"/>
    <xf numFmtId="0" fontId="82" fillId="0" borderId="0"/>
    <xf numFmtId="0" fontId="82" fillId="0" borderId="0"/>
    <xf numFmtId="0" fontId="32" fillId="0" borderId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2" fillId="0" borderId="0"/>
    <xf numFmtId="0" fontId="84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8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 applyNumberFormat="0" applyFill="0" applyBorder="0" applyAlignment="0" applyProtection="0"/>
    <xf numFmtId="204" fontId="54" fillId="0" borderId="0" applyFont="0" applyFill="0" applyBorder="0" applyAlignment="0" applyProtection="0"/>
    <xf numFmtId="204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0" fontId="82" fillId="0" borderId="0"/>
    <xf numFmtId="0" fontId="82" fillId="0" borderId="0"/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" fillId="0" borderId="0" applyFont="0" applyFill="0" applyBorder="0" applyAlignment="0" applyProtection="0"/>
    <xf numFmtId="0" fontId="32" fillId="0" borderId="0"/>
    <xf numFmtId="0" fontId="32" fillId="0" borderId="0"/>
    <xf numFmtId="0" fontId="10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90" fillId="0" borderId="0"/>
    <xf numFmtId="43" fontId="32" fillId="0" borderId="0" applyFont="0" applyFill="0" applyBorder="0" applyAlignment="0" applyProtection="0"/>
    <xf numFmtId="0" fontId="82" fillId="0" borderId="0"/>
    <xf numFmtId="0" fontId="82" fillId="0" borderId="0"/>
    <xf numFmtId="0" fontId="54" fillId="0" borderId="0"/>
    <xf numFmtId="0" fontId="82" fillId="0" borderId="0"/>
    <xf numFmtId="0" fontId="82" fillId="0" borderId="0"/>
    <xf numFmtId="0" fontId="82" fillId="0" borderId="0"/>
    <xf numFmtId="0" fontId="81" fillId="0" borderId="0"/>
    <xf numFmtId="0" fontId="32" fillId="0" borderId="0"/>
    <xf numFmtId="0" fontId="32" fillId="0" borderId="0"/>
    <xf numFmtId="0" fontId="54" fillId="0" borderId="0"/>
    <xf numFmtId="0" fontId="32" fillId="0" borderId="0"/>
    <xf numFmtId="0" fontId="32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82" fillId="0" borderId="0"/>
    <xf numFmtId="43" fontId="32" fillId="0" borderId="0" applyFont="0" applyFill="0" applyBorder="0" applyAlignment="0" applyProtection="0"/>
    <xf numFmtId="0" fontId="82" fillId="0" borderId="0"/>
    <xf numFmtId="0" fontId="32" fillId="0" borderId="0"/>
    <xf numFmtId="0" fontId="82" fillId="0" borderId="0"/>
    <xf numFmtId="0" fontId="32" fillId="0" borderId="0"/>
    <xf numFmtId="0" fontId="32" fillId="0" borderId="0"/>
    <xf numFmtId="4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66" fillId="0" borderId="0"/>
    <xf numFmtId="4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63" fillId="0" borderId="0"/>
    <xf numFmtId="0" fontId="63" fillId="0" borderId="0">
      <alignment vertical="center"/>
    </xf>
    <xf numFmtId="0" fontId="63" fillId="0" borderId="0">
      <alignment vertical="center"/>
    </xf>
    <xf numFmtId="0" fontId="93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201" fontId="94" fillId="0" borderId="0">
      <protection locked="0"/>
    </xf>
    <xf numFmtId="40" fontId="95" fillId="0" borderId="0" applyFont="0" applyFill="0" applyBorder="0" applyAlignment="0" applyProtection="0"/>
    <xf numFmtId="201" fontId="94" fillId="0" borderId="0">
      <protection locked="0"/>
    </xf>
    <xf numFmtId="201" fontId="94" fillId="0" borderId="0">
      <protection locked="0"/>
    </xf>
    <xf numFmtId="201" fontId="94" fillId="0" borderId="0">
      <protection locked="0"/>
    </xf>
    <xf numFmtId="0" fontId="96" fillId="0" borderId="0"/>
    <xf numFmtId="0" fontId="96" fillId="0" borderId="0"/>
    <xf numFmtId="1" fontId="60" fillId="0" borderId="178">
      <alignment horizontal="center" vertical="center"/>
    </xf>
    <xf numFmtId="9" fontId="60" fillId="0" borderId="0">
      <alignment vertical="center"/>
    </xf>
    <xf numFmtId="0" fontId="10" fillId="0" borderId="0"/>
    <xf numFmtId="0" fontId="10" fillId="0" borderId="0"/>
    <xf numFmtId="3" fontId="62" fillId="0" borderId="122"/>
    <xf numFmtId="0" fontId="60" fillId="0" borderId="0">
      <alignment vertical="center"/>
    </xf>
    <xf numFmtId="206" fontId="97" fillId="0" borderId="180">
      <alignment horizontal="center"/>
    </xf>
    <xf numFmtId="3" fontId="62" fillId="0" borderId="122"/>
    <xf numFmtId="10" fontId="60" fillId="0" borderId="0">
      <alignment vertical="center"/>
    </xf>
    <xf numFmtId="0" fontId="60" fillId="0" borderId="0">
      <alignment vertical="center"/>
    </xf>
    <xf numFmtId="207" fontId="60" fillId="0" borderId="0">
      <alignment vertical="center"/>
    </xf>
    <xf numFmtId="0" fontId="98" fillId="0" borderId="181"/>
    <xf numFmtId="0" fontId="81" fillId="69" borderId="0">
      <protection locked="0"/>
    </xf>
    <xf numFmtId="0" fontId="82" fillId="69" borderId="0">
      <protection locked="0"/>
    </xf>
    <xf numFmtId="0" fontId="82" fillId="69" borderId="0">
      <protection locked="0"/>
    </xf>
    <xf numFmtId="0" fontId="82" fillId="69" borderId="0">
      <protection locked="0"/>
    </xf>
    <xf numFmtId="0" fontId="82" fillId="69" borderId="0">
      <protection locked="0"/>
    </xf>
    <xf numFmtId="0" fontId="82" fillId="69" borderId="0">
      <protection locked="0"/>
    </xf>
    <xf numFmtId="0" fontId="82" fillId="69" borderId="0">
      <protection locked="0"/>
    </xf>
    <xf numFmtId="0" fontId="82" fillId="69" borderId="0">
      <protection locked="0"/>
    </xf>
    <xf numFmtId="0" fontId="82" fillId="69" borderId="0">
      <protection locked="0"/>
    </xf>
    <xf numFmtId="208" fontId="99" fillId="70" borderId="86"/>
    <xf numFmtId="0" fontId="100" fillId="0" borderId="0" applyFont="0"/>
    <xf numFmtId="38" fontId="54" fillId="0" borderId="182">
      <alignment vertical="center"/>
    </xf>
    <xf numFmtId="0" fontId="54" fillId="0" borderId="0"/>
    <xf numFmtId="0" fontId="32" fillId="0" borderId="0" applyNumberFormat="0" applyFill="0" applyBorder="0" applyAlignment="0" applyProtection="0"/>
    <xf numFmtId="201" fontId="94" fillId="0" borderId="0">
      <protection locked="0"/>
    </xf>
    <xf numFmtId="9" fontId="92" fillId="0" borderId="0" applyFont="0" applyFill="0" applyBorder="0" applyAlignment="0" applyProtection="0"/>
    <xf numFmtId="203" fontId="68" fillId="0" borderId="0" applyFont="0" applyFill="0" applyBorder="0" applyAlignment="0" applyProtection="0"/>
    <xf numFmtId="209" fontId="68" fillId="0" borderId="0" applyFont="0" applyFill="0" applyBorder="0" applyAlignment="0" applyProtection="0"/>
    <xf numFmtId="0" fontId="101" fillId="71" borderId="0" applyNumberFormat="0" applyBorder="0" applyAlignment="0" applyProtection="0">
      <alignment vertical="center"/>
    </xf>
    <xf numFmtId="0" fontId="101" fillId="71" borderId="0" applyNumberFormat="0" applyBorder="0" applyAlignment="0" applyProtection="0">
      <alignment vertical="center"/>
    </xf>
    <xf numFmtId="0" fontId="101" fillId="72" borderId="0" applyNumberFormat="0" applyBorder="0" applyAlignment="0" applyProtection="0">
      <alignment vertical="center"/>
    </xf>
    <xf numFmtId="0" fontId="101" fillId="72" borderId="0" applyNumberFormat="0" applyBorder="0" applyAlignment="0" applyProtection="0">
      <alignment vertical="center"/>
    </xf>
    <xf numFmtId="0" fontId="101" fillId="73" borderId="0" applyNumberFormat="0" applyBorder="0" applyAlignment="0" applyProtection="0">
      <alignment vertical="center"/>
    </xf>
    <xf numFmtId="0" fontId="101" fillId="73" borderId="0" applyNumberFormat="0" applyBorder="0" applyAlignment="0" applyProtection="0">
      <alignment vertical="center"/>
    </xf>
    <xf numFmtId="0" fontId="101" fillId="74" borderId="0" applyNumberFormat="0" applyBorder="0" applyAlignment="0" applyProtection="0">
      <alignment vertical="center"/>
    </xf>
    <xf numFmtId="0" fontId="101" fillId="74" borderId="0" applyNumberFormat="0" applyBorder="0" applyAlignment="0" applyProtection="0">
      <alignment vertical="center"/>
    </xf>
    <xf numFmtId="0" fontId="101" fillId="75" borderId="0" applyNumberFormat="0" applyBorder="0" applyAlignment="0" applyProtection="0">
      <alignment vertical="center"/>
    </xf>
    <xf numFmtId="0" fontId="101" fillId="75" borderId="0" applyNumberFormat="0" applyBorder="0" applyAlignment="0" applyProtection="0">
      <alignment vertical="center"/>
    </xf>
    <xf numFmtId="0" fontId="101" fillId="76" borderId="0" applyNumberFormat="0" applyBorder="0" applyAlignment="0" applyProtection="0">
      <alignment vertical="center"/>
    </xf>
    <xf numFmtId="0" fontId="101" fillId="7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02" fillId="71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02" fillId="71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02" fillId="72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02" fillId="72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02" fillId="73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02" fillId="73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02" fillId="74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02" fillId="74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02" fillId="75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02" fillId="75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02" fillId="76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03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03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03" fillId="60" borderId="0" applyNumberFormat="0" applyBorder="0" applyAlignment="0" applyProtection="0">
      <alignment vertical="center"/>
    </xf>
    <xf numFmtId="0" fontId="103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02" fillId="76" borderId="0" applyNumberFormat="0" applyBorder="0" applyAlignment="0" applyProtection="0">
      <alignment vertical="center"/>
    </xf>
    <xf numFmtId="0" fontId="103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03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03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03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03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54" fillId="0" borderId="0"/>
    <xf numFmtId="0" fontId="32" fillId="0" borderId="0" applyBorder="0"/>
    <xf numFmtId="0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101" fillId="77" borderId="0" applyNumberFormat="0" applyBorder="0" applyAlignment="0" applyProtection="0">
      <alignment vertical="center"/>
    </xf>
    <xf numFmtId="0" fontId="101" fillId="77" borderId="0" applyNumberFormat="0" applyBorder="0" applyAlignment="0" applyProtection="0">
      <alignment vertical="center"/>
    </xf>
    <xf numFmtId="0" fontId="101" fillId="78" borderId="0" applyNumberFormat="0" applyBorder="0" applyAlignment="0" applyProtection="0">
      <alignment vertical="center"/>
    </xf>
    <xf numFmtId="0" fontId="101" fillId="78" borderId="0" applyNumberFormat="0" applyBorder="0" applyAlignment="0" applyProtection="0">
      <alignment vertical="center"/>
    </xf>
    <xf numFmtId="0" fontId="101" fillId="79" borderId="0" applyNumberFormat="0" applyBorder="0" applyAlignment="0" applyProtection="0">
      <alignment vertical="center"/>
    </xf>
    <xf numFmtId="0" fontId="101" fillId="79" borderId="0" applyNumberFormat="0" applyBorder="0" applyAlignment="0" applyProtection="0">
      <alignment vertical="center"/>
    </xf>
    <xf numFmtId="0" fontId="101" fillId="74" borderId="0" applyNumberFormat="0" applyBorder="0" applyAlignment="0" applyProtection="0">
      <alignment vertical="center"/>
    </xf>
    <xf numFmtId="0" fontId="101" fillId="74" borderId="0" applyNumberFormat="0" applyBorder="0" applyAlignment="0" applyProtection="0">
      <alignment vertical="center"/>
    </xf>
    <xf numFmtId="0" fontId="101" fillId="77" borderId="0" applyNumberFormat="0" applyBorder="0" applyAlignment="0" applyProtection="0">
      <alignment vertical="center"/>
    </xf>
    <xf numFmtId="0" fontId="101" fillId="77" borderId="0" applyNumberFormat="0" applyBorder="0" applyAlignment="0" applyProtection="0">
      <alignment vertical="center"/>
    </xf>
    <xf numFmtId="0" fontId="101" fillId="80" borderId="0" applyNumberFormat="0" applyBorder="0" applyAlignment="0" applyProtection="0">
      <alignment vertical="center"/>
    </xf>
    <xf numFmtId="0" fontId="101" fillId="8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02" fillId="77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02" fillId="77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02" fillId="7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02" fillId="78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102" fillId="7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102" fillId="79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102" fillId="74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102" fillId="74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102" fillId="7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103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103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103" fillId="57" borderId="0" applyNumberFormat="0" applyBorder="0" applyAlignment="0" applyProtection="0">
      <alignment vertical="center"/>
    </xf>
    <xf numFmtId="0" fontId="103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102" fillId="77" borderId="0" applyNumberFormat="0" applyBorder="0" applyAlignment="0" applyProtection="0">
      <alignment vertical="center"/>
    </xf>
    <xf numFmtId="0" fontId="103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103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103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103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103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102" fillId="80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103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103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103" fillId="61" borderId="0" applyNumberFormat="0" applyBorder="0" applyAlignment="0" applyProtection="0">
      <alignment vertical="center"/>
    </xf>
    <xf numFmtId="0" fontId="103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102" fillId="80" borderId="0" applyNumberFormat="0" applyBorder="0" applyAlignment="0" applyProtection="0">
      <alignment vertical="center"/>
    </xf>
    <xf numFmtId="0" fontId="103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103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103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103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103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105" fillId="81" borderId="0" applyNumberFormat="0" applyBorder="0" applyAlignment="0" applyProtection="0">
      <alignment vertical="center"/>
    </xf>
    <xf numFmtId="0" fontId="105" fillId="78" borderId="0" applyNumberFormat="0" applyBorder="0" applyAlignment="0" applyProtection="0">
      <alignment vertical="center"/>
    </xf>
    <xf numFmtId="0" fontId="105" fillId="79" borderId="0" applyNumberFormat="0" applyBorder="0" applyAlignment="0" applyProtection="0">
      <alignment vertical="center"/>
    </xf>
    <xf numFmtId="0" fontId="105" fillId="82" borderId="0" applyNumberFormat="0" applyBorder="0" applyAlignment="0" applyProtection="0">
      <alignment vertical="center"/>
    </xf>
    <xf numFmtId="0" fontId="105" fillId="83" borderId="0" applyNumberFormat="0" applyBorder="0" applyAlignment="0" applyProtection="0">
      <alignment vertical="center"/>
    </xf>
    <xf numFmtId="0" fontId="105" fillId="84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7" fillId="81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7" fillId="81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2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7" fillId="78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7" fillId="78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7" fillId="79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7" fillId="79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7" fillId="82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7" fillId="82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4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7" fillId="83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7" fillId="83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58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7" fillId="84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7" fillId="84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0" fontId="106" fillId="62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0" fillId="0" borderId="0"/>
    <xf numFmtId="14" fontId="32" fillId="0" borderId="0" applyBorder="0"/>
    <xf numFmtId="0" fontId="63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9" fillId="0" borderId="0" applyFont="0" applyFill="0" applyBorder="0" applyAlignment="0" applyProtection="0"/>
    <xf numFmtId="42" fontId="78" fillId="0" borderId="0" applyFont="0" applyFill="0" applyBorder="0" applyAlignment="0" applyProtection="0"/>
    <xf numFmtId="44" fontId="78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14" fontId="32" fillId="0" borderId="0" applyBorder="0"/>
    <xf numFmtId="14" fontId="111" fillId="0" borderId="0"/>
    <xf numFmtId="14" fontId="32" fillId="0" borderId="0" applyBorder="0"/>
    <xf numFmtId="14" fontId="32" fillId="0" borderId="0" applyBorder="0"/>
    <xf numFmtId="14" fontId="111" fillId="0" borderId="0"/>
    <xf numFmtId="14" fontId="32" fillId="0" borderId="0" applyBorder="0"/>
    <xf numFmtId="14" fontId="32" fillId="0" borderId="0" applyBorder="0"/>
    <xf numFmtId="14" fontId="32" fillId="0" borderId="0" applyBorder="0"/>
    <xf numFmtId="14" fontId="32" fillId="0" borderId="0" applyBorder="0"/>
    <xf numFmtId="14" fontId="32" fillId="0" borderId="0" applyBorder="0"/>
    <xf numFmtId="14" fontId="32" fillId="0" borderId="0" applyBorder="0"/>
    <xf numFmtId="14" fontId="111" fillId="0" borderId="0"/>
    <xf numFmtId="203" fontId="112" fillId="0" borderId="0" applyFont="0" applyFill="0" applyBorder="0" applyAlignment="0" applyProtection="0"/>
    <xf numFmtId="210" fontId="112" fillId="0" borderId="0" applyFont="0" applyFill="0" applyBorder="0" applyAlignment="0" applyProtection="0"/>
    <xf numFmtId="41" fontId="113" fillId="0" borderId="0" applyFont="0" applyFill="0" applyBorder="0" applyAlignment="0" applyProtection="0"/>
    <xf numFmtId="43" fontId="113" fillId="0" borderId="0" applyFont="0" applyFill="0" applyBorder="0" applyAlignment="0" applyProtection="0"/>
    <xf numFmtId="203" fontId="114" fillId="0" borderId="0" applyFont="0" applyFill="0" applyBorder="0" applyAlignment="0" applyProtection="0"/>
    <xf numFmtId="41" fontId="115" fillId="0" borderId="0" applyFont="0" applyFill="0" applyBorder="0" applyAlignment="0" applyProtection="0"/>
    <xf numFmtId="210" fontId="114" fillId="0" borderId="0" applyFont="0" applyFill="0" applyBorder="0" applyAlignment="0" applyProtection="0"/>
    <xf numFmtId="43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3" fontId="60" fillId="0" borderId="0"/>
    <xf numFmtId="0" fontId="105" fillId="85" borderId="0" applyNumberFormat="0" applyBorder="0" applyAlignment="0" applyProtection="0">
      <alignment vertical="center"/>
    </xf>
    <xf numFmtId="0" fontId="105" fillId="86" borderId="0" applyNumberFormat="0" applyBorder="0" applyAlignment="0" applyProtection="0">
      <alignment vertical="center"/>
    </xf>
    <xf numFmtId="0" fontId="105" fillId="87" borderId="0" applyNumberFormat="0" applyBorder="0" applyAlignment="0" applyProtection="0">
      <alignment vertical="center"/>
    </xf>
    <xf numFmtId="0" fontId="105" fillId="82" borderId="0" applyNumberFormat="0" applyBorder="0" applyAlignment="0" applyProtection="0">
      <alignment vertical="center"/>
    </xf>
    <xf numFmtId="0" fontId="105" fillId="83" borderId="0" applyNumberFormat="0" applyBorder="0" applyAlignment="0" applyProtection="0">
      <alignment vertical="center"/>
    </xf>
    <xf numFmtId="0" fontId="105" fillId="88" borderId="0" applyNumberFormat="0" applyBorder="0" applyAlignment="0" applyProtection="0">
      <alignment vertical="center"/>
    </xf>
    <xf numFmtId="0" fontId="76" fillId="0" borderId="0" applyNumberFormat="0" applyAlignment="0"/>
    <xf numFmtId="0" fontId="10" fillId="89" borderId="183">
      <alignment horizontal="center" vertical="center"/>
    </xf>
    <xf numFmtId="211" fontId="10" fillId="90" borderId="0" applyNumberFormat="0" applyProtection="0">
      <alignment horizontal="center"/>
      <protection locked="0" hidden="1"/>
    </xf>
    <xf numFmtId="201" fontId="94" fillId="0" borderId="0">
      <protection locked="0"/>
    </xf>
    <xf numFmtId="201" fontId="94" fillId="0" borderId="0">
      <protection locked="0"/>
    </xf>
    <xf numFmtId="0" fontId="117" fillId="0" borderId="0" applyFont="0" applyFill="0" applyBorder="0" applyAlignment="0" applyProtection="0"/>
    <xf numFmtId="202" fontId="118" fillId="0" borderId="0" applyFont="0" applyFill="0" applyBorder="0" applyAlignment="0" applyProtection="0"/>
    <xf numFmtId="42" fontId="117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8" fillId="0" borderId="0" applyFont="0" applyFill="0" applyBorder="0" applyAlignment="0" applyProtection="0"/>
    <xf numFmtId="42" fontId="117" fillId="0" borderId="0" applyFont="0" applyFill="0" applyBorder="0" applyAlignment="0" applyProtection="0"/>
    <xf numFmtId="204" fontId="118" fillId="0" borderId="0" applyFont="0" applyFill="0" applyBorder="0" applyAlignment="0" applyProtection="0"/>
    <xf numFmtId="204" fontId="92" fillId="0" borderId="0" applyFont="0" applyFill="0" applyBorder="0" applyAlignment="0" applyProtection="0"/>
    <xf numFmtId="0" fontId="119" fillId="0" borderId="0" applyFont="0" applyFill="0" applyBorder="0" applyAlignment="0" applyProtection="0"/>
    <xf numFmtId="204" fontId="92" fillId="0" borderId="0" applyFont="0" applyFill="0" applyBorder="0" applyAlignment="0" applyProtection="0"/>
    <xf numFmtId="212" fontId="32" fillId="0" borderId="0" applyFont="0" applyFill="0" applyBorder="0" applyAlignment="0" applyProtection="0"/>
    <xf numFmtId="204" fontId="9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18" fillId="0" borderId="0" applyFont="0" applyFill="0" applyBorder="0" applyAlignment="0" applyProtection="0"/>
    <xf numFmtId="42" fontId="9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17" fillId="0" borderId="0" applyFont="0" applyFill="0" applyBorder="0" applyAlignment="0" applyProtection="0"/>
    <xf numFmtId="42" fontId="120" fillId="0" borderId="0" applyFont="0" applyFill="0" applyBorder="0" applyAlignment="0" applyProtection="0"/>
    <xf numFmtId="42" fontId="119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92" fillId="0" borderId="0" applyFont="0" applyFill="0" applyBorder="0" applyAlignment="0" applyProtection="0"/>
    <xf numFmtId="200" fontId="118" fillId="0" borderId="0" applyFont="0" applyFill="0" applyBorder="0" applyAlignment="0" applyProtection="0"/>
    <xf numFmtId="44" fontId="117" fillId="0" borderId="0" applyFont="0" applyFill="0" applyBorder="0" applyAlignment="0" applyProtection="0"/>
    <xf numFmtId="205" fontId="118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8" fillId="0" borderId="0" applyFont="0" applyFill="0" applyBorder="0" applyAlignment="0" applyProtection="0"/>
    <xf numFmtId="44" fontId="117" fillId="0" borderId="0" applyFont="0" applyFill="0" applyBorder="0" applyAlignment="0" applyProtection="0"/>
    <xf numFmtId="205" fontId="118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92" fillId="0" borderId="0" applyFont="0" applyFill="0" applyBorder="0" applyAlignment="0" applyProtection="0"/>
    <xf numFmtId="213" fontId="3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8" fillId="0" borderId="0" applyFont="0" applyFill="0" applyBorder="0" applyAlignment="0" applyProtection="0"/>
    <xf numFmtId="44" fontId="9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" fillId="0" borderId="0" applyFont="0" applyFill="0" applyBorder="0" applyAlignment="0" applyProtection="0"/>
    <xf numFmtId="44" fontId="120" fillId="0" borderId="0" applyFont="0" applyFill="0" applyBorder="0" applyAlignment="0" applyProtection="0"/>
    <xf numFmtId="44" fontId="119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0" fillId="0" borderId="0" applyFont="0" applyFill="0" applyBorder="0" applyAlignment="0" applyProtection="0"/>
    <xf numFmtId="42" fontId="113" fillId="0" borderId="0" applyFont="0" applyFill="0" applyBorder="0" applyAlignment="0" applyProtection="0"/>
    <xf numFmtId="44" fontId="113" fillId="0" borderId="0" applyFont="0" applyFill="0" applyBorder="0" applyAlignment="0" applyProtection="0"/>
    <xf numFmtId="42" fontId="115" fillId="0" borderId="0" applyFont="0" applyFill="0" applyBorder="0" applyAlignment="0" applyProtection="0"/>
    <xf numFmtId="44" fontId="115" fillId="0" borderId="0" applyFont="0" applyFill="0" applyBorder="0" applyAlignment="0" applyProtection="0"/>
    <xf numFmtId="204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204" fontId="112" fillId="0" borderId="0" applyFont="0" applyFill="0" applyBorder="0" applyAlignment="0" applyProtection="0"/>
    <xf numFmtId="205" fontId="112" fillId="0" borderId="0" applyFont="0" applyFill="0" applyBorder="0" applyAlignment="0" applyProtection="0"/>
    <xf numFmtId="0" fontId="57" fillId="0" borderId="0"/>
    <xf numFmtId="0" fontId="124" fillId="0" borderId="0">
      <alignment horizontal="center" wrapText="1"/>
      <protection locked="0"/>
    </xf>
    <xf numFmtId="0" fontId="32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201" fontId="94" fillId="0" borderId="0">
      <protection locked="0"/>
    </xf>
    <xf numFmtId="41" fontId="117" fillId="0" borderId="0" applyFont="0" applyFill="0" applyBorder="0" applyAlignment="0" applyProtection="0"/>
    <xf numFmtId="201" fontId="94" fillId="0" borderId="0">
      <protection locked="0"/>
    </xf>
    <xf numFmtId="0" fontId="117" fillId="0" borderId="0" applyFont="0" applyFill="0" applyBorder="0" applyAlignment="0" applyProtection="0"/>
    <xf numFmtId="203" fontId="126" fillId="0" borderId="0" applyFont="0" applyFill="0" applyBorder="0" applyAlignment="0" applyProtection="0"/>
    <xf numFmtId="41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41" fontId="117" fillId="0" borderId="0" applyFont="0" applyFill="0" applyBorder="0" applyAlignment="0" applyProtection="0"/>
    <xf numFmtId="203" fontId="118" fillId="0" borderId="0" applyFont="0" applyFill="0" applyBorder="0" applyAlignment="0" applyProtection="0"/>
    <xf numFmtId="203" fontId="92" fillId="0" borderId="0" applyFont="0" applyFill="0" applyBorder="0" applyAlignment="0" applyProtection="0"/>
    <xf numFmtId="0" fontId="119" fillId="0" borderId="0" applyFont="0" applyFill="0" applyBorder="0" applyAlignment="0" applyProtection="0"/>
    <xf numFmtId="203" fontId="92" fillId="0" borderId="0" applyFont="0" applyFill="0" applyBorder="0" applyAlignment="0" applyProtection="0"/>
    <xf numFmtId="214" fontId="32" fillId="0" borderId="0" applyFont="0" applyFill="0" applyBorder="0" applyAlignment="0" applyProtection="0"/>
    <xf numFmtId="203" fontId="9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118" fillId="0" borderId="0" applyFont="0" applyFill="0" applyBorder="0" applyAlignment="0" applyProtection="0"/>
    <xf numFmtId="41" fontId="92" fillId="0" borderId="0" applyFont="0" applyFill="0" applyBorder="0" applyAlignment="0" applyProtection="0"/>
    <xf numFmtId="41" fontId="127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92" fillId="0" borderId="0" applyFont="0" applyFill="0" applyBorder="0" applyAlignment="0" applyProtection="0"/>
    <xf numFmtId="43" fontId="118" fillId="0" borderId="0" applyFont="0" applyFill="0" applyBorder="0" applyAlignment="0" applyProtection="0"/>
    <xf numFmtId="43" fontId="117" fillId="0" borderId="0" applyFont="0" applyFill="0" applyBorder="0" applyAlignment="0" applyProtection="0"/>
    <xf numFmtId="210" fontId="118" fillId="0" borderId="0" applyFont="0" applyFill="0" applyBorder="0" applyAlignment="0" applyProtection="0"/>
    <xf numFmtId="210" fontId="92" fillId="0" borderId="0" applyFont="0" applyFill="0" applyBorder="0" applyAlignment="0" applyProtection="0"/>
    <xf numFmtId="0" fontId="118" fillId="0" borderId="0" applyFont="0" applyFill="0" applyBorder="0" applyAlignment="0" applyProtection="0"/>
    <xf numFmtId="43" fontId="117" fillId="0" borderId="0" applyFont="0" applyFill="0" applyBorder="0" applyAlignment="0" applyProtection="0"/>
    <xf numFmtId="210" fontId="118" fillId="0" borderId="0" applyFont="0" applyFill="0" applyBorder="0" applyAlignment="0" applyProtection="0"/>
    <xf numFmtId="210" fontId="92" fillId="0" borderId="0" applyFont="0" applyFill="0" applyBorder="0" applyAlignment="0" applyProtection="0"/>
    <xf numFmtId="0" fontId="119" fillId="0" borderId="0" applyFont="0" applyFill="0" applyBorder="0" applyAlignment="0" applyProtection="0"/>
    <xf numFmtId="210" fontId="92" fillId="0" borderId="0" applyFont="0" applyFill="0" applyBorder="0" applyAlignment="0" applyProtection="0"/>
    <xf numFmtId="215" fontId="32" fillId="0" borderId="0" applyFont="0" applyFill="0" applyBorder="0" applyAlignment="0" applyProtection="0"/>
    <xf numFmtId="210" fontId="92" fillId="0" borderId="0" applyFont="0" applyFill="0" applyBorder="0" applyAlignment="0" applyProtection="0"/>
    <xf numFmtId="0" fontId="118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127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28" fillId="72" borderId="0" applyNumberFormat="0" applyBorder="0" applyAlignment="0" applyProtection="0">
      <alignment vertical="center"/>
    </xf>
    <xf numFmtId="38" fontId="129" fillId="89" borderId="0" applyNumberFormat="0" applyFont="0" applyBorder="0" applyAlignment="0" applyProtection="0"/>
    <xf numFmtId="38" fontId="76" fillId="0" borderId="0" applyNumberFormat="0" applyFill="0" applyBorder="0" applyAlignment="0" applyProtection="0"/>
    <xf numFmtId="0" fontId="76" fillId="0" borderId="0" applyNumberFormat="0" applyFont="0" applyAlignment="0" applyProtection="0"/>
    <xf numFmtId="0" fontId="130" fillId="0" borderId="0"/>
    <xf numFmtId="216" fontId="131" fillId="0" borderId="0" applyFont="0" applyFill="0" applyBorder="0" applyAlignment="0" applyProtection="0">
      <alignment horizontal="right"/>
    </xf>
    <xf numFmtId="38" fontId="76" fillId="0" borderId="0"/>
    <xf numFmtId="3" fontId="132" fillId="0" borderId="0" applyNumberFormat="0" applyFill="0" applyBorder="0" applyAlignment="0" applyProtection="0">
      <alignment wrapText="1"/>
    </xf>
    <xf numFmtId="0" fontId="133" fillId="89" borderId="0" applyNumberFormat="0" applyFont="0" applyBorder="0" applyAlignment="0" applyProtection="0"/>
    <xf numFmtId="0" fontId="134" fillId="0" borderId="0" applyNumberFormat="0" applyFill="0" applyBorder="0" applyAlignment="0" applyProtection="0"/>
    <xf numFmtId="0" fontId="135" fillId="0" borderId="184"/>
    <xf numFmtId="0" fontId="32" fillId="63" borderId="0"/>
    <xf numFmtId="217" fontId="61" fillId="0" borderId="87" applyAlignment="0" applyProtection="0"/>
    <xf numFmtId="0" fontId="133" fillId="0" borderId="122" applyNumberFormat="0" applyFont="0" applyFill="0" applyAlignment="0" applyProtection="0"/>
    <xf numFmtId="0" fontId="136" fillId="91" borderId="0" applyFont="0" applyFill="0" applyBorder="0" applyAlignment="0" applyProtection="0"/>
    <xf numFmtId="0" fontId="137" fillId="0" borderId="0" applyNumberFormat="0">
      <alignment horizontal="center"/>
      <protection hidden="1"/>
    </xf>
    <xf numFmtId="218" fontId="138" fillId="0" borderId="0" applyFont="0" applyFill="0" applyBorder="0" applyAlignment="0" applyProtection="0"/>
    <xf numFmtId="0" fontId="139" fillId="0" borderId="0" applyNumberFormat="0" applyFill="0" applyBorder="0" applyProtection="0">
      <alignment horizontal="left"/>
    </xf>
    <xf numFmtId="0" fontId="140" fillId="0" borderId="0"/>
    <xf numFmtId="0" fontId="92" fillId="0" borderId="0"/>
    <xf numFmtId="0" fontId="113" fillId="0" borderId="0"/>
    <xf numFmtId="0" fontId="141" fillId="0" borderId="0"/>
    <xf numFmtId="0" fontId="142" fillId="0" borderId="0"/>
    <xf numFmtId="0" fontId="143" fillId="0" borderId="0"/>
    <xf numFmtId="0" fontId="115" fillId="0" borderId="0"/>
    <xf numFmtId="0" fontId="144" fillId="0" borderId="0"/>
    <xf numFmtId="0" fontId="145" fillId="0" borderId="0"/>
    <xf numFmtId="201" fontId="94" fillId="0" borderId="0">
      <protection locked="0"/>
    </xf>
    <xf numFmtId="0" fontId="92" fillId="0" borderId="0"/>
    <xf numFmtId="0" fontId="126" fillId="0" borderId="0"/>
    <xf numFmtId="0" fontId="146" fillId="0" borderId="0"/>
    <xf numFmtId="0" fontId="118" fillId="0" borderId="0"/>
    <xf numFmtId="0" fontId="117" fillId="0" borderId="0"/>
    <xf numFmtId="0" fontId="118" fillId="0" borderId="0"/>
    <xf numFmtId="0" fontId="147" fillId="0" borderId="0"/>
    <xf numFmtId="0" fontId="148" fillId="0" borderId="0"/>
    <xf numFmtId="0" fontId="117" fillId="0" borderId="0"/>
    <xf numFmtId="0" fontId="119" fillId="0" borderId="0"/>
    <xf numFmtId="0" fontId="147" fillId="0" borderId="0"/>
    <xf numFmtId="0" fontId="149" fillId="0" borderId="0"/>
    <xf numFmtId="0" fontId="92" fillId="0" borderId="0"/>
    <xf numFmtId="0" fontId="150" fillId="0" borderId="0"/>
    <xf numFmtId="0" fontId="151" fillId="0" borderId="0"/>
    <xf numFmtId="37" fontId="118" fillId="0" borderId="0" applyFill="0" applyBorder="0"/>
    <xf numFmtId="0" fontId="92" fillId="0" borderId="0"/>
    <xf numFmtId="0" fontId="152" fillId="0" borderId="0"/>
    <xf numFmtId="0" fontId="153" fillId="0" borderId="0"/>
    <xf numFmtId="37" fontId="118" fillId="0" borderId="0"/>
    <xf numFmtId="37" fontId="92" fillId="0" borderId="0"/>
    <xf numFmtId="0" fontId="118" fillId="0" borderId="0"/>
    <xf numFmtId="0" fontId="92" fillId="0" borderId="0"/>
    <xf numFmtId="0" fontId="32" fillId="0" borderId="0"/>
    <xf numFmtId="0" fontId="146" fillId="0" borderId="0"/>
    <xf numFmtId="0" fontId="126" fillId="0" borderId="0"/>
    <xf numFmtId="0" fontId="154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23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7" fillId="0" borderId="0"/>
    <xf numFmtId="0" fontId="118" fillId="0" borderId="0"/>
    <xf numFmtId="0" fontId="92" fillId="0" borderId="0"/>
    <xf numFmtId="0" fontId="119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18" fillId="0" borderId="0"/>
    <xf numFmtId="0" fontId="92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156" fillId="0" borderId="0"/>
    <xf numFmtId="0" fontId="155" fillId="0" borderId="0"/>
    <xf numFmtId="0" fontId="92" fillId="0" borderId="0"/>
    <xf numFmtId="0" fontId="118" fillId="0" borderId="0"/>
    <xf numFmtId="0" fontId="123" fillId="0" borderId="0"/>
    <xf numFmtId="0" fontId="32" fillId="0" borderId="0"/>
    <xf numFmtId="0" fontId="32" fillId="0" borderId="0"/>
    <xf numFmtId="0" fontId="119" fillId="0" borderId="0"/>
    <xf numFmtId="0" fontId="146" fillId="0" borderId="0"/>
    <xf numFmtId="0" fontId="126" fillId="0" borderId="0"/>
    <xf numFmtId="0" fontId="146" fillId="0" borderId="0"/>
    <xf numFmtId="0" fontId="126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46" fillId="0" borderId="0"/>
    <xf numFmtId="0" fontId="126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46" fillId="0" borderId="0"/>
    <xf numFmtId="0" fontId="126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46" fillId="0" borderId="0"/>
    <xf numFmtId="0" fontId="126" fillId="0" borderId="0"/>
    <xf numFmtId="0" fontId="146" fillId="0" borderId="0"/>
    <xf numFmtId="0" fontId="126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23" fillId="0" borderId="0"/>
    <xf numFmtId="219" fontId="25" fillId="0" borderId="0" applyFill="0" applyBorder="0" applyAlignment="0"/>
    <xf numFmtId="0" fontId="10" fillId="0" borderId="0" applyFill="0" applyBorder="0" applyAlignment="0"/>
    <xf numFmtId="0" fontId="32" fillId="0" borderId="0" applyFill="0" applyBorder="0" applyAlignment="0"/>
    <xf numFmtId="0" fontId="10" fillId="0" borderId="0" applyFill="0" applyBorder="0" applyAlignment="0"/>
    <xf numFmtId="220" fontId="25" fillId="0" borderId="0" applyFill="0" applyBorder="0" applyAlignment="0"/>
    <xf numFmtId="0" fontId="32" fillId="0" borderId="0" applyFill="0" applyBorder="0" applyAlignment="0"/>
    <xf numFmtId="221" fontId="25" fillId="0" borderId="0" applyFill="0" applyBorder="0" applyAlignment="0"/>
    <xf numFmtId="0" fontId="32" fillId="0" borderId="0" applyFill="0" applyBorder="0" applyAlignment="0"/>
    <xf numFmtId="222" fontId="25" fillId="0" borderId="0" applyFill="0" applyBorder="0" applyAlignment="0"/>
    <xf numFmtId="223" fontId="25" fillId="0" borderId="0" applyFill="0" applyBorder="0" applyAlignment="0"/>
    <xf numFmtId="0" fontId="32" fillId="0" borderId="0" applyFill="0" applyBorder="0" applyAlignment="0"/>
    <xf numFmtId="219" fontId="25" fillId="0" borderId="0" applyFill="0" applyBorder="0" applyAlignment="0"/>
    <xf numFmtId="0" fontId="32" fillId="0" borderId="0" applyFill="0" applyBorder="0" applyAlignment="0"/>
    <xf numFmtId="224" fontId="25" fillId="0" borderId="0" applyFill="0" applyBorder="0" applyAlignment="0"/>
    <xf numFmtId="0" fontId="32" fillId="0" borderId="0" applyFill="0" applyBorder="0" applyAlignment="0"/>
    <xf numFmtId="220" fontId="25" fillId="0" borderId="0" applyFill="0" applyBorder="0" applyAlignment="0"/>
    <xf numFmtId="0" fontId="160" fillId="70" borderId="185" applyNumberFormat="0" applyAlignment="0" applyProtection="0">
      <alignment vertical="center"/>
    </xf>
    <xf numFmtId="0" fontId="160" fillId="70" borderId="185" applyNumberFormat="0" applyAlignment="0" applyProtection="0">
      <alignment vertical="center"/>
    </xf>
    <xf numFmtId="225" fontId="161" fillId="92" borderId="0" applyNumberFormat="0" applyFont="0" applyBorder="0" applyAlignment="0">
      <alignment horizontal="left"/>
    </xf>
    <xf numFmtId="0" fontId="162" fillId="66" borderId="0" applyNumberFormat="0" applyBorder="0" applyAlignment="0" applyProtection="0"/>
    <xf numFmtId="0" fontId="162" fillId="93" borderId="0"/>
    <xf numFmtId="0" fontId="163" fillId="0" borderId="0" applyNumberFormat="0" applyBorder="0" applyAlignment="0" applyProtection="0"/>
    <xf numFmtId="0" fontId="164" fillId="0" borderId="0"/>
    <xf numFmtId="0" fontId="165" fillId="13" borderId="186" applyNumberFormat="0" applyAlignment="0" applyProtection="0">
      <alignment vertical="center"/>
    </xf>
    <xf numFmtId="0" fontId="81" fillId="0" borderId="0">
      <alignment vertical="center"/>
    </xf>
    <xf numFmtId="0" fontId="166" fillId="0" borderId="0" applyNumberFormat="0" applyFill="0" applyBorder="0" applyAlignment="0" applyProtection="0">
      <alignment vertical="top"/>
      <protection locked="0"/>
    </xf>
    <xf numFmtId="9" fontId="114" fillId="0" borderId="0" applyFont="0" applyFill="0" applyBorder="0" applyAlignment="0" applyProtection="0"/>
    <xf numFmtId="0" fontId="167" fillId="67" borderId="187">
      <alignment horizontal="center" wrapText="1"/>
    </xf>
    <xf numFmtId="0" fontId="168" fillId="63" borderId="0" applyNumberFormat="0">
      <alignment horizontal="center"/>
    </xf>
    <xf numFmtId="203" fontId="68" fillId="0" borderId="0" applyFont="0" applyFill="0" applyBorder="0" applyAlignment="0" applyProtection="0"/>
    <xf numFmtId="0" fontId="169" fillId="0" borderId="0" applyNumberFormat="0" applyFill="0" applyBorder="0" applyProtection="0">
      <alignment horizontal="right"/>
    </xf>
    <xf numFmtId="4" fontId="67" fillId="0" borderId="0">
      <protection locked="0"/>
    </xf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226" fontId="170" fillId="0" borderId="0"/>
    <xf numFmtId="0" fontId="82" fillId="0" borderId="188"/>
    <xf numFmtId="226" fontId="170" fillId="0" borderId="0"/>
    <xf numFmtId="227" fontId="54" fillId="0" borderId="0"/>
    <xf numFmtId="226" fontId="170" fillId="0" borderId="0"/>
    <xf numFmtId="227" fontId="54" fillId="0" borderId="0"/>
    <xf numFmtId="226" fontId="170" fillId="0" borderId="0"/>
    <xf numFmtId="227" fontId="54" fillId="0" borderId="0"/>
    <xf numFmtId="226" fontId="170" fillId="0" borderId="0"/>
    <xf numFmtId="227" fontId="54" fillId="0" borderId="0"/>
    <xf numFmtId="226" fontId="170" fillId="0" borderId="0"/>
    <xf numFmtId="227" fontId="54" fillId="0" borderId="0"/>
    <xf numFmtId="226" fontId="170" fillId="0" borderId="0"/>
    <xf numFmtId="227" fontId="54" fillId="0" borderId="0"/>
    <xf numFmtId="226" fontId="170" fillId="0" borderId="0"/>
    <xf numFmtId="227" fontId="5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3" fontId="57" fillId="0" borderId="0" applyFont="0" applyFill="0" applyBorder="0" applyAlignment="0" applyProtection="0"/>
    <xf numFmtId="0" fontId="52" fillId="0" borderId="0" applyFont="0" applyFill="0" applyBorder="0" applyAlignment="0" applyProtection="0"/>
    <xf numFmtId="203" fontId="32" fillId="0" borderId="0" applyFont="0" applyFill="0" applyBorder="0" applyAlignment="0" applyProtection="0"/>
    <xf numFmtId="228" fontId="171" fillId="0" borderId="0" applyFont="0" applyFill="0" applyBorder="0" applyAlignment="0" applyProtection="0"/>
    <xf numFmtId="219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29" fontId="138" fillId="0" borderId="0" applyFont="0" applyFill="0" applyBorder="0" applyAlignment="0" applyProtection="0">
      <alignment horizontal="right"/>
    </xf>
    <xf numFmtId="230" fontId="138" fillId="0" borderId="0" applyFont="0" applyFill="0" applyBorder="0" applyAlignment="0" applyProtection="0">
      <alignment horizontal="right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231" fontId="84" fillId="0" borderId="0"/>
    <xf numFmtId="232" fontId="54" fillId="0" borderId="0"/>
    <xf numFmtId="210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0" fontId="172" fillId="0" borderId="0"/>
    <xf numFmtId="0" fontId="172" fillId="0" borderId="0"/>
    <xf numFmtId="0" fontId="172" fillId="0" borderId="0"/>
    <xf numFmtId="0" fontId="172" fillId="0" borderId="0"/>
    <xf numFmtId="0" fontId="172" fillId="0" borderId="0"/>
    <xf numFmtId="0" fontId="172" fillId="0" borderId="0"/>
    <xf numFmtId="0" fontId="82" fillId="0" borderId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0" fontId="173" fillId="0" borderId="0" applyNumberFormat="0" applyFill="0" applyBorder="0" applyAlignment="0" applyProtection="0"/>
    <xf numFmtId="0" fontId="172" fillId="0" borderId="0"/>
    <xf numFmtId="0" fontId="172" fillId="0" borderId="0"/>
    <xf numFmtId="0" fontId="172" fillId="0" borderId="0"/>
    <xf numFmtId="0" fontId="172" fillId="0" borderId="0"/>
    <xf numFmtId="0" fontId="172" fillId="0" borderId="0"/>
    <xf numFmtId="0" fontId="172" fillId="0" borderId="0"/>
    <xf numFmtId="0" fontId="82" fillId="0" borderId="0"/>
    <xf numFmtId="0" fontId="174" fillId="0" borderId="122" applyProtection="0">
      <alignment horizontal="center" vertical="top" wrapText="1"/>
      <protection hidden="1"/>
    </xf>
    <xf numFmtId="210" fontId="32" fillId="0" borderId="0" applyFont="0" applyFill="0" applyBorder="0" applyAlignment="0" applyProtection="0"/>
    <xf numFmtId="0" fontId="175" fillId="0" borderId="0" applyNumberFormat="0" applyAlignment="0">
      <alignment horizontal="left"/>
    </xf>
    <xf numFmtId="0" fontId="80" fillId="0" borderId="0" applyNumberFormat="0" applyAlignment="0"/>
    <xf numFmtId="233" fontId="54" fillId="0" borderId="0" applyFont="0" applyFill="0" applyBorder="0" applyAlignment="0" applyProtection="0"/>
    <xf numFmtId="0" fontId="82" fillId="0" borderId="188"/>
    <xf numFmtId="0" fontId="81" fillId="0" borderId="0" applyFont="0" applyFill="0" applyBorder="0" applyAlignment="0" applyProtection="0"/>
    <xf numFmtId="234" fontId="54" fillId="0" borderId="0" applyFont="0" applyFill="0" applyBorder="0" applyAlignment="0" applyProtection="0"/>
    <xf numFmtId="0" fontId="68" fillId="0" borderId="0" applyFont="0" applyFill="0" applyBorder="0" applyAlignment="0" applyProtection="0"/>
    <xf numFmtId="235" fontId="67" fillId="0" borderId="0">
      <protection locked="0"/>
    </xf>
    <xf numFmtId="0" fontId="76" fillId="0" borderId="189" applyFont="0" applyFill="0" applyBorder="0" applyAlignment="0" applyProtection="0"/>
    <xf numFmtId="236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22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76" fillId="0" borderId="0" applyFont="0" applyFill="0" applyBorder="0" applyAlignment="0"/>
    <xf numFmtId="0" fontId="32" fillId="0" borderId="0" applyFont="0" applyFill="0" applyBorder="0" applyAlignment="0"/>
    <xf numFmtId="237" fontId="138" fillId="0" borderId="0" applyFont="0" applyFill="0" applyBorder="0" applyAlignment="0" applyProtection="0">
      <alignment horizontal="right"/>
    </xf>
    <xf numFmtId="238" fontId="138" fillId="0" borderId="0" applyFont="0" applyFill="0" applyBorder="0" applyAlignment="0" applyProtection="0">
      <alignment horizontal="right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239" fontId="54" fillId="0" borderId="122" applyFill="0" applyBorder="0" applyAlignment="0"/>
    <xf numFmtId="200" fontId="32" fillId="0" borderId="0" applyFont="0" applyFill="0" applyBorder="0" applyAlignment="0" applyProtection="0"/>
    <xf numFmtId="240" fontId="76" fillId="0" borderId="189" applyFont="0" applyFill="0" applyBorder="0" applyAlignment="0" applyProtection="0"/>
    <xf numFmtId="241" fontId="176" fillId="0" borderId="0" applyFont="0" applyFill="0" applyBorder="0" applyAlignment="0" applyProtection="0"/>
    <xf numFmtId="0" fontId="10" fillId="0" borderId="0" applyFont="0" applyFill="0" applyBorder="0" applyAlignment="0" applyProtection="0"/>
    <xf numFmtId="242" fontId="32" fillId="0" borderId="0" applyFont="0" applyFill="0" applyBorder="0" applyAlignment="0" applyProtection="0"/>
    <xf numFmtId="232" fontId="10" fillId="0" borderId="0" applyFont="0" applyFill="0" applyBorder="0" applyAlignment="0" applyProtection="0"/>
    <xf numFmtId="243" fontId="10" fillId="0" borderId="0"/>
    <xf numFmtId="244" fontId="54" fillId="0" borderId="0"/>
    <xf numFmtId="0" fontId="84" fillId="0" borderId="0"/>
    <xf numFmtId="0" fontId="1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22" fillId="0" borderId="0"/>
    <xf numFmtId="0" fontId="177" fillId="0" borderId="190">
      <alignment horizontal="center" vertical="center"/>
    </xf>
    <xf numFmtId="200" fontId="32" fillId="0" borderId="0" applyBorder="0">
      <alignment horizontal="right"/>
    </xf>
    <xf numFmtId="200" fontId="32" fillId="0" borderId="0" applyBorder="0">
      <alignment horizontal="right"/>
    </xf>
    <xf numFmtId="39" fontId="111" fillId="0" borderId="0">
      <alignment horizontal="right"/>
    </xf>
    <xf numFmtId="200" fontId="32" fillId="0" borderId="0" applyBorder="0">
      <alignment horizontal="right"/>
    </xf>
    <xf numFmtId="200" fontId="32" fillId="0" borderId="0" applyBorder="0">
      <alignment horizontal="right"/>
    </xf>
    <xf numFmtId="39" fontId="111" fillId="0" borderId="0">
      <alignment horizontal="right"/>
    </xf>
    <xf numFmtId="200" fontId="32" fillId="0" borderId="0" applyBorder="0">
      <alignment horizontal="right"/>
    </xf>
    <xf numFmtId="200" fontId="32" fillId="0" borderId="0" applyBorder="0">
      <alignment horizontal="right"/>
    </xf>
    <xf numFmtId="200" fontId="32" fillId="0" borderId="0" applyBorder="0">
      <alignment horizontal="right"/>
    </xf>
    <xf numFmtId="200" fontId="32" fillId="0" borderId="0" applyBorder="0">
      <alignment horizontal="right"/>
    </xf>
    <xf numFmtId="200" fontId="32" fillId="0" borderId="0" applyBorder="0">
      <alignment horizontal="right"/>
    </xf>
    <xf numFmtId="200" fontId="32" fillId="0" borderId="0" applyBorder="0">
      <alignment horizontal="right"/>
    </xf>
    <xf numFmtId="0" fontId="177" fillId="0" borderId="190">
      <alignment horizontal="center" vertical="center"/>
    </xf>
    <xf numFmtId="39" fontId="111" fillId="0" borderId="0">
      <alignment horizontal="right"/>
    </xf>
    <xf numFmtId="15" fontId="84" fillId="0" borderId="0" applyFont="0" applyFill="0" applyBorder="0" applyAlignment="0" applyProtection="0"/>
    <xf numFmtId="15" fontId="178" fillId="0" borderId="0" applyFill="0" applyBorder="0" applyAlignment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78" fillId="67" borderId="0" applyFont="0" applyFill="0" applyBorder="0" applyAlignment="0" applyProtection="0"/>
    <xf numFmtId="0" fontId="133" fillId="67" borderId="178" applyFont="0" applyFill="0" applyBorder="0" applyAlignment="0" applyProtection="0"/>
    <xf numFmtId="0" fontId="76" fillId="67" borderId="0" applyFont="0" applyFill="0" applyBorder="0" applyAlignment="0" applyProtection="0"/>
    <xf numFmtId="0" fontId="76" fillId="67" borderId="0" applyFont="0" applyFill="0" applyBorder="0" applyAlignment="0" applyProtection="0"/>
    <xf numFmtId="17" fontId="178" fillId="0" borderId="0" applyFill="0" applyBorder="0">
      <alignment horizontal="right"/>
    </xf>
    <xf numFmtId="0" fontId="178" fillId="0" borderId="86"/>
    <xf numFmtId="0" fontId="125" fillId="0" borderId="0" applyProtection="0"/>
    <xf numFmtId="0" fontId="125" fillId="0" borderId="0" applyProtection="0"/>
    <xf numFmtId="245" fontId="54" fillId="0" borderId="0">
      <protection locked="0"/>
    </xf>
    <xf numFmtId="0" fontId="138" fillId="0" borderId="0" applyFont="0" applyFill="0" applyBorder="0" applyAlignment="0" applyProtection="0"/>
    <xf numFmtId="246" fontId="138" fillId="0" borderId="0" applyFont="0" applyFill="0" applyBorder="0" applyAlignment="0" applyProtection="0"/>
    <xf numFmtId="14" fontId="25" fillId="0" borderId="0" applyFill="0" applyBorder="0" applyAlignment="0"/>
    <xf numFmtId="247" fontId="54" fillId="0" borderId="0">
      <protection locked="0"/>
    </xf>
    <xf numFmtId="0" fontId="76" fillId="0" borderId="0" applyFill="0" applyBorder="0">
      <alignment horizontal="right"/>
    </xf>
    <xf numFmtId="0" fontId="32" fillId="0" borderId="76">
      <alignment horizontal="center"/>
    </xf>
    <xf numFmtId="248" fontId="56" fillId="0" borderId="0" applyFill="0" applyProtection="0">
      <alignment vertical="center"/>
    </xf>
    <xf numFmtId="249" fontId="66" fillId="0" borderId="0" applyFill="0" applyBorder="0" applyProtection="0">
      <alignment horizontal="center" vertical="center" wrapText="1"/>
      <protection locked="0"/>
    </xf>
    <xf numFmtId="249" fontId="66" fillId="0" borderId="0" applyFill="0" applyBorder="0" applyProtection="0">
      <alignment horizontal="center" vertical="center" wrapText="1"/>
      <protection locked="0"/>
    </xf>
    <xf numFmtId="249" fontId="66" fillId="0" borderId="0" applyFill="0" applyBorder="0" applyProtection="0">
      <alignment horizontal="center" vertical="center" wrapText="1"/>
      <protection locked="0"/>
    </xf>
    <xf numFmtId="249" fontId="66" fillId="0" borderId="0" applyFill="0" applyBorder="0" applyProtection="0">
      <alignment horizontal="center" vertical="center" wrapText="1"/>
      <protection locked="0"/>
    </xf>
    <xf numFmtId="249" fontId="66" fillId="0" borderId="0" applyFill="0" applyBorder="0" applyProtection="0">
      <alignment horizontal="center" vertical="center" wrapText="1"/>
      <protection locked="0"/>
    </xf>
    <xf numFmtId="38" fontId="76" fillId="0" borderId="122" applyFont="0" applyFill="0" applyBorder="0" applyAlignment="0" applyProtection="0"/>
    <xf numFmtId="0" fontId="76" fillId="0" borderId="0" applyFont="0" applyFill="0" applyBorder="0" applyAlignment="0" applyProtection="0"/>
    <xf numFmtId="40" fontId="76" fillId="0" borderId="122" applyFont="0" applyFill="0" applyBorder="0" applyAlignment="0" applyProtection="0"/>
    <xf numFmtId="0" fontId="133" fillId="0" borderId="0" applyFont="0" applyFill="0" applyBorder="0" applyAlignment="0" applyProtection="0"/>
    <xf numFmtId="250" fontId="32" fillId="0" borderId="191">
      <alignment vertical="center"/>
    </xf>
    <xf numFmtId="38" fontId="57" fillId="0" borderId="0" applyFont="0" applyFill="0" applyBorder="0" applyAlignment="0" applyProtection="0"/>
    <xf numFmtId="40" fontId="57" fillId="0" borderId="0" applyFont="0" applyFill="0" applyBorder="0" applyAlignment="0" applyProtection="0"/>
    <xf numFmtId="0" fontId="67" fillId="0" borderId="0">
      <protection locked="0"/>
    </xf>
    <xf numFmtId="251" fontId="10" fillId="0" borderId="0"/>
    <xf numFmtId="252" fontId="54" fillId="0" borderId="0"/>
    <xf numFmtId="0" fontId="76" fillId="0" borderId="0"/>
    <xf numFmtId="0" fontId="138" fillId="0" borderId="192" applyNumberFormat="0" applyFont="0" applyFill="0" applyAlignment="0" applyProtection="0"/>
    <xf numFmtId="253" fontId="138" fillId="0" borderId="192" applyNumberFormat="0" applyFont="0" applyFill="0" applyAlignment="0" applyProtection="0"/>
    <xf numFmtId="0" fontId="179" fillId="0" borderId="0" applyFill="0" applyBorder="0" applyAlignment="0" applyProtection="0"/>
    <xf numFmtId="202" fontId="179" fillId="0" borderId="0" applyFill="0" applyBorder="0" applyAlignment="0" applyProtection="0"/>
    <xf numFmtId="0" fontId="180" fillId="0" borderId="0"/>
    <xf numFmtId="0" fontId="181" fillId="0" borderId="193" applyFill="0" applyBorder="0" applyAlignment="0"/>
    <xf numFmtId="37" fontId="32" fillId="0" borderId="0"/>
    <xf numFmtId="0" fontId="133" fillId="67" borderId="0" applyNumberFormat="0" applyFont="0" applyBorder="0" applyAlignment="0" applyProtection="0"/>
    <xf numFmtId="0" fontId="182" fillId="0" borderId="0">
      <protection locked="0"/>
    </xf>
    <xf numFmtId="0" fontId="182" fillId="0" borderId="0">
      <protection locked="0"/>
    </xf>
    <xf numFmtId="219" fontId="132" fillId="0" borderId="0" applyFill="0" applyBorder="0" applyAlignment="0"/>
    <xf numFmtId="0" fontId="32" fillId="0" borderId="0" applyFill="0" applyBorder="0" applyAlignment="0"/>
    <xf numFmtId="220" fontId="132" fillId="0" borderId="0" applyFill="0" applyBorder="0" applyAlignment="0"/>
    <xf numFmtId="0" fontId="32" fillId="0" borderId="0" applyFill="0" applyBorder="0" applyAlignment="0"/>
    <xf numFmtId="219" fontId="132" fillId="0" borderId="0" applyFill="0" applyBorder="0" applyAlignment="0"/>
    <xf numFmtId="0" fontId="32" fillId="0" borderId="0" applyFill="0" applyBorder="0" applyAlignment="0"/>
    <xf numFmtId="224" fontId="132" fillId="0" borderId="0" applyFill="0" applyBorder="0" applyAlignment="0"/>
    <xf numFmtId="0" fontId="32" fillId="0" borderId="0" applyFill="0" applyBorder="0" applyAlignment="0"/>
    <xf numFmtId="220" fontId="132" fillId="0" borderId="0" applyFill="0" applyBorder="0" applyAlignment="0"/>
    <xf numFmtId="0" fontId="32" fillId="0" borderId="0" applyFill="0" applyBorder="0" applyAlignment="0"/>
    <xf numFmtId="0" fontId="183" fillId="0" borderId="0" applyNumberFormat="0" applyAlignment="0">
      <alignment horizontal="left"/>
    </xf>
    <xf numFmtId="0" fontId="184" fillId="0" borderId="0">
      <alignment horizontal="left"/>
    </xf>
    <xf numFmtId="254" fontId="10" fillId="0" borderId="0" applyFont="0" applyFill="0" applyBorder="0" applyAlignment="0" applyProtection="0"/>
    <xf numFmtId="255" fontId="32" fillId="0" borderId="0" applyFont="0" applyFill="0" applyBorder="0" applyAlignment="0" applyProtection="0"/>
    <xf numFmtId="0" fontId="32" fillId="0" borderId="194" applyNumberFormat="0" applyFont="0" applyFill="0" applyAlignment="0" applyProtection="0"/>
    <xf numFmtId="0" fontId="185" fillId="0" borderId="0" applyNumberFormat="0" applyFill="0" applyBorder="0" applyAlignment="0" applyProtection="0">
      <alignment vertical="center"/>
    </xf>
    <xf numFmtId="256" fontId="32" fillId="0" borderId="0" applyBorder="0"/>
    <xf numFmtId="0" fontId="67" fillId="0" borderId="0">
      <protection locked="0"/>
    </xf>
    <xf numFmtId="257" fontId="67" fillId="0" borderId="0">
      <protection locked="0"/>
    </xf>
    <xf numFmtId="0" fontId="67" fillId="0" borderId="0">
      <protection locked="0"/>
    </xf>
    <xf numFmtId="257" fontId="67" fillId="0" borderId="0">
      <protection locked="0"/>
    </xf>
    <xf numFmtId="0" fontId="186" fillId="0" borderId="0">
      <protection locked="0"/>
    </xf>
    <xf numFmtId="257" fontId="186" fillId="0" borderId="0">
      <protection locked="0"/>
    </xf>
    <xf numFmtId="0" fontId="67" fillId="0" borderId="0">
      <protection locked="0"/>
    </xf>
    <xf numFmtId="257" fontId="67" fillId="0" borderId="0">
      <protection locked="0"/>
    </xf>
    <xf numFmtId="0" fontId="67" fillId="0" borderId="0">
      <protection locked="0"/>
    </xf>
    <xf numFmtId="257" fontId="67" fillId="0" borderId="0">
      <protection locked="0"/>
    </xf>
    <xf numFmtId="0" fontId="67" fillId="0" borderId="0">
      <protection locked="0"/>
    </xf>
    <xf numFmtId="257" fontId="67" fillId="0" borderId="0">
      <protection locked="0"/>
    </xf>
    <xf numFmtId="0" fontId="186" fillId="0" borderId="0">
      <protection locked="0"/>
    </xf>
    <xf numFmtId="257" fontId="186" fillId="0" borderId="0">
      <protection locked="0"/>
    </xf>
    <xf numFmtId="0" fontId="67" fillId="0" borderId="0">
      <protection locked="0"/>
    </xf>
    <xf numFmtId="0" fontId="67" fillId="0" borderId="0">
      <protection locked="0"/>
    </xf>
    <xf numFmtId="258" fontId="67" fillId="0" borderId="0">
      <protection locked="0"/>
    </xf>
    <xf numFmtId="0" fontId="32" fillId="67" borderId="0" applyFont="0" applyFill="0" applyBorder="0" applyAlignment="0"/>
    <xf numFmtId="2" fontId="125" fillId="0" borderId="0" applyProtection="0"/>
    <xf numFmtId="2" fontId="125" fillId="0" borderId="0" applyProtection="0"/>
    <xf numFmtId="245" fontId="54" fillId="0" borderId="0">
      <protection locked="0"/>
    </xf>
    <xf numFmtId="2" fontId="32" fillId="0" borderId="0" applyFon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>
      <alignment vertical="top"/>
      <protection locked="0"/>
    </xf>
    <xf numFmtId="0" fontId="189" fillId="0" borderId="0" applyNumberFormat="0" applyFill="0" applyBorder="0" applyAlignment="0" applyProtection="0"/>
    <xf numFmtId="0" fontId="190" fillId="0" borderId="0" applyFill="0" applyBorder="0" applyProtection="0">
      <alignment horizontal="left"/>
    </xf>
    <xf numFmtId="2" fontId="191" fillId="0" borderId="0">
      <alignment horizontal="left"/>
    </xf>
    <xf numFmtId="38" fontId="76" fillId="0" borderId="195" applyNumberFormat="0" applyFont="0" applyFill="0" applyAlignment="0" applyProtection="0">
      <alignment horizontal="right"/>
    </xf>
    <xf numFmtId="38" fontId="76" fillId="0" borderId="195" applyNumberFormat="0" applyFont="0" applyFill="0" applyAlignment="0" applyProtection="0">
      <alignment horizontal="right"/>
    </xf>
    <xf numFmtId="38" fontId="76" fillId="0" borderId="195" applyNumberFormat="0" applyFont="0" applyFill="0" applyAlignment="0" applyProtection="0">
      <alignment horizontal="right"/>
    </xf>
    <xf numFmtId="0" fontId="76" fillId="67" borderId="122" applyNumberFormat="0" applyFont="0" applyAlignment="0" applyProtection="0">
      <alignment horizontal="center"/>
    </xf>
    <xf numFmtId="0" fontId="192" fillId="0" borderId="0" applyFont="0" applyFill="0" applyBorder="0" applyAlignment="0" applyProtection="0">
      <alignment horizontal="right"/>
    </xf>
    <xf numFmtId="259" fontId="193" fillId="0" borderId="196" applyNumberFormat="0" applyAlignment="0"/>
    <xf numFmtId="0" fontId="194" fillId="73" borderId="0" applyNumberFormat="0" applyBorder="0" applyAlignment="0" applyProtection="0">
      <alignment vertical="center"/>
    </xf>
    <xf numFmtId="0" fontId="131" fillId="0" borderId="0">
      <alignment horizontal="left" indent="2"/>
    </xf>
    <xf numFmtId="38" fontId="76" fillId="63" borderId="0" applyNumberFormat="0" applyBorder="0" applyAlignment="0" applyProtection="0"/>
    <xf numFmtId="38" fontId="76" fillId="94" borderId="0" applyNumberFormat="0" applyBorder="0" applyAlignment="0" applyProtection="0"/>
    <xf numFmtId="38" fontId="195" fillId="63" borderId="87" applyNumberFormat="0" applyBorder="0" applyAlignment="0" applyProtection="0">
      <protection hidden="1"/>
    </xf>
    <xf numFmtId="38" fontId="196" fillId="63" borderId="0" applyNumberFormat="0" applyBorder="0" applyAlignment="0" applyProtection="0"/>
    <xf numFmtId="0" fontId="32" fillId="0" borderId="0" applyFill="0" applyBorder="0" applyAlignment="0" applyProtection="0"/>
    <xf numFmtId="260" fontId="138" fillId="0" borderId="0" applyFont="0" applyFill="0" applyBorder="0" applyAlignment="0" applyProtection="0">
      <alignment horizontal="right"/>
    </xf>
    <xf numFmtId="0" fontId="197" fillId="0" borderId="0" applyNumberFormat="0" applyFill="0" applyBorder="0" applyAlignment="0" applyProtection="0">
      <alignment horizontal="left"/>
    </xf>
    <xf numFmtId="0" fontId="198" fillId="0" borderId="0" applyNumberFormat="0" applyFill="0" applyBorder="0" applyAlignment="0" applyProtection="0">
      <alignment horizontal="left"/>
    </xf>
    <xf numFmtId="0" fontId="199" fillId="0" borderId="0" applyNumberFormat="0" applyFill="0" applyBorder="0" applyAlignment="0" applyProtection="0">
      <alignment horizontal="left"/>
    </xf>
    <xf numFmtId="0" fontId="200" fillId="0" borderId="0" applyNumberFormat="0" applyFill="0" applyBorder="0" applyAlignment="0" applyProtection="0">
      <alignment horizontal="left"/>
    </xf>
    <xf numFmtId="0" fontId="201" fillId="0" borderId="0" applyNumberFormat="0" applyFill="0" applyBorder="0" applyAlignment="0" applyProtection="0">
      <alignment horizontal="left"/>
    </xf>
    <xf numFmtId="0" fontId="202" fillId="0" borderId="0" applyNumberFormat="0" applyFill="0" applyBorder="0" applyAlignment="0" applyProtection="0">
      <alignment horizontal="left"/>
    </xf>
    <xf numFmtId="0" fontId="203" fillId="0" borderId="0" applyNumberFormat="0" applyFill="0" applyBorder="0" applyAlignment="0" applyProtection="0">
      <alignment horizontal="left"/>
    </xf>
    <xf numFmtId="0" fontId="204" fillId="0" borderId="0" applyNumberFormat="0" applyFill="0" applyBorder="0" applyAlignment="0" applyProtection="0">
      <alignment horizontal="left"/>
    </xf>
    <xf numFmtId="0" fontId="205" fillId="0" borderId="0" applyNumberFormat="0" applyFill="0" applyBorder="0" applyAlignment="0" applyProtection="0">
      <alignment horizontal="left"/>
    </xf>
    <xf numFmtId="0" fontId="206" fillId="0" borderId="0">
      <alignment horizontal="left"/>
    </xf>
    <xf numFmtId="0" fontId="207" fillId="0" borderId="77" applyNumberFormat="0" applyAlignment="0" applyProtection="0">
      <alignment horizontal="left" vertical="center"/>
    </xf>
    <xf numFmtId="0" fontId="207" fillId="0" borderId="179">
      <alignment horizontal="left" vertical="center"/>
    </xf>
    <xf numFmtId="0" fontId="207" fillId="0" borderId="179">
      <alignment horizontal="left" vertical="center"/>
    </xf>
    <xf numFmtId="14" fontId="168" fillId="68" borderId="56">
      <alignment horizontal="center" vertical="center" wrapText="1"/>
    </xf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7" fillId="0" borderId="0" applyNumberFormat="0" applyFill="0" applyBorder="0" applyAlignment="0" applyProtection="0"/>
    <xf numFmtId="0" fontId="207" fillId="0" borderId="0" applyNumberFormat="0" applyFill="0" applyBorder="0" applyAlignment="0" applyProtection="0"/>
    <xf numFmtId="0" fontId="209" fillId="0" borderId="0" applyProtection="0">
      <alignment horizontal="left"/>
    </xf>
    <xf numFmtId="0" fontId="210" fillId="0" borderId="197" applyNumberFormat="0" applyFill="0" applyAlignment="0" applyProtection="0">
      <alignment vertical="center"/>
    </xf>
    <xf numFmtId="0" fontId="211" fillId="0" borderId="0" applyProtection="0">
      <alignment horizontal="left"/>
    </xf>
    <xf numFmtId="0" fontId="210" fillId="0" borderId="0" applyNumberFormat="0" applyFill="0" applyBorder="0" applyAlignment="0" applyProtection="0">
      <alignment vertical="center"/>
    </xf>
    <xf numFmtId="0" fontId="212" fillId="0" borderId="0">
      <alignment horizontal="center"/>
    </xf>
    <xf numFmtId="0" fontId="213" fillId="0" borderId="0"/>
    <xf numFmtId="0" fontId="168" fillId="0" borderId="0" applyNumberFormat="0" applyFill="0"/>
    <xf numFmtId="0" fontId="178" fillId="0" borderId="179" applyNumberFormat="0">
      <alignment horizontal="right" wrapText="1"/>
    </xf>
    <xf numFmtId="0" fontId="208" fillId="0" borderId="0" applyProtection="0"/>
    <xf numFmtId="245" fontId="54" fillId="0" borderId="0">
      <protection locked="0"/>
    </xf>
    <xf numFmtId="0" fontId="182" fillId="0" borderId="0">
      <protection locked="0"/>
    </xf>
    <xf numFmtId="0" fontId="207" fillId="0" borderId="0" applyProtection="0"/>
    <xf numFmtId="245" fontId="54" fillId="0" borderId="0">
      <protection locked="0"/>
    </xf>
    <xf numFmtId="0" fontId="214" fillId="0" borderId="0">
      <alignment horizontal="left"/>
    </xf>
    <xf numFmtId="0" fontId="215" fillId="0" borderId="56">
      <alignment horizontal="center"/>
    </xf>
    <xf numFmtId="0" fontId="215" fillId="0" borderId="0">
      <alignment horizontal="center"/>
    </xf>
    <xf numFmtId="0" fontId="32" fillId="63" borderId="54" applyNumberFormat="0" applyFont="0" applyBorder="0" applyAlignment="0" applyProtection="0"/>
    <xf numFmtId="0" fontId="216" fillId="95" borderId="0" applyFont="0" applyAlignment="0">
      <alignment horizontal="left"/>
    </xf>
    <xf numFmtId="0" fontId="32" fillId="0" borderId="0">
      <alignment horizontal="center"/>
    </xf>
    <xf numFmtId="0" fontId="217" fillId="0" borderId="0" applyNumberFormat="0" applyFill="0" applyBorder="0" applyAlignment="0" applyProtection="0">
      <alignment vertical="top"/>
      <protection locked="0"/>
    </xf>
    <xf numFmtId="0" fontId="218" fillId="0" borderId="0" applyNumberFormat="0" applyFill="0" applyBorder="0" applyAlignment="0" applyProtection="0"/>
    <xf numFmtId="202" fontId="32" fillId="0" borderId="0" applyBorder="0"/>
    <xf numFmtId="202" fontId="32" fillId="0" borderId="0" applyBorder="0"/>
    <xf numFmtId="37" fontId="111" fillId="0" borderId="0" applyBorder="0"/>
    <xf numFmtId="202" fontId="32" fillId="0" borderId="0" applyBorder="0"/>
    <xf numFmtId="202" fontId="32" fillId="0" borderId="0" applyBorder="0"/>
    <xf numFmtId="37" fontId="111" fillId="0" borderId="0" applyBorder="0"/>
    <xf numFmtId="202" fontId="32" fillId="0" borderId="0" applyBorder="0"/>
    <xf numFmtId="202" fontId="32" fillId="0" borderId="0" applyBorder="0"/>
    <xf numFmtId="202" fontId="32" fillId="0" borderId="0" applyBorder="0"/>
    <xf numFmtId="202" fontId="32" fillId="0" borderId="0" applyBorder="0"/>
    <xf numFmtId="202" fontId="32" fillId="0" borderId="0" applyBorder="0"/>
    <xf numFmtId="37" fontId="111" fillId="0" borderId="0" applyBorder="0"/>
    <xf numFmtId="259" fontId="219" fillId="0" borderId="0"/>
    <xf numFmtId="259" fontId="219" fillId="0" borderId="0"/>
    <xf numFmtId="259" fontId="219" fillId="0" borderId="0"/>
    <xf numFmtId="259" fontId="219" fillId="0" borderId="0"/>
    <xf numFmtId="259" fontId="219" fillId="0" borderId="0"/>
    <xf numFmtId="259" fontId="219" fillId="0" borderId="0"/>
    <xf numFmtId="259" fontId="219" fillId="0" borderId="0"/>
    <xf numFmtId="259" fontId="219" fillId="0" borderId="0"/>
    <xf numFmtId="259" fontId="219" fillId="0" borderId="0"/>
    <xf numFmtId="259" fontId="219" fillId="0" borderId="0"/>
    <xf numFmtId="259" fontId="219" fillId="0" borderId="0"/>
    <xf numFmtId="0" fontId="219" fillId="0" borderId="0"/>
    <xf numFmtId="205" fontId="54" fillId="0" borderId="0" applyFont="0" applyFill="0" applyBorder="0" applyAlignment="0" applyProtection="0"/>
    <xf numFmtId="0" fontId="220" fillId="0" borderId="0" applyNumberFormat="0" applyFill="0" applyBorder="0" applyAlignment="0" applyProtection="0"/>
    <xf numFmtId="10" fontId="76" fillId="67" borderId="122" applyNumberFormat="0" applyBorder="0" applyAlignment="0" applyProtection="0"/>
    <xf numFmtId="10" fontId="76" fillId="94" borderId="122" applyNumberFormat="0" applyBorder="0" applyAlignment="0" applyProtection="0"/>
    <xf numFmtId="10" fontId="76" fillId="94" borderId="122" applyNumberFormat="0" applyBorder="0" applyAlignment="0" applyProtection="0"/>
    <xf numFmtId="43" fontId="220" fillId="0" borderId="0" applyNumberFormat="0" applyFill="0" applyBorder="0" applyAlignment="0" applyProtection="0"/>
    <xf numFmtId="43" fontId="220" fillId="0" borderId="0" applyNumberFormat="0" applyFill="0" applyBorder="0" applyAlignment="0" applyProtection="0"/>
    <xf numFmtId="0" fontId="221" fillId="76" borderId="185" applyNumberFormat="0" applyAlignment="0" applyProtection="0">
      <alignment vertical="center"/>
    </xf>
    <xf numFmtId="256" fontId="222" fillId="90" borderId="122" applyNumberFormat="0" applyFont="0" applyBorder="0" applyAlignment="0">
      <protection locked="0"/>
    </xf>
    <xf numFmtId="245" fontId="223" fillId="96" borderId="0"/>
    <xf numFmtId="0" fontId="32" fillId="0" borderId="0"/>
    <xf numFmtId="0" fontId="76" fillId="67" borderId="0" applyFont="0" applyBorder="0" applyAlignment="0" applyProtection="0">
      <protection locked="0"/>
    </xf>
    <xf numFmtId="0" fontId="76" fillId="67" borderId="0" applyFont="0" applyBorder="0" applyAlignment="0">
      <protection locked="0"/>
    </xf>
    <xf numFmtId="0" fontId="76" fillId="0" borderId="0"/>
    <xf numFmtId="0" fontId="76" fillId="0" borderId="0"/>
    <xf numFmtId="10" fontId="76" fillId="67" borderId="0">
      <protection locked="0"/>
    </xf>
    <xf numFmtId="261" fontId="76" fillId="0" borderId="0"/>
    <xf numFmtId="0" fontId="224" fillId="67" borderId="0" applyNumberFormat="0" applyBorder="0" applyAlignment="0">
      <protection locked="0"/>
    </xf>
    <xf numFmtId="256" fontId="124" fillId="90" borderId="0" applyNumberFormat="0" applyFont="0" applyBorder="0" applyAlignment="0"/>
    <xf numFmtId="38" fontId="133" fillId="67" borderId="195" applyNumberFormat="0" applyAlignment="0" applyProtection="0">
      <alignment horizontal="right"/>
    </xf>
    <xf numFmtId="38" fontId="133" fillId="67" borderId="195" applyNumberFormat="0" applyAlignment="0" applyProtection="0">
      <alignment horizontal="right"/>
    </xf>
    <xf numFmtId="38" fontId="133" fillId="67" borderId="195" applyNumberFormat="0" applyAlignment="0" applyProtection="0">
      <alignment horizontal="right"/>
    </xf>
    <xf numFmtId="3" fontId="57" fillId="0" borderId="0">
      <alignment vertical="center"/>
    </xf>
    <xf numFmtId="262" fontId="32" fillId="0" borderId="0" applyFont="0" applyFill="0" applyBorder="0" applyAlignment="0" applyProtection="0"/>
    <xf numFmtId="263" fontId="32" fillId="0" borderId="0" applyFont="0" applyFill="0" applyBorder="0" applyAlignment="0" applyProtection="0"/>
    <xf numFmtId="264" fontId="54" fillId="0" borderId="0">
      <alignment vertical="center"/>
    </xf>
    <xf numFmtId="1" fontId="225" fillId="0" borderId="0" applyProtection="0">
      <protection locked="0"/>
    </xf>
    <xf numFmtId="0" fontId="54" fillId="0" borderId="198" applyFont="0"/>
    <xf numFmtId="4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76" fillId="63" borderId="0" applyNumberFormat="0" applyFont="0" applyBorder="0" applyAlignment="0" applyProtection="0"/>
    <xf numFmtId="0" fontId="84" fillId="0" borderId="0" applyNumberFormat="0" applyFont="0" applyFill="0" applyBorder="0" applyProtection="0">
      <alignment horizontal="left" vertical="center"/>
    </xf>
    <xf numFmtId="204" fontId="54" fillId="0" borderId="0" applyFont="0" applyFill="0" applyBorder="0" applyAlignment="0" applyProtection="0"/>
    <xf numFmtId="219" fontId="226" fillId="0" borderId="0" applyFill="0" applyBorder="0" applyAlignment="0"/>
    <xf numFmtId="0" fontId="32" fillId="0" borderId="0" applyFill="0" applyBorder="0" applyAlignment="0"/>
    <xf numFmtId="220" fontId="226" fillId="0" borderId="0" applyFill="0" applyBorder="0" applyAlignment="0"/>
    <xf numFmtId="0" fontId="32" fillId="0" borderId="0" applyFill="0" applyBorder="0" applyAlignment="0"/>
    <xf numFmtId="219" fontId="226" fillId="0" borderId="0" applyFill="0" applyBorder="0" applyAlignment="0"/>
    <xf numFmtId="0" fontId="32" fillId="0" borderId="0" applyFill="0" applyBorder="0" applyAlignment="0"/>
    <xf numFmtId="224" fontId="226" fillId="0" borderId="0" applyFill="0" applyBorder="0" applyAlignment="0"/>
    <xf numFmtId="0" fontId="32" fillId="0" borderId="0" applyFill="0" applyBorder="0" applyAlignment="0"/>
    <xf numFmtId="220" fontId="226" fillId="0" borderId="0" applyFill="0" applyBorder="0" applyAlignment="0"/>
    <xf numFmtId="0" fontId="32" fillId="0" borderId="0" applyFill="0" applyBorder="0" applyAlignment="0"/>
    <xf numFmtId="0" fontId="227" fillId="0" borderId="199" applyNumberFormat="0" applyFill="0" applyAlignment="0" applyProtection="0">
      <alignment vertical="center"/>
    </xf>
    <xf numFmtId="245" fontId="228" fillId="97" borderId="0"/>
    <xf numFmtId="0" fontId="54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10" fontId="32" fillId="0" borderId="0" applyFont="0" applyFill="0" applyBorder="0" applyAlignment="0" applyProtection="0"/>
    <xf numFmtId="265" fontId="32" fillId="0" borderId="0" applyBorder="0"/>
    <xf numFmtId="14" fontId="133" fillId="91" borderId="0" applyFont="0" applyFill="0" applyBorder="0" applyAlignment="0" applyProtection="0"/>
    <xf numFmtId="265" fontId="32" fillId="0" borderId="0" applyBorder="0"/>
    <xf numFmtId="265" fontId="111" fillId="0" borderId="0"/>
    <xf numFmtId="265" fontId="32" fillId="0" borderId="0" applyBorder="0"/>
    <xf numFmtId="265" fontId="32" fillId="0" borderId="0" applyBorder="0"/>
    <xf numFmtId="265" fontId="111" fillId="0" borderId="0"/>
    <xf numFmtId="265" fontId="32" fillId="0" borderId="0" applyBorder="0"/>
    <xf numFmtId="265" fontId="32" fillId="0" borderId="0" applyBorder="0"/>
    <xf numFmtId="265" fontId="32" fillId="0" borderId="0" applyBorder="0"/>
    <xf numFmtId="265" fontId="32" fillId="0" borderId="0" applyBorder="0"/>
    <xf numFmtId="265" fontId="32" fillId="0" borderId="0" applyBorder="0"/>
    <xf numFmtId="265" fontId="32" fillId="0" borderId="0" applyBorder="0"/>
    <xf numFmtId="265" fontId="111" fillId="0" borderId="0"/>
    <xf numFmtId="0" fontId="32" fillId="67" borderId="86" applyFont="0" applyFill="0" applyBorder="0" applyAlignment="0" applyProtection="0">
      <alignment horizontal="right"/>
    </xf>
    <xf numFmtId="0" fontId="32" fillId="0" borderId="0">
      <alignment horizontal="center"/>
    </xf>
    <xf numFmtId="266" fontId="138" fillId="0" borderId="0" applyFont="0" applyFill="0" applyBorder="0" applyAlignment="0" applyProtection="0"/>
    <xf numFmtId="267" fontId="138" fillId="0" borderId="0" applyFont="0" applyFill="0" applyBorder="0" applyAlignment="0" applyProtection="0"/>
    <xf numFmtId="268" fontId="32" fillId="0" borderId="0" applyFont="0" applyFill="0" applyBorder="0" applyAlignment="0" applyProtection="0"/>
    <xf numFmtId="269" fontId="32" fillId="0" borderId="0" applyFont="0" applyFill="0" applyBorder="0" applyAlignment="0" applyProtection="0"/>
    <xf numFmtId="0" fontId="229" fillId="0" borderId="56"/>
    <xf numFmtId="0" fontId="229" fillId="0" borderId="56"/>
    <xf numFmtId="0" fontId="230" fillId="0" borderId="0"/>
    <xf numFmtId="0" fontId="231" fillId="0" borderId="0"/>
    <xf numFmtId="270" fontId="32" fillId="0" borderId="0" applyFont="0" applyFill="0" applyBorder="0" applyAlignment="0" applyProtection="0"/>
    <xf numFmtId="271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72" fontId="32" fillId="0" borderId="0" applyFont="0" applyFill="0" applyBorder="0" applyAlignment="0" applyProtection="0"/>
    <xf numFmtId="273" fontId="32" fillId="0" borderId="0" applyFont="0" applyFill="0" applyBorder="0" applyAlignment="0" applyProtection="0"/>
    <xf numFmtId="274" fontId="138" fillId="0" borderId="0" applyFont="0" applyFill="0" applyBorder="0" applyAlignment="0" applyProtection="0"/>
    <xf numFmtId="275" fontId="138" fillId="0" borderId="0" applyFont="0" applyFill="0" applyBorder="0" applyAlignment="0" applyProtection="0"/>
    <xf numFmtId="276" fontId="32" fillId="0" borderId="0" applyFont="0" applyFill="0" applyBorder="0" applyAlignment="0" applyProtection="0"/>
    <xf numFmtId="277" fontId="32" fillId="0" borderId="0" applyFont="0" applyFill="0" applyBorder="0" applyAlignment="0" applyProtection="0"/>
    <xf numFmtId="0" fontId="67" fillId="0" borderId="0">
      <protection locked="0"/>
    </xf>
    <xf numFmtId="203" fontId="68" fillId="0" borderId="0" applyFont="0" applyFill="0" applyBorder="0" applyAlignment="0" applyProtection="0"/>
    <xf numFmtId="209" fontId="68" fillId="0" borderId="0" applyFont="0" applyFill="0" applyBorder="0" applyAlignment="0" applyProtection="0"/>
    <xf numFmtId="278" fontId="138" fillId="0" borderId="0" applyFont="0" applyFill="0" applyBorder="0" applyAlignment="0" applyProtection="0">
      <alignment horizontal="right"/>
    </xf>
    <xf numFmtId="267" fontId="54" fillId="0" borderId="0"/>
    <xf numFmtId="0" fontId="54" fillId="0" borderId="0" applyFont="0" applyFill="0" applyBorder="0" applyAlignment="0" applyProtection="0"/>
    <xf numFmtId="0" fontId="32" fillId="63" borderId="0" applyFont="0" applyBorder="0" applyAlignment="0" applyProtection="0">
      <alignment horizontal="right"/>
      <protection hidden="1"/>
    </xf>
    <xf numFmtId="38" fontId="76" fillId="0" borderId="0" applyNumberFormat="0" applyFont="0" applyFill="0" applyAlignment="0" applyProtection="0"/>
    <xf numFmtId="0" fontId="232" fillId="98" borderId="0" applyNumberFormat="0" applyBorder="0" applyAlignment="0" applyProtection="0">
      <alignment vertical="center"/>
    </xf>
    <xf numFmtId="0" fontId="84" fillId="0" borderId="0"/>
    <xf numFmtId="0" fontId="133" fillId="0" borderId="0" applyNumberFormat="0" applyFont="0" applyBorder="0" applyAlignment="0" applyProtection="0"/>
    <xf numFmtId="37" fontId="233" fillId="0" borderId="0"/>
    <xf numFmtId="0" fontId="62" fillId="0" borderId="50" applyNumberFormat="0" applyFont="0" applyBorder="0" applyProtection="0">
      <alignment horizontal="center" vertical="center"/>
    </xf>
    <xf numFmtId="0" fontId="80" fillId="0" borderId="0"/>
    <xf numFmtId="0" fontId="80" fillId="0" borderId="0"/>
    <xf numFmtId="0" fontId="56" fillId="0" borderId="0"/>
    <xf numFmtId="3" fontId="234" fillId="0" borderId="0" applyFill="0" applyBorder="0" applyAlignment="0" applyProtection="0"/>
    <xf numFmtId="0" fontId="76" fillId="0" borderId="0" applyFont="0" applyFill="0" applyBorder="0" applyAlignment="0" applyProtection="0">
      <alignment horizontal="right"/>
    </xf>
    <xf numFmtId="202" fontId="32" fillId="0" borderId="0"/>
    <xf numFmtId="279" fontId="66" fillId="0" borderId="0"/>
    <xf numFmtId="0" fontId="54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38" fontId="76" fillId="0" borderId="122" applyFont="0" applyFill="0" applyBorder="0" applyAlignment="0" applyProtection="0"/>
    <xf numFmtId="0" fontId="32" fillId="0" borderId="0" applyFont="0" applyFill="0" applyBorder="0" applyAlignment="0"/>
    <xf numFmtId="40" fontId="76" fillId="0" borderId="0" applyFont="0" applyFill="0" applyBorder="0" applyAlignment="0"/>
    <xf numFmtId="0" fontId="76" fillId="0" borderId="0" applyFont="0" applyFill="0" applyBorder="0" applyAlignment="0"/>
    <xf numFmtId="0" fontId="32" fillId="0" borderId="0">
      <alignment vertical="center"/>
    </xf>
    <xf numFmtId="0" fontId="54" fillId="0" borderId="0"/>
    <xf numFmtId="0" fontId="178" fillId="0" borderId="0" applyNumberFormat="0" applyFill="0" applyBorder="0" applyAlignment="0" applyProtection="0"/>
    <xf numFmtId="0" fontId="76" fillId="0" borderId="0" applyFont="0" applyFill="0" applyBorder="0" applyAlignment="0" applyProtection="0"/>
    <xf numFmtId="0" fontId="32" fillId="0" borderId="0"/>
    <xf numFmtId="280" fontId="76" fillId="0" borderId="0" applyFont="0" applyFill="0" applyBorder="0" applyAlignment="0" applyProtection="0">
      <alignment horizontal="right"/>
    </xf>
    <xf numFmtId="0" fontId="32" fillId="0" borderId="0"/>
    <xf numFmtId="281" fontId="235" fillId="0" borderId="0" applyFont="0" applyFill="0" applyBorder="0" applyAlignment="0" applyProtection="0">
      <alignment horizontal="centerContinuous"/>
    </xf>
    <xf numFmtId="0" fontId="235" fillId="0" borderId="0" applyFont="0" applyFill="0" applyBorder="0" applyAlignment="0" applyProtection="0">
      <alignment horizontal="centerContinuous"/>
    </xf>
    <xf numFmtId="0" fontId="84" fillId="0" borderId="0" applyFont="0" applyFill="0" applyBorder="0" applyAlignment="0" applyProtection="0">
      <alignment horizontal="centerContinuous"/>
    </xf>
    <xf numFmtId="0" fontId="84" fillId="0" borderId="0" applyFont="0" applyFill="0" applyBorder="0" applyAlignment="0" applyProtection="0">
      <alignment horizontal="centerContinuous"/>
    </xf>
    <xf numFmtId="0" fontId="84" fillId="0" borderId="193" applyFont="0" applyFill="0" applyBorder="0" applyAlignment="0" applyProtection="0">
      <alignment horizontal="right"/>
    </xf>
    <xf numFmtId="0" fontId="84" fillId="0" borderId="0" applyFont="0" applyFill="0" applyBorder="0" applyAlignment="0" applyProtection="0">
      <alignment horizontal="centerContinuous"/>
    </xf>
    <xf numFmtId="0" fontId="84" fillId="0" borderId="0" applyFont="0" applyFill="0" applyBorder="0" applyAlignment="0" applyProtection="0">
      <alignment horizontal="centerContinuous"/>
    </xf>
    <xf numFmtId="0" fontId="84" fillId="0" borderId="193" applyFont="0" applyFill="0" applyBorder="0" applyAlignment="0" applyProtection="0">
      <alignment horizontal="right"/>
    </xf>
    <xf numFmtId="0" fontId="84" fillId="0" borderId="0" applyFont="0" applyFill="0" applyBorder="0" applyAlignment="0" applyProtection="0">
      <alignment horizontal="centerContinuous"/>
    </xf>
    <xf numFmtId="0" fontId="84" fillId="0" borderId="193" applyFont="0" applyFill="0" applyBorder="0" applyAlignment="0" applyProtection="0">
      <alignment horizontal="right"/>
    </xf>
    <xf numFmtId="0" fontId="76" fillId="0" borderId="0"/>
    <xf numFmtId="0" fontId="56" fillId="0" borderId="20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10" fillId="99" borderId="195" applyNumberFormat="0" applyFont="0" applyAlignment="0" applyProtection="0">
      <alignment vertical="center"/>
    </xf>
    <xf numFmtId="0" fontId="101" fillId="99" borderId="195" applyNumberFormat="0" applyFont="0" applyAlignment="0" applyProtection="0">
      <alignment vertical="center"/>
    </xf>
    <xf numFmtId="0" fontId="101" fillId="99" borderId="195" applyNumberFormat="0" applyFont="0" applyAlignment="0" applyProtection="0">
      <alignment vertical="center"/>
    </xf>
    <xf numFmtId="38" fontId="178" fillId="93" borderId="122" applyNumberFormat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2" fillId="0" borderId="194" applyNumberFormat="0" applyFont="0" applyFill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54" fillId="0" borderId="0"/>
    <xf numFmtId="0" fontId="54" fillId="0" borderId="0"/>
    <xf numFmtId="0" fontId="32" fillId="0" borderId="0" applyFont="0" applyFill="0" applyBorder="0" applyAlignment="0" applyProtection="0"/>
    <xf numFmtId="0" fontId="32" fillId="0" borderId="0"/>
    <xf numFmtId="0" fontId="236" fillId="0" borderId="0"/>
    <xf numFmtId="0" fontId="84" fillId="0" borderId="0"/>
    <xf numFmtId="0" fontId="84" fillId="0" borderId="0"/>
    <xf numFmtId="0" fontId="237" fillId="70" borderId="201" applyNumberFormat="0" applyAlignment="0" applyProtection="0">
      <alignment vertical="center"/>
    </xf>
    <xf numFmtId="38" fontId="238" fillId="94" borderId="0">
      <alignment horizontal="right"/>
    </xf>
    <xf numFmtId="40" fontId="239" fillId="94" borderId="0">
      <alignment horizontal="right"/>
    </xf>
    <xf numFmtId="40" fontId="25" fillId="94" borderId="0">
      <alignment horizontal="right"/>
    </xf>
    <xf numFmtId="0" fontId="240" fillId="94" borderId="0">
      <alignment horizontal="right"/>
    </xf>
    <xf numFmtId="0" fontId="241" fillId="94" borderId="193"/>
    <xf numFmtId="0" fontId="242" fillId="100" borderId="193"/>
    <xf numFmtId="0" fontId="241" fillId="0" borderId="0" applyBorder="0">
      <alignment horizontal="centerContinuous"/>
    </xf>
    <xf numFmtId="0" fontId="243" fillId="0" borderId="0" applyBorder="0">
      <alignment horizontal="centerContinuous"/>
    </xf>
    <xf numFmtId="0" fontId="32" fillId="0" borderId="202" applyNumberFormat="0" applyFont="0" applyFill="0" applyAlignment="0" applyProtection="0"/>
    <xf numFmtId="0" fontId="32" fillId="0" borderId="49" applyNumberFormat="0" applyFont="0" applyFill="0" applyAlignment="0" applyProtection="0"/>
    <xf numFmtId="282" fontId="111" fillId="0" borderId="56" applyBorder="0"/>
    <xf numFmtId="283" fontId="214" fillId="63" borderId="0">
      <alignment vertical="center"/>
    </xf>
    <xf numFmtId="1" fontId="244" fillId="0" borderId="0" applyProtection="0">
      <alignment horizontal="right" vertical="center"/>
    </xf>
    <xf numFmtId="0" fontId="245" fillId="101" borderId="122" applyNumberFormat="0" applyProtection="0">
      <alignment horizontal="center" vertical="top" wrapText="1"/>
      <protection hidden="1"/>
    </xf>
    <xf numFmtId="0" fontId="246" fillId="0" borderId="86" applyNumberFormat="0">
      <alignment vertical="center"/>
    </xf>
    <xf numFmtId="0" fontId="230" fillId="0" borderId="0"/>
    <xf numFmtId="0" fontId="32" fillId="0" borderId="0" applyFill="0" applyBorder="0" applyAlignment="0" applyProtection="0"/>
    <xf numFmtId="14" fontId="124" fillId="0" borderId="0">
      <alignment horizontal="center" wrapText="1"/>
      <protection locked="0"/>
    </xf>
    <xf numFmtId="284" fontId="67" fillId="0" borderId="0">
      <protection locked="0"/>
    </xf>
    <xf numFmtId="285" fontId="32" fillId="0" borderId="0" applyFont="0" applyFill="0" applyBorder="0" applyAlignment="0" applyProtection="0"/>
    <xf numFmtId="0" fontId="247" fillId="0" borderId="0" applyFill="0" applyBorder="0" applyAlignment="0" applyProtection="0"/>
    <xf numFmtId="0" fontId="32" fillId="0" borderId="0" applyFont="0" applyFill="0" applyBorder="0" applyAlignment="0" applyProtection="0"/>
    <xf numFmtId="286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47" fillId="0" borderId="0" applyFill="0" applyBorder="0" applyAlignment="0" applyProtection="0"/>
    <xf numFmtId="0" fontId="247" fillId="0" borderId="0" applyFill="0" applyBorder="0" applyAlignment="0" applyProtection="0"/>
    <xf numFmtId="287" fontId="247" fillId="0" borderId="0" applyFill="0" applyBorder="0" applyAlignment="0" applyProtection="0"/>
    <xf numFmtId="10" fontId="32" fillId="0" borderId="0" applyFont="0" applyFill="0" applyBorder="0" applyAlignment="0" applyProtection="0"/>
    <xf numFmtId="0" fontId="247" fillId="0" borderId="0" applyFill="0" applyBorder="0" applyAlignment="0" applyProtection="0"/>
    <xf numFmtId="0" fontId="54" fillId="0" borderId="0">
      <protection locked="0"/>
    </xf>
    <xf numFmtId="0" fontId="54" fillId="0" borderId="0">
      <protection locked="0"/>
    </xf>
    <xf numFmtId="0" fontId="67" fillId="0" borderId="0">
      <protection locked="0"/>
    </xf>
    <xf numFmtId="0" fontId="54" fillId="0" borderId="0">
      <protection locked="0"/>
    </xf>
    <xf numFmtId="10" fontId="231" fillId="0" borderId="0"/>
    <xf numFmtId="0" fontId="136" fillId="91" borderId="203" applyFont="0" applyFill="0" applyBorder="0" applyAlignment="0" applyProtection="0"/>
    <xf numFmtId="251" fontId="10" fillId="0" borderId="0">
      <protection locked="0"/>
    </xf>
    <xf numFmtId="0" fontId="32" fillId="0" borderId="0" applyFont="0" applyFill="0" applyBorder="0" applyAlignment="0" applyProtection="0"/>
    <xf numFmtId="0" fontId="248" fillId="0" borderId="122" applyNumberFormat="0" applyAlignment="0"/>
    <xf numFmtId="38" fontId="76" fillId="93" borderId="0" applyNumberFormat="0" applyFont="0" applyBorder="0" applyAlignment="0" applyProtection="0">
      <alignment horizontal="right"/>
    </xf>
    <xf numFmtId="0" fontId="169" fillId="0" borderId="0" applyNumberFormat="0" applyFill="0" applyBorder="0" applyAlignment="0" applyProtection="0"/>
    <xf numFmtId="38" fontId="54" fillId="0" borderId="0" applyFont="0" applyFill="0" applyBorder="0" applyAlignment="0" applyProtection="0"/>
    <xf numFmtId="0" fontId="249" fillId="0" borderId="0" applyNumberFormat="0" applyFill="0" applyBorder="0" applyAlignment="0" applyProtection="0"/>
    <xf numFmtId="0" fontId="67" fillId="0" borderId="0">
      <protection locked="0"/>
    </xf>
    <xf numFmtId="13" fontId="32" fillId="0" borderId="0" applyFont="0" applyFill="0" applyProtection="0"/>
    <xf numFmtId="219" fontId="250" fillId="0" borderId="0" applyFill="0" applyBorder="0" applyAlignment="0"/>
    <xf numFmtId="0" fontId="32" fillId="0" borderId="0" applyFill="0" applyBorder="0" applyAlignment="0"/>
    <xf numFmtId="220" fontId="250" fillId="0" borderId="0" applyFill="0" applyBorder="0" applyAlignment="0"/>
    <xf numFmtId="0" fontId="32" fillId="0" borderId="0" applyFill="0" applyBorder="0" applyAlignment="0"/>
    <xf numFmtId="219" fontId="250" fillId="0" borderId="0" applyFill="0" applyBorder="0" applyAlignment="0"/>
    <xf numFmtId="0" fontId="32" fillId="0" borderId="0" applyFill="0" applyBorder="0" applyAlignment="0"/>
    <xf numFmtId="224" fontId="250" fillId="0" borderId="0" applyFill="0" applyBorder="0" applyAlignment="0"/>
    <xf numFmtId="0" fontId="32" fillId="0" borderId="0" applyFill="0" applyBorder="0" applyAlignment="0"/>
    <xf numFmtId="220" fontId="250" fillId="0" borderId="0" applyFill="0" applyBorder="0" applyAlignment="0"/>
    <xf numFmtId="0" fontId="32" fillId="0" borderId="0" applyFill="0" applyBorder="0" applyAlignment="0"/>
    <xf numFmtId="0" fontId="251" fillId="0" borderId="51">
      <alignment horizontal="right"/>
    </xf>
    <xf numFmtId="217" fontId="252" fillId="0" borderId="0"/>
    <xf numFmtId="9" fontId="253" fillId="0" borderId="0" applyFont="0" applyFill="0" applyProtection="0"/>
    <xf numFmtId="0" fontId="178" fillId="0" borderId="0" applyFill="0" applyBorder="0" applyProtection="0">
      <alignment horizontal="right"/>
    </xf>
    <xf numFmtId="0" fontId="57" fillId="0" borderId="0" applyNumberFormat="0" applyFont="0" applyFill="0" applyBorder="0" applyAlignment="0" applyProtection="0">
      <alignment horizontal="left"/>
    </xf>
    <xf numFmtId="15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0" fontId="61" fillId="0" borderId="56">
      <alignment horizontal="center"/>
    </xf>
    <xf numFmtId="3" fontId="57" fillId="0" borderId="0" applyFont="0" applyFill="0" applyBorder="0" applyAlignment="0" applyProtection="0"/>
    <xf numFmtId="0" fontId="57" fillId="102" borderId="0" applyNumberFormat="0" applyFont="0" applyBorder="0" applyAlignment="0" applyProtection="0"/>
    <xf numFmtId="0" fontId="133" fillId="103" borderId="0" applyNumberFormat="0" applyFont="0" applyBorder="0" applyAlignment="0" applyProtection="0"/>
    <xf numFmtId="231" fontId="32" fillId="0" borderId="0"/>
    <xf numFmtId="37" fontId="66" fillId="0" borderId="0"/>
    <xf numFmtId="0" fontId="54" fillId="0" borderId="0"/>
    <xf numFmtId="0" fontId="54" fillId="0" borderId="0"/>
    <xf numFmtId="210" fontId="54" fillId="0" borderId="0" applyFont="0" applyFill="0" applyBorder="0" applyAlignment="0" applyProtection="0"/>
    <xf numFmtId="0" fontId="60" fillId="0" borderId="0" applyNumberFormat="0" applyBorder="0" applyAlignment="0">
      <alignment horizontal="right"/>
    </xf>
    <xf numFmtId="38" fontId="254" fillId="0" borderId="0" applyNumberFormat="0" applyFill="0" applyBorder="0" applyAlignment="0" applyProtection="0"/>
    <xf numFmtId="0" fontId="25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5" fillId="104" borderId="0" applyNumberFormat="0" applyFont="0" applyBorder="0" applyAlignment="0">
      <alignment horizontal="center"/>
    </xf>
    <xf numFmtId="4" fontId="256" fillId="0" borderId="0">
      <alignment horizontal="right"/>
    </xf>
    <xf numFmtId="30" fontId="257" fillId="0" borderId="0" applyNumberFormat="0" applyFill="0" applyBorder="0" applyAlignment="0" applyProtection="0">
      <alignment horizontal="left"/>
    </xf>
    <xf numFmtId="38" fontId="257" fillId="0" borderId="0"/>
    <xf numFmtId="41" fontId="10" fillId="0" borderId="0" applyFont="0" applyFill="0" applyBorder="0" applyAlignment="0" applyProtection="0"/>
    <xf numFmtId="288" fontId="54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99" borderId="0" applyNumberFormat="0" applyFont="0" applyBorder="0" applyAlignment="0" applyProtection="0"/>
    <xf numFmtId="0" fontId="32" fillId="14" borderId="0" applyNumberFormat="0" applyFont="0" applyBorder="0" applyAlignment="0" applyProtection="0"/>
    <xf numFmtId="0" fontId="32" fillId="70" borderId="0" applyNumberFormat="0" applyFont="0" applyBorder="0" applyAlignment="0" applyProtection="0"/>
    <xf numFmtId="0" fontId="32" fillId="0" borderId="0" applyNumberFormat="0" applyFont="0" applyFill="0" applyBorder="0" applyAlignment="0" applyProtection="0"/>
    <xf numFmtId="0" fontId="32" fillId="70" borderId="0" applyNumberFormat="0" applyFont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Border="0" applyAlignment="0" applyProtection="0"/>
    <xf numFmtId="204" fontId="63" fillId="0" borderId="0" applyFont="0" applyFill="0" applyBorder="0" applyAlignment="0" applyProtection="0"/>
    <xf numFmtId="0" fontId="258" fillId="0" borderId="0">
      <alignment horizontal="left"/>
    </xf>
    <xf numFmtId="38" fontId="76" fillId="0" borderId="204" applyNumberFormat="0" applyFont="0" applyFill="0" applyAlignment="0" applyProtection="0"/>
    <xf numFmtId="268" fontId="32" fillId="0" borderId="0" applyFont="0" applyFill="0" applyBorder="0" applyAlignment="0" applyProtection="0"/>
    <xf numFmtId="269" fontId="32" fillId="0" borderId="0" applyFont="0" applyFill="0" applyBorder="0" applyAlignment="0" applyProtection="0"/>
    <xf numFmtId="0" fontId="255" fillId="1" borderId="204" applyNumberFormat="0" applyFont="0" applyAlignment="0">
      <alignment horizontal="center"/>
    </xf>
    <xf numFmtId="0" fontId="259" fillId="0" borderId="0" applyFill="0" applyBorder="0" applyAlignment="0" applyProtection="0"/>
    <xf numFmtId="202" fontId="259" fillId="0" borderId="0" applyFill="0" applyBorder="0" applyAlignment="0" applyProtection="0"/>
    <xf numFmtId="0" fontId="32" fillId="89" borderId="0" applyNumberFormat="0" applyBorder="0" applyProtection="0">
      <alignment horizontal="center"/>
    </xf>
    <xf numFmtId="0" fontId="260" fillId="0" borderId="0" applyNumberFormat="0" applyFill="0" applyBorder="0" applyAlignment="0">
      <alignment horizontal="center"/>
    </xf>
    <xf numFmtId="38" fontId="76" fillId="0" borderId="204" applyNumberFormat="0" applyFont="0" applyAlignment="0">
      <alignment horizontal="left" indent="1"/>
    </xf>
    <xf numFmtId="0" fontId="253" fillId="0" borderId="0"/>
    <xf numFmtId="0" fontId="57" fillId="0" borderId="0"/>
    <xf numFmtId="0" fontId="125" fillId="0" borderId="0"/>
    <xf numFmtId="0" fontId="125" fillId="0" borderId="0"/>
    <xf numFmtId="0" fontId="125" fillId="0" borderId="0"/>
    <xf numFmtId="0" fontId="125" fillId="0" borderId="0"/>
    <xf numFmtId="0" fontId="229" fillId="0" borderId="0"/>
    <xf numFmtId="0" fontId="261" fillId="0" borderId="0">
      <alignment horizontal="left"/>
    </xf>
    <xf numFmtId="40" fontId="262" fillId="0" borderId="0" applyBorder="0">
      <alignment horizontal="right"/>
    </xf>
    <xf numFmtId="38" fontId="178" fillId="0" borderId="205" applyFont="0"/>
    <xf numFmtId="0" fontId="32" fillId="0" borderId="0" applyBorder="0"/>
    <xf numFmtId="49" fontId="111" fillId="0" borderId="0"/>
    <xf numFmtId="0" fontId="32" fillId="0" borderId="0" applyBorder="0"/>
    <xf numFmtId="0" fontId="32" fillId="0" borderId="0" applyBorder="0"/>
    <xf numFmtId="49" fontId="111" fillId="0" borderId="0"/>
    <xf numFmtId="0" fontId="32" fillId="0" borderId="0" applyBorder="0"/>
    <xf numFmtId="0" fontId="32" fillId="0" borderId="0" applyBorder="0"/>
    <xf numFmtId="0" fontId="32" fillId="0" borderId="0" applyBorder="0"/>
    <xf numFmtId="0" fontId="32" fillId="0" borderId="0" applyBorder="0"/>
    <xf numFmtId="0" fontId="32" fillId="0" borderId="0" applyBorder="0"/>
    <xf numFmtId="0" fontId="32" fillId="0" borderId="0" applyBorder="0"/>
    <xf numFmtId="0" fontId="32" fillId="0" borderId="0" applyBorder="0"/>
    <xf numFmtId="49" fontId="111" fillId="0" borderId="0"/>
    <xf numFmtId="0" fontId="54" fillId="0" borderId="0"/>
    <xf numFmtId="0" fontId="54" fillId="0" borderId="0"/>
    <xf numFmtId="0" fontId="263" fillId="0" borderId="0" applyFill="0" applyBorder="0" applyProtection="0">
      <alignment horizontal="left" vertical="center"/>
      <protection locked="0"/>
    </xf>
    <xf numFmtId="0" fontId="263" fillId="0" borderId="0" applyFill="0" applyBorder="0" applyProtection="0">
      <alignment horizontal="left" vertical="center" wrapText="1"/>
      <protection locked="0"/>
    </xf>
    <xf numFmtId="0" fontId="264" fillId="0" borderId="0" applyFill="0" applyBorder="0" applyProtection="0">
      <alignment horizontal="left" vertical="center"/>
      <protection locked="0"/>
    </xf>
    <xf numFmtId="0" fontId="264" fillId="0" borderId="0" applyFill="0" applyBorder="0" applyProtection="0">
      <alignment horizontal="left" vertical="center" wrapText="1"/>
      <protection locked="0"/>
    </xf>
    <xf numFmtId="0" fontId="265" fillId="0" borderId="0" applyFill="0" applyBorder="0" applyProtection="0">
      <alignment horizontal="left" vertical="center"/>
      <protection locked="0"/>
    </xf>
    <xf numFmtId="0" fontId="265" fillId="0" borderId="0" applyFill="0" applyBorder="0" applyProtection="0">
      <alignment horizontal="left" vertical="center" wrapText="1"/>
      <protection locked="0"/>
    </xf>
    <xf numFmtId="0" fontId="266" fillId="0" borderId="0" applyFill="0" applyBorder="0" applyProtection="0">
      <alignment horizontal="left" vertical="center"/>
      <protection locked="0"/>
    </xf>
    <xf numFmtId="0" fontId="266" fillId="0" borderId="0" applyFill="0" applyBorder="0" applyProtection="0">
      <alignment horizontal="left" vertical="center" wrapText="1"/>
      <protection locked="0"/>
    </xf>
    <xf numFmtId="0" fontId="267" fillId="0" borderId="0" applyFill="0" applyBorder="0" applyProtection="0">
      <alignment horizontal="left" vertical="center"/>
      <protection locked="0"/>
    </xf>
    <xf numFmtId="0" fontId="267" fillId="0" borderId="0" applyFill="0" applyBorder="0" applyProtection="0">
      <alignment horizontal="left" vertical="center" wrapText="1"/>
      <protection locked="0"/>
    </xf>
    <xf numFmtId="14" fontId="268" fillId="0" borderId="0" applyFill="0" applyBorder="0" applyProtection="0">
      <alignment horizontal="center" vertical="center" wrapText="1"/>
      <protection locked="0"/>
    </xf>
    <xf numFmtId="14" fontId="269" fillId="0" borderId="0" applyFill="0" applyBorder="0" applyProtection="0">
      <alignment horizontal="center" vertical="center" wrapText="1"/>
      <protection locked="0"/>
    </xf>
    <xf numFmtId="14" fontId="270" fillId="0" borderId="0" applyFill="0" applyBorder="0" applyProtection="0">
      <alignment horizontal="center" vertical="center" wrapText="1"/>
      <protection locked="0"/>
    </xf>
    <xf numFmtId="14" fontId="271" fillId="0" borderId="0" applyFill="0" applyBorder="0" applyProtection="0">
      <alignment horizontal="center" vertical="center" wrapText="1"/>
      <protection locked="0"/>
    </xf>
    <xf numFmtId="14" fontId="272" fillId="0" borderId="0" applyFill="0" applyBorder="0" applyProtection="0">
      <alignment horizontal="center" vertical="center" wrapText="1"/>
      <protection locked="0"/>
    </xf>
    <xf numFmtId="3" fontId="263" fillId="0" borderId="0" applyFill="0" applyBorder="0" applyProtection="0">
      <alignment horizontal="right"/>
      <protection locked="0"/>
    </xf>
    <xf numFmtId="3" fontId="264" fillId="0" borderId="0" applyFill="0" applyBorder="0" applyProtection="0">
      <alignment horizontal="right"/>
      <protection locked="0"/>
    </xf>
    <xf numFmtId="3" fontId="265" fillId="0" borderId="0" applyFill="0" applyBorder="0" applyProtection="0">
      <alignment horizontal="right"/>
      <protection locked="0"/>
    </xf>
    <xf numFmtId="3" fontId="266" fillId="0" borderId="0" applyFill="0" applyBorder="0" applyProtection="0">
      <alignment horizontal="right"/>
      <protection locked="0"/>
    </xf>
    <xf numFmtId="3" fontId="267" fillId="0" borderId="0" applyFill="0" applyBorder="0" applyProtection="0">
      <alignment horizontal="right"/>
      <protection locked="0"/>
    </xf>
    <xf numFmtId="194" fontId="263" fillId="0" borderId="0" applyFill="0" applyBorder="0" applyProtection="0">
      <alignment horizontal="right"/>
      <protection locked="0"/>
    </xf>
    <xf numFmtId="194" fontId="264" fillId="0" borderId="0" applyFill="0" applyBorder="0" applyProtection="0">
      <alignment horizontal="right"/>
      <protection locked="0"/>
    </xf>
    <xf numFmtId="206" fontId="265" fillId="0" borderId="0" applyFill="0" applyBorder="0" applyProtection="0">
      <alignment horizontal="right"/>
      <protection locked="0"/>
    </xf>
    <xf numFmtId="206" fontId="266" fillId="0" borderId="0" applyFill="0" applyBorder="0" applyProtection="0">
      <alignment horizontal="right"/>
      <protection locked="0"/>
    </xf>
    <xf numFmtId="194" fontId="267" fillId="0" borderId="0" applyFill="0" applyBorder="0" applyProtection="0">
      <alignment horizontal="right"/>
      <protection locked="0"/>
    </xf>
    <xf numFmtId="4" fontId="263" fillId="0" borderId="0" applyFill="0" applyBorder="0" applyProtection="0">
      <alignment horizontal="right"/>
      <protection locked="0"/>
    </xf>
    <xf numFmtId="4" fontId="264" fillId="0" borderId="0" applyFill="0" applyBorder="0" applyProtection="0">
      <alignment horizontal="right"/>
      <protection locked="0"/>
    </xf>
    <xf numFmtId="4" fontId="265" fillId="0" borderId="0" applyFill="0" applyBorder="0" applyProtection="0">
      <alignment horizontal="right"/>
      <protection locked="0"/>
    </xf>
    <xf numFmtId="4" fontId="266" fillId="0" borderId="0" applyFill="0" applyBorder="0" applyProtection="0">
      <alignment horizontal="right"/>
      <protection locked="0"/>
    </xf>
    <xf numFmtId="4" fontId="267" fillId="0" borderId="0" applyFill="0" applyBorder="0" applyProtection="0">
      <alignment horizontal="right"/>
      <protection locked="0"/>
    </xf>
    <xf numFmtId="0" fontId="273" fillId="0" borderId="0" applyBorder="0" applyProtection="0">
      <alignment vertical="center"/>
    </xf>
    <xf numFmtId="0" fontId="273" fillId="0" borderId="86" applyBorder="0" applyProtection="0">
      <alignment horizontal="right" vertical="center"/>
    </xf>
    <xf numFmtId="253" fontId="273" fillId="0" borderId="86" applyBorder="0" applyProtection="0">
      <alignment horizontal="right" vertical="center"/>
    </xf>
    <xf numFmtId="0" fontId="274" fillId="105" borderId="0" applyBorder="0" applyProtection="0">
      <alignment horizontal="centerContinuous" vertical="center"/>
    </xf>
    <xf numFmtId="0" fontId="274" fillId="95" borderId="86" applyBorder="0" applyProtection="0">
      <alignment horizontal="centerContinuous" vertical="center"/>
    </xf>
    <xf numFmtId="0" fontId="275" fillId="0" borderId="0" applyFill="0" applyBorder="0" applyProtection="0">
      <alignment horizontal="left"/>
    </xf>
    <xf numFmtId="0" fontId="190" fillId="0" borderId="206" applyFill="0" applyBorder="0" applyProtection="0">
      <alignment horizontal="left" vertical="top"/>
    </xf>
    <xf numFmtId="0" fontId="276" fillId="0" borderId="0">
      <alignment horizontal="centerContinuous"/>
    </xf>
    <xf numFmtId="1" fontId="234" fillId="0" borderId="0"/>
    <xf numFmtId="49" fontId="25" fillId="0" borderId="0" applyFill="0" applyBorder="0" applyAlignment="0"/>
    <xf numFmtId="289" fontId="25" fillId="0" borderId="0" applyFill="0" applyBorder="0" applyAlignment="0"/>
    <xf numFmtId="0" fontId="32" fillId="0" borderId="0" applyFill="0" applyBorder="0" applyAlignment="0"/>
    <xf numFmtId="290" fontId="25" fillId="0" borderId="0" applyFill="0" applyBorder="0" applyAlignment="0"/>
    <xf numFmtId="0" fontId="32" fillId="0" borderId="0" applyFill="0" applyBorder="0" applyAlignment="0"/>
    <xf numFmtId="0" fontId="277" fillId="0" borderId="0" applyFill="0" applyBorder="0" applyAlignment="0" applyProtection="0">
      <alignment horizontal="right"/>
    </xf>
    <xf numFmtId="0" fontId="156" fillId="0" borderId="0"/>
    <xf numFmtId="0" fontId="92" fillId="0" borderId="0"/>
    <xf numFmtId="0" fontId="92" fillId="0" borderId="0"/>
    <xf numFmtId="291" fontId="32" fillId="0" borderId="0" applyFont="0" applyFill="0" applyBorder="0" applyAlignment="0" applyProtection="0"/>
    <xf numFmtId="0" fontId="278" fillId="0" borderId="0" applyFill="0" applyBorder="0" applyProtection="0">
      <alignment horizontal="left" vertical="top"/>
    </xf>
    <xf numFmtId="18" fontId="111" fillId="0" borderId="0" applyFill="0" applyProtection="0">
      <alignment horizontal="center"/>
    </xf>
    <xf numFmtId="0" fontId="32" fillId="0" borderId="0" applyFont="0" applyFill="0" applyBorder="0" applyAlignment="0" applyProtection="0">
      <alignment horizontal="right"/>
    </xf>
    <xf numFmtId="0" fontId="84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40" fontId="279" fillId="0" borderId="0"/>
    <xf numFmtId="0" fontId="280" fillId="0" borderId="0">
      <alignment horizontal="center"/>
    </xf>
    <xf numFmtId="0" fontId="281" fillId="0" borderId="0" applyFill="0" applyBorder="0" applyProtection="0">
      <alignment horizontal="centerContinuous" vertical="center"/>
    </xf>
    <xf numFmtId="0" fontId="63" fillId="94" borderId="0" applyFill="0" applyBorder="0" applyProtection="0">
      <alignment horizontal="center" vertical="center"/>
    </xf>
    <xf numFmtId="0" fontId="207" fillId="0" borderId="0">
      <alignment horizontal="center"/>
    </xf>
    <xf numFmtId="0" fontId="131" fillId="0" borderId="0">
      <alignment horizontal="center"/>
    </xf>
    <xf numFmtId="0" fontId="67" fillId="0" borderId="49">
      <protection locked="0"/>
    </xf>
    <xf numFmtId="0" fontId="32" fillId="0" borderId="207" applyNumberFormat="0" applyFont="0" applyFill="0" applyAlignment="0" applyProtection="0"/>
    <xf numFmtId="245" fontId="54" fillId="0" borderId="49">
      <protection locked="0"/>
    </xf>
    <xf numFmtId="0" fontId="282" fillId="0" borderId="0" applyNumberFormat="0" applyFill="0" applyBorder="0" applyAlignment="0" applyProtection="0">
      <alignment horizontal="left"/>
    </xf>
    <xf numFmtId="0" fontId="283" fillId="0" borderId="0" applyNumberFormat="0" applyFill="0" applyBorder="0" applyAlignment="0" applyProtection="0">
      <alignment horizontal="left"/>
    </xf>
    <xf numFmtId="0" fontId="125" fillId="0" borderId="0" applyNumberFormat="0" applyFill="0" applyBorder="0" applyAlignment="0" applyProtection="0">
      <alignment horizontal="left"/>
    </xf>
    <xf numFmtId="0" fontId="284" fillId="0" borderId="0" applyNumberFormat="0" applyFill="0" applyBorder="0" applyAlignment="0" applyProtection="0">
      <alignment horizontal="left"/>
    </xf>
    <xf numFmtId="0" fontId="285" fillId="0" borderId="0" applyNumberFormat="0" applyFill="0" applyBorder="0" applyAlignment="0" applyProtection="0">
      <alignment horizontal="left"/>
    </xf>
    <xf numFmtId="0" fontId="89" fillId="0" borderId="0" applyNumberFormat="0" applyFill="0" applyBorder="0" applyAlignment="0" applyProtection="0">
      <alignment horizontal="left"/>
    </xf>
    <xf numFmtId="0" fontId="32" fillId="0" borderId="0" applyNumberFormat="0" applyFill="0" applyBorder="0" applyAlignment="0" applyProtection="0">
      <alignment horizontal="left"/>
    </xf>
    <xf numFmtId="0" fontId="286" fillId="0" borderId="0">
      <alignment horizontal="left"/>
    </xf>
    <xf numFmtId="0" fontId="56" fillId="0" borderId="0" applyNumberFormat="0" applyFill="0" applyBorder="0" applyAlignment="0" applyProtection="0">
      <alignment horizontal="left"/>
    </xf>
    <xf numFmtId="0" fontId="32" fillId="63" borderId="0" applyNumberFormat="0" applyFont="0" applyBorder="0" applyAlignment="0" applyProtection="0"/>
    <xf numFmtId="38" fontId="178" fillId="0" borderId="208" applyNumberFormat="0" applyFont="0" applyFill="0" applyAlignment="0">
      <alignment horizontal="left" indent="3"/>
    </xf>
    <xf numFmtId="209" fontId="32" fillId="0" borderId="0" applyFont="0" applyFill="0" applyBorder="0" applyAlignment="0" applyProtection="0"/>
    <xf numFmtId="292" fontId="32" fillId="0" borderId="0" applyFont="0" applyFill="0" applyBorder="0" applyAlignment="0" applyProtection="0"/>
    <xf numFmtId="41" fontId="54" fillId="0" borderId="0" applyFont="0" applyFill="0" applyBorder="0" applyAlignment="0" applyProtection="0"/>
    <xf numFmtId="38" fontId="76" fillId="0" borderId="86" applyNumberFormat="0" applyFont="0" applyFill="0" applyAlignment="0" applyProtection="0"/>
    <xf numFmtId="38" fontId="163" fillId="0" borderId="0" applyNumberFormat="0" applyAlignment="0" applyProtection="0"/>
    <xf numFmtId="0" fontId="32" fillId="0" borderId="86" applyNumberFormat="0" applyFont="0" applyFill="0" applyAlignment="0" applyProtection="0"/>
    <xf numFmtId="0" fontId="32" fillId="0" borderId="56" applyNumberFormat="0" applyFont="0" applyFill="0" applyAlignment="0" applyProtection="0"/>
    <xf numFmtId="0" fontId="32" fillId="0" borderId="0">
      <alignment vertical="center"/>
    </xf>
    <xf numFmtId="37" fontId="76" fillId="0" borderId="0"/>
    <xf numFmtId="9" fontId="287" fillId="0" borderId="0" applyNumberFormat="0" applyFill="0" applyBorder="0" applyAlignment="0">
      <protection locked="0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93" fontId="32" fillId="0" borderId="0" applyFont="0" applyFill="0" applyBorder="0" applyAlignment="0" applyProtection="0"/>
    <xf numFmtId="294" fontId="32" fillId="0" borderId="0" applyFont="0" applyFill="0" applyBorder="0" applyAlignment="0" applyProtection="0"/>
    <xf numFmtId="0" fontId="32" fillId="0" borderId="0">
      <alignment horizontal="center" textRotation="180"/>
    </xf>
    <xf numFmtId="295" fontId="10" fillId="0" borderId="0" applyFont="0" applyFill="0" applyBorder="0" applyAlignment="0" applyProtection="0"/>
    <xf numFmtId="296" fontId="10" fillId="0" borderId="0" applyFont="0" applyFill="0" applyBorder="0" applyAlignment="0" applyProtection="0"/>
    <xf numFmtId="297" fontId="57" fillId="0" borderId="0" applyFont="0" applyFill="0" applyBorder="0" applyAlignment="0" applyProtection="0"/>
    <xf numFmtId="298" fontId="54" fillId="0" borderId="0" applyFont="0" applyFill="0" applyBorder="0" applyAlignment="0" applyProtection="0"/>
    <xf numFmtId="295" fontId="10" fillId="0" borderId="0" applyFont="0" applyFill="0" applyBorder="0" applyAlignment="0" applyProtection="0"/>
    <xf numFmtId="296" fontId="10" fillId="0" borderId="0" applyFont="0" applyFill="0" applyBorder="0" applyAlignment="0" applyProtection="0"/>
    <xf numFmtId="0" fontId="288" fillId="0" borderId="0" applyNumberFormat="0" applyFill="0" applyBorder="0" applyAlignment="0" applyProtection="0">
      <alignment vertical="center"/>
    </xf>
    <xf numFmtId="0" fontId="191" fillId="0" borderId="0" applyNumberFormat="0" applyFont="0" applyFill="0" applyBorder="0" applyProtection="0">
      <alignment horizontal="center" vertical="center" wrapText="1"/>
    </xf>
    <xf numFmtId="0" fontId="247" fillId="0" borderId="0" applyFont="0" applyFill="0" applyBorder="0" applyAlignment="0" applyProtection="0"/>
    <xf numFmtId="299" fontId="247" fillId="0" borderId="0" applyFont="0" applyFill="0" applyBorder="0" applyAlignment="0" applyProtection="0"/>
    <xf numFmtId="0" fontId="247" fillId="0" borderId="0" applyFont="0" applyFill="0" applyBorder="0" applyAlignment="0" applyProtection="0"/>
    <xf numFmtId="0" fontId="247" fillId="0" borderId="0" applyFont="0" applyFill="0" applyBorder="0" applyAlignment="0" applyProtection="0"/>
    <xf numFmtId="0" fontId="247" fillId="0" borderId="0" applyFont="0" applyFill="0" applyBorder="0" applyAlignment="0" applyProtection="0"/>
    <xf numFmtId="299" fontId="247" fillId="0" borderId="0" applyFont="0" applyFill="0" applyBorder="0" applyAlignment="0" applyProtection="0"/>
    <xf numFmtId="299" fontId="247" fillId="0" borderId="0" applyFont="0" applyFill="0" applyBorder="0" applyAlignment="0" applyProtection="0"/>
    <xf numFmtId="0" fontId="247" fillId="0" borderId="0" applyFont="0" applyFill="0" applyBorder="0" applyAlignment="0" applyProtection="0"/>
    <xf numFmtId="0" fontId="247" fillId="0" borderId="0" applyFont="0" applyFill="0" applyBorder="0" applyAlignment="0" applyProtection="0"/>
    <xf numFmtId="0" fontId="247" fillId="0" borderId="0" applyFont="0" applyFill="0" applyBorder="0" applyAlignment="0" applyProtection="0"/>
    <xf numFmtId="299" fontId="247" fillId="0" borderId="0" applyFont="0" applyFill="0" applyBorder="0" applyAlignment="0" applyProtection="0"/>
    <xf numFmtId="0" fontId="247" fillId="0" borderId="0" applyFont="0" applyFill="0" applyBorder="0" applyAlignment="0" applyProtection="0"/>
    <xf numFmtId="0" fontId="247" fillId="0" borderId="0" applyFont="0" applyFill="0" applyBorder="0" applyAlignment="0" applyProtection="0"/>
    <xf numFmtId="0" fontId="289" fillId="0" borderId="0" applyNumberFormat="0" applyFill="0" applyBorder="0" applyAlignment="0" applyProtection="0"/>
    <xf numFmtId="205" fontId="54" fillId="0" borderId="0" applyFont="0" applyFill="0" applyBorder="0" applyAlignment="0" applyProtection="0"/>
    <xf numFmtId="0" fontId="32" fillId="0" borderId="0" applyFont="0" applyFill="0" applyBorder="0" applyAlignment="0"/>
    <xf numFmtId="38" fontId="76" fillId="0" borderId="0"/>
    <xf numFmtId="218" fontId="138" fillId="0" borderId="0" applyFont="0" applyFill="0" applyBorder="0" applyAlignment="0" applyProtection="0"/>
    <xf numFmtId="0" fontId="290" fillId="0" borderId="0" applyNumberFormat="0" applyFill="0" applyBorder="0" applyAlignment="0" applyProtection="0">
      <alignment vertical="top"/>
      <protection locked="0"/>
    </xf>
    <xf numFmtId="0" fontId="291" fillId="0" borderId="0" applyNumberFormat="0" applyFill="0" applyBorder="0" applyAlignment="0" applyProtection="0">
      <alignment vertical="top"/>
      <protection locked="0"/>
    </xf>
    <xf numFmtId="0" fontId="292" fillId="0" borderId="0"/>
    <xf numFmtId="0" fontId="56" fillId="0" borderId="0"/>
    <xf numFmtId="0" fontId="63" fillId="0" borderId="0"/>
    <xf numFmtId="9" fontId="54" fillId="0" borderId="0" applyFont="0" applyFill="0" applyBorder="0" applyAlignment="0" applyProtection="0"/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7" fillId="85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7" fillId="85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7" fillId="86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7" fillId="86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7" fillId="8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7" fillId="8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47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7" fillId="82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7" fillId="82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1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7" fillId="83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7" fillId="83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5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7" fillId="88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7" fillId="88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38" fontId="63" fillId="0" borderId="0"/>
    <xf numFmtId="14" fontId="293" fillId="0" borderId="0">
      <alignment horizont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7" fillId="70" borderId="185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7" fillId="70" borderId="185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0" fontId="296" fillId="37" borderId="173" applyNumberFormat="0" applyAlignment="0" applyProtection="0">
      <alignment vertical="center"/>
    </xf>
    <xf numFmtId="3" fontId="298" fillId="0" borderId="0">
      <alignment horizontal="left" wrapText="1"/>
    </xf>
    <xf numFmtId="0" fontId="54" fillId="0" borderId="0">
      <protection locked="0"/>
    </xf>
    <xf numFmtId="2" fontId="299" fillId="0" borderId="0" applyFont="0" applyFill="0" applyBorder="0" applyAlignment="0" applyProtection="0"/>
    <xf numFmtId="0" fontId="182" fillId="0" borderId="0">
      <protection locked="0"/>
    </xf>
    <xf numFmtId="0" fontId="300" fillId="0" borderId="0" applyNumberFormat="0" applyFill="0" applyBorder="0" applyAlignment="0" applyProtection="0"/>
    <xf numFmtId="0" fontId="182" fillId="0" borderId="0">
      <protection locked="0"/>
    </xf>
    <xf numFmtId="0" fontId="301" fillId="0" borderId="0" applyNumberFormat="0" applyFill="0" applyBorder="0" applyAlignment="0" applyProtection="0"/>
    <xf numFmtId="300" fontId="54" fillId="0" borderId="0"/>
    <xf numFmtId="301" fontId="298" fillId="0" borderId="0">
      <alignment horizontal="right"/>
    </xf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0" fontId="302" fillId="0" borderId="0"/>
    <xf numFmtId="0" fontId="54" fillId="0" borderId="0"/>
    <xf numFmtId="302" fontId="92" fillId="0" borderId="122">
      <alignment horizontal="right" vertical="center"/>
    </xf>
    <xf numFmtId="303" fontId="303" fillId="91" borderId="193" applyFont="0" applyFill="0" applyBorder="0" applyProtection="0">
      <alignment horizontal="right" vertical="center" shrinkToFit="1"/>
    </xf>
    <xf numFmtId="0" fontId="304" fillId="0" borderId="0" applyNumberFormat="0" applyFill="0" applyBorder="0" applyAlignment="0" applyProtection="0">
      <alignment vertical="top"/>
      <protection locked="0"/>
    </xf>
    <xf numFmtId="38" fontId="83" fillId="0" borderId="0"/>
    <xf numFmtId="0" fontId="305" fillId="0" borderId="0" applyNumberFormat="0" applyFill="0" applyBorder="0" applyProtection="0">
      <alignment vertical="center"/>
    </xf>
    <xf numFmtId="304" fontId="10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7" fillId="72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7" fillId="72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0" fontId="306" fillId="34" borderId="0" applyNumberFormat="0" applyBorder="0" applyAlignment="0" applyProtection="0">
      <alignment vertical="center"/>
    </xf>
    <xf numFmtId="3" fontId="298" fillId="0" borderId="0">
      <alignment horizontal="left"/>
    </xf>
    <xf numFmtId="0" fontId="67" fillId="0" borderId="0">
      <protection locked="0"/>
    </xf>
    <xf numFmtId="14" fontId="125" fillId="0" borderId="0" applyFill="0" applyBorder="0" applyProtection="0">
      <alignment horizontal="center" vertical="center"/>
    </xf>
    <xf numFmtId="0" fontId="299" fillId="0" borderId="0" applyFont="0" applyFill="0" applyBorder="0" applyAlignment="0" applyProtection="0"/>
    <xf numFmtId="0" fontId="308" fillId="0" borderId="0" applyFill="0" applyBorder="0" applyProtection="0">
      <alignment vertical="center"/>
    </xf>
    <xf numFmtId="0" fontId="54" fillId="106" borderId="0">
      <alignment horizontal="left"/>
    </xf>
    <xf numFmtId="0" fontId="67" fillId="0" borderId="0">
      <protection locked="0"/>
    </xf>
    <xf numFmtId="0" fontId="299" fillId="0" borderId="0" applyFont="0" applyFill="0" applyBorder="0" applyAlignment="0" applyProtection="0"/>
    <xf numFmtId="0" fontId="309" fillId="0" borderId="0" applyNumberFormat="0" applyFill="0" applyBorder="0" applyAlignment="0" applyProtection="0">
      <alignment vertical="top"/>
      <protection locked="0"/>
    </xf>
    <xf numFmtId="43" fontId="32" fillId="0" borderId="0" applyFont="0" applyFill="0" applyBorder="0" applyAlignment="0" applyProtection="0"/>
    <xf numFmtId="305" fontId="10" fillId="0" borderId="0" applyFont="0" applyFill="0" applyBorder="0" applyAlignment="0" applyProtection="0"/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2" fillId="99" borderId="19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2" fillId="99" borderId="19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3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101" fillId="30" borderId="125" applyNumberFormat="0" applyFont="0" applyAlignment="0" applyProtection="0">
      <alignment vertical="center"/>
    </xf>
    <xf numFmtId="0" fontId="310" fillId="0" borderId="0" applyFont="0" applyFill="0" applyBorder="0" applyAlignment="0" applyProtection="0"/>
    <xf numFmtId="0" fontId="310" fillId="0" borderId="0" applyFont="0" applyFill="0" applyBorder="0" applyAlignment="0" applyProtection="0"/>
    <xf numFmtId="296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54" fillId="0" borderId="0"/>
    <xf numFmtId="0" fontId="311" fillId="0" borderId="0"/>
    <xf numFmtId="306" fontId="54" fillId="0" borderId="0"/>
    <xf numFmtId="0" fontId="60" fillId="0" borderId="209" applyFont="0" applyFill="0" applyBorder="0" applyAlignment="0" applyProtection="0"/>
    <xf numFmtId="0" fontId="60" fillId="0" borderId="209" applyFont="0" applyFill="0" applyBorder="0" applyAlignment="0" applyProtection="0"/>
    <xf numFmtId="0" fontId="60" fillId="0" borderId="209" applyFont="0" applyFill="0" applyBorder="0" applyAlignment="0" applyProtection="0"/>
    <xf numFmtId="9" fontId="83" fillId="94" borderId="0" applyFill="0" applyBorder="0" applyProtection="0">
      <alignment horizontal="right"/>
    </xf>
    <xf numFmtId="10" fontId="83" fillId="0" borderId="0" applyFill="0" applyBorder="0" applyProtection="0">
      <alignment horizontal="right"/>
    </xf>
    <xf numFmtId="9" fontId="1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12" fillId="0" borderId="0" applyFont="0" applyFill="0" applyBorder="0" applyAlignment="0" applyProtection="0">
      <alignment vertical="center"/>
    </xf>
    <xf numFmtId="9" fontId="313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12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10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256" fontId="125" fillId="0" borderId="210" applyFill="0" applyBorder="0" applyProtection="0">
      <alignment vertical="center"/>
    </xf>
    <xf numFmtId="0" fontId="314" fillId="107" borderId="0" applyFill="0">
      <alignment vertical="center"/>
    </xf>
    <xf numFmtId="307" fontId="24" fillId="0" borderId="0">
      <alignment vertical="center"/>
    </xf>
    <xf numFmtId="0" fontId="315" fillId="0" borderId="0" applyNumberFormat="0" applyFill="0" applyBorder="0" applyProtection="0">
      <alignment horizontal="centerContinuous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7" fillId="98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7" fillId="98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16" fillId="35" borderId="0" applyNumberFormat="0" applyBorder="0" applyAlignment="0" applyProtection="0">
      <alignment vertical="center"/>
    </xf>
    <xf numFmtId="0" fontId="316" fillId="35" borderId="0" applyNumberFormat="0" applyBorder="0" applyAlignment="0" applyProtection="0">
      <alignment vertical="center"/>
    </xf>
    <xf numFmtId="0" fontId="32" fillId="0" borderId="0"/>
    <xf numFmtId="0" fontId="318" fillId="0" borderId="0"/>
    <xf numFmtId="0" fontId="319" fillId="0" borderId="0"/>
    <xf numFmtId="0" fontId="319" fillId="0" borderId="0"/>
    <xf numFmtId="308" fontId="10" fillId="108" borderId="122" applyNumberFormat="0">
      <alignment vertical="center"/>
    </xf>
    <xf numFmtId="308" fontId="10" fillId="108" borderId="122" applyNumberFormat="0">
      <alignment vertical="center"/>
    </xf>
    <xf numFmtId="308" fontId="10" fillId="0" borderId="122">
      <alignment vertical="center"/>
    </xf>
    <xf numFmtId="308" fontId="10" fillId="0" borderId="122">
      <alignment vertical="center"/>
    </xf>
    <xf numFmtId="0" fontId="320" fillId="0" borderId="0"/>
    <xf numFmtId="0" fontId="321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22" fillId="0" borderId="0" applyFont="0" applyFill="0" applyBorder="0" applyAlignment="0" applyProtection="0"/>
    <xf numFmtId="0" fontId="322" fillId="0" borderId="0" applyFont="0" applyFill="0" applyBorder="0" applyAlignment="0" applyProtection="0"/>
    <xf numFmtId="37" fontId="60" fillId="0" borderId="205" applyAlignment="0"/>
    <xf numFmtId="0" fontId="60" fillId="0" borderId="205" applyAlignment="0"/>
    <xf numFmtId="0" fontId="323" fillId="0" borderId="122" applyNumberFormat="0" applyFont="0" applyFill="0" applyBorder="0" applyProtection="0">
      <alignment horizontal="centerContinuous" vertical="center"/>
    </xf>
    <xf numFmtId="3" fontId="171" fillId="0" borderId="122"/>
    <xf numFmtId="0" fontId="171" fillId="0" borderId="122"/>
    <xf numFmtId="3" fontId="171" fillId="0" borderId="211"/>
    <xf numFmtId="3" fontId="171" fillId="0" borderId="212"/>
    <xf numFmtId="0" fontId="324" fillId="0" borderId="122"/>
    <xf numFmtId="0" fontId="325" fillId="0" borderId="0">
      <alignment horizontal="center"/>
    </xf>
    <xf numFmtId="0" fontId="68" fillId="0" borderId="76">
      <alignment horizontal="center"/>
    </xf>
    <xf numFmtId="0" fontId="326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7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6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6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9" fillId="13" borderId="186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8" fillId="38" borderId="176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8" fillId="38" borderId="176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8" fillId="38" borderId="17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9" fillId="13" borderId="18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8" fillId="38" borderId="17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8" fillId="38" borderId="17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8" fillId="38" borderId="17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8" fillId="38" borderId="17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28" fillId="38" borderId="176" applyNumberFormat="0" applyAlignment="0" applyProtection="0">
      <alignment vertical="center"/>
    </xf>
    <xf numFmtId="0" fontId="328" fillId="38" borderId="176" applyNumberFormat="0" applyAlignment="0" applyProtection="0">
      <alignment vertical="center"/>
    </xf>
    <xf numFmtId="204" fontId="1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30" fillId="0" borderId="0">
      <alignment vertical="center"/>
    </xf>
    <xf numFmtId="0" fontId="54" fillId="0" borderId="0">
      <alignment vertical="center"/>
    </xf>
    <xf numFmtId="0" fontId="330" fillId="0" borderId="0">
      <alignment vertical="center"/>
    </xf>
    <xf numFmtId="304" fontId="10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0" fontId="101" fillId="0" borderId="0">
      <alignment vertical="center"/>
    </xf>
    <xf numFmtId="0" fontId="101" fillId="0" borderId="0">
      <alignment vertical="center"/>
    </xf>
    <xf numFmtId="41" fontId="103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41" fontId="103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331" fillId="0" borderId="0" applyFont="0" applyFill="0" applyBorder="0" applyAlignment="0" applyProtection="0">
      <alignment vertical="center"/>
    </xf>
    <xf numFmtId="41" fontId="103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312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313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309" fontId="54" fillId="0" borderId="0" applyFont="0" applyFill="0" applyBorder="0" applyAlignment="0" applyProtection="0"/>
    <xf numFmtId="41" fontId="312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53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41" fontId="10" fillId="0" borderId="0" applyFont="0" applyFill="0" applyBorder="0" applyAlignment="0" applyProtection="0"/>
    <xf numFmtId="41" fontId="323" fillId="0" borderId="0" applyFont="0" applyFill="0" applyBorder="0" applyAlignment="0" applyProtection="0"/>
    <xf numFmtId="309" fontId="54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309" fontId="54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1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332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1" fillId="0" borderId="0" applyFont="0" applyFill="0" applyBorder="0" applyAlignment="0" applyProtection="0">
      <alignment vertical="center"/>
    </xf>
    <xf numFmtId="43" fontId="101" fillId="0" borderId="0" applyFont="0" applyFill="0" applyBorder="0" applyAlignment="0" applyProtection="0"/>
    <xf numFmtId="43" fontId="101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199" fontId="60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101" fillId="0" borderId="0" applyFont="0" applyFill="0" applyBorder="0" applyAlignment="0" applyProtection="0"/>
    <xf numFmtId="0" fontId="32" fillId="0" borderId="0"/>
    <xf numFmtId="0" fontId="32" fillId="0" borderId="0" applyNumberFormat="0" applyFill="0" applyBorder="0" applyAlignment="0" applyProtection="0"/>
    <xf numFmtId="0" fontId="54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0" fillId="0" borderId="0"/>
    <xf numFmtId="0" fontId="6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0" fillId="0" borderId="0"/>
    <xf numFmtId="0" fontId="84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42" fontId="10" fillId="0" borderId="0" applyFont="0" applyFill="0" applyBorder="0" applyAlignment="0" applyProtection="0"/>
    <xf numFmtId="0" fontId="10" fillId="0" borderId="0"/>
    <xf numFmtId="0" fontId="54" fillId="0" borderId="0"/>
    <xf numFmtId="0" fontId="10" fillId="0" borderId="0"/>
    <xf numFmtId="0" fontId="54" fillId="0" borderId="0" applyFont="0" applyFill="0" applyBorder="0" applyAlignment="0" applyProtection="0"/>
    <xf numFmtId="0" fontId="10" fillId="0" borderId="0"/>
    <xf numFmtId="0" fontId="54" fillId="0" borderId="0" applyFont="0" applyFill="0" applyBorder="0" applyAlignment="0" applyProtection="0"/>
    <xf numFmtId="0" fontId="10" fillId="0" borderId="0"/>
    <xf numFmtId="0" fontId="54" fillId="0" borderId="0" applyFont="0" applyFill="0" applyBorder="0" applyAlignment="0" applyProtection="0"/>
    <xf numFmtId="0" fontId="10" fillId="0" borderId="0"/>
    <xf numFmtId="40" fontId="191" fillId="0" borderId="0" applyFont="0" applyFill="0" applyBorder="0" applyAlignment="0" applyProtection="0"/>
    <xf numFmtId="43" fontId="32" fillId="0" borderId="0" applyFont="0" applyFill="0" applyBorder="0" applyAlignment="0" applyProtection="0"/>
    <xf numFmtId="15" fontId="32" fillId="0" borderId="0"/>
    <xf numFmtId="0" fontId="84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33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2" fillId="0" borderId="0" applyFont="0" applyFill="0" applyBorder="0" applyAlignment="0" applyProtection="0"/>
    <xf numFmtId="0" fontId="333" fillId="0" borderId="0" applyFont="0" applyFill="0" applyBorder="0" applyAlignment="0" applyProtection="0"/>
    <xf numFmtId="0" fontId="8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8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5" fillId="0" borderId="0">
      <alignment vertical="center"/>
    </xf>
    <xf numFmtId="0" fontId="54" fillId="0" borderId="0" applyFont="0" applyFill="0" applyBorder="0" applyAlignment="0" applyProtection="0"/>
    <xf numFmtId="0" fontId="334" fillId="0" borderId="181"/>
    <xf numFmtId="310" fontId="54" fillId="0" borderId="0"/>
    <xf numFmtId="311" fontId="54" fillId="0" borderId="0"/>
    <xf numFmtId="0" fontId="335" fillId="0" borderId="175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36" fillId="0" borderId="199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35" fillId="0" borderId="175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35" fillId="0" borderId="175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35" fillId="0" borderId="175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36" fillId="0" borderId="199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35" fillId="0" borderId="175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35" fillId="0" borderId="175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35" fillId="0" borderId="175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35" fillId="0" borderId="175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35" fillId="0" borderId="175" applyNumberFormat="0" applyFill="0" applyAlignment="0" applyProtection="0">
      <alignment vertical="center"/>
    </xf>
    <xf numFmtId="0" fontId="335" fillId="0" borderId="175" applyNumberFormat="0" applyFill="0" applyAlignment="0" applyProtection="0">
      <alignment vertical="center"/>
    </xf>
    <xf numFmtId="312" fontId="54" fillId="0" borderId="0"/>
    <xf numFmtId="0" fontId="337" fillId="0" borderId="0" applyNumberFormat="0" applyFill="0" applyBorder="0" applyAlignment="0" applyProtection="0">
      <alignment vertical="top"/>
      <protection locked="0"/>
    </xf>
    <xf numFmtId="313" fontId="338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302" fillId="0" borderId="0"/>
    <xf numFmtId="9" fontId="339" fillId="109" borderId="0" applyBorder="0" applyAlignment="0" applyProtection="0">
      <alignment horizontal="center"/>
    </xf>
    <xf numFmtId="0" fontId="322" fillId="0" borderId="0" applyFont="0" applyFill="0" applyBorder="0" applyAlignment="0" applyProtection="0"/>
    <xf numFmtId="0" fontId="322" fillId="0" borderId="0" applyFont="0" applyFill="0" applyBorder="0" applyAlignment="0" applyProtection="0"/>
    <xf numFmtId="0" fontId="340" fillId="0" borderId="126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1" fillId="0" borderId="213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0" fillId="0" borderId="126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0" fillId="0" borderId="126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0" fillId="0" borderId="126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1" fillId="0" borderId="213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0" fillId="0" borderId="126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0" fillId="0" borderId="126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0" fillId="0" borderId="126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0" fillId="0" borderId="126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0" fillId="0" borderId="126" applyNumberFormat="0" applyFill="0" applyAlignment="0" applyProtection="0">
      <alignment vertical="center"/>
    </xf>
    <xf numFmtId="0" fontId="340" fillId="0" borderId="126" applyNumberFormat="0" applyFill="0" applyAlignment="0" applyProtection="0">
      <alignment vertical="center"/>
    </xf>
    <xf numFmtId="314" fontId="10" fillId="0" borderId="0" applyFont="0" applyFill="0" applyBorder="0" applyAlignment="0" applyProtection="0"/>
    <xf numFmtId="314" fontId="10" fillId="0" borderId="0" applyFont="0" applyFill="0" applyBorder="0" applyAlignment="0" applyProtection="0"/>
    <xf numFmtId="315" fontId="10" fillId="0" borderId="0" applyFont="0" applyFill="0" applyBorder="0" applyAlignment="0" applyProtection="0"/>
    <xf numFmtId="316" fontId="54" fillId="0" borderId="0" applyFont="0" applyFill="0" applyBorder="0" applyAlignment="0" applyProtection="0"/>
    <xf numFmtId="317" fontId="10" fillId="0" borderId="0" applyFont="0" applyFill="0" applyBorder="0" applyAlignment="0" applyProtection="0"/>
    <xf numFmtId="318" fontId="342" fillId="0" borderId="0" applyFont="0" applyFill="0" applyBorder="0" applyAlignment="0" applyProtection="0"/>
    <xf numFmtId="319" fontId="10" fillId="0" borderId="0" applyFont="0" applyFill="0" applyBorder="0" applyAlignment="0" applyProtection="0"/>
    <xf numFmtId="320" fontId="10" fillId="0" borderId="0" applyFont="0" applyFill="0" applyBorder="0" applyAlignment="0" applyProtection="0"/>
    <xf numFmtId="321" fontId="10" fillId="0" borderId="0" applyFill="0" applyAlignment="0" applyProtection="0"/>
    <xf numFmtId="321" fontId="10" fillId="0" borderId="0" applyFill="0" applyAlignment="0" applyProtection="0"/>
    <xf numFmtId="321" fontId="10" fillId="0" borderId="0" applyFill="0" applyAlignment="0" applyProtection="0"/>
    <xf numFmtId="0" fontId="342" fillId="0" borderId="0" applyFont="0" applyFill="0" applyBorder="0" applyAlignment="0" applyProtection="0"/>
    <xf numFmtId="318" fontId="342" fillId="0" borderId="0" applyFont="0" applyFill="0" applyBorder="0" applyAlignment="0" applyProtection="0"/>
    <xf numFmtId="322" fontId="10" fillId="0" borderId="0" applyFont="0" applyFill="0" applyBorder="0" applyAlignment="0" applyProtection="0"/>
    <xf numFmtId="318" fontId="342" fillId="0" borderId="0" applyFont="0" applyFill="0" applyBorder="0" applyAlignment="0" applyProtection="0"/>
    <xf numFmtId="318" fontId="342" fillId="0" borderId="0" applyFont="0" applyFill="0" applyBorder="0" applyAlignment="0" applyProtection="0"/>
    <xf numFmtId="318" fontId="342" fillId="0" borderId="0" applyFont="0" applyFill="0" applyBorder="0" applyAlignment="0" applyProtection="0"/>
    <xf numFmtId="323" fontId="66" fillId="0" borderId="0" applyFill="0" applyBorder="0" applyProtection="0">
      <alignment horizontal="right"/>
    </xf>
    <xf numFmtId="0" fontId="76" fillId="0" borderId="0" applyBorder="0" applyAlignment="0">
      <alignment horizontal="right"/>
    </xf>
    <xf numFmtId="0" fontId="60" fillId="0" borderId="214">
      <alignment vertical="justify" wrapText="1"/>
    </xf>
    <xf numFmtId="0" fontId="60" fillId="0" borderId="214">
      <alignment vertical="justify" wrapText="1"/>
    </xf>
    <xf numFmtId="0" fontId="60" fillId="0" borderId="214">
      <alignment vertical="justify" wrapText="1"/>
    </xf>
    <xf numFmtId="0" fontId="62" fillId="0" borderId="0"/>
    <xf numFmtId="0" fontId="54" fillId="0" borderId="0"/>
    <xf numFmtId="317" fontId="54" fillId="0" borderId="0" applyFill="0" applyBorder="0" applyAlignment="0" applyProtection="0"/>
    <xf numFmtId="324" fontId="54" fillId="0" borderId="122" applyFont="0" applyFill="0" applyBorder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4" fillId="76" borderId="185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3" fillId="36" borderId="173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3" fillId="36" borderId="173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3" fillId="36" borderId="173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4" fillId="76" borderId="185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3" fillId="36" borderId="173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3" fillId="36" borderId="173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3" fillId="36" borderId="173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3" fillId="36" borderId="173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3" fillId="36" borderId="173" applyNumberFormat="0" applyAlignment="0" applyProtection="0">
      <alignment vertical="center"/>
    </xf>
    <xf numFmtId="0" fontId="343" fillId="36" borderId="173" applyNumberFormat="0" applyAlignment="0" applyProtection="0">
      <alignment vertical="center"/>
    </xf>
    <xf numFmtId="4" fontId="67" fillId="0" borderId="0">
      <protection locked="0"/>
    </xf>
    <xf numFmtId="4" fontId="299" fillId="0" borderId="0" applyFont="0" applyFill="0" applyBorder="0" applyAlignment="0" applyProtection="0"/>
    <xf numFmtId="0" fontId="54" fillId="0" borderId="0">
      <protection locked="0"/>
    </xf>
    <xf numFmtId="3" fontId="299" fillId="0" borderId="0" applyFont="0" applyFill="0" applyBorder="0" applyAlignment="0" applyProtection="0"/>
    <xf numFmtId="325" fontId="54" fillId="0" borderId="0">
      <alignment horizontal="center" vertical="center"/>
    </xf>
    <xf numFmtId="326" fontId="54" fillId="0" borderId="0"/>
    <xf numFmtId="327" fontId="54" fillId="0" borderId="0"/>
    <xf numFmtId="0" fontId="345" fillId="0" borderId="170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6" fillId="0" borderId="215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5" fillId="0" borderId="170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5" fillId="0" borderId="170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5" fillId="0" borderId="170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6" fillId="0" borderId="215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5" fillId="0" borderId="170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5" fillId="0" borderId="170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5" fillId="0" borderId="170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5" fillId="0" borderId="170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5" fillId="0" borderId="170" applyNumberFormat="0" applyFill="0" applyAlignment="0" applyProtection="0">
      <alignment vertical="center"/>
    </xf>
    <xf numFmtId="0" fontId="345" fillId="0" borderId="170" applyNumberFormat="0" applyFill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8" fillId="0" borderId="171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9" fillId="0" borderId="216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8" fillId="0" borderId="171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8" fillId="0" borderId="171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8" fillId="0" borderId="171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9" fillId="0" borderId="216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8" fillId="0" borderId="171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8" fillId="0" borderId="171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8" fillId="0" borderId="171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8" fillId="0" borderId="171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8" fillId="0" borderId="171" applyNumberFormat="0" applyFill="0" applyAlignment="0" applyProtection="0">
      <alignment vertical="center"/>
    </xf>
    <xf numFmtId="0" fontId="348" fillId="0" borderId="171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172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1" fillId="0" borderId="197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172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172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172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1" fillId="0" borderId="197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172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172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172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172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172" applyNumberFormat="0" applyFill="0" applyAlignment="0" applyProtection="0">
      <alignment vertical="center"/>
    </xf>
    <xf numFmtId="0" fontId="350" fillId="0" borderId="172" applyNumberFormat="0" applyFill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1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0" fillId="0" borderId="0" applyNumberFormat="0" applyFill="0" applyBorder="0" applyAlignment="0" applyProtection="0">
      <alignment vertical="center"/>
    </xf>
    <xf numFmtId="0" fontId="350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2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7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7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2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7" fillId="0" borderId="0" applyNumberFormat="0" applyFill="0" applyBorder="0" applyAlignment="0" applyProtection="0">
      <alignment vertical="center"/>
    </xf>
    <xf numFmtId="0" fontId="347" fillId="0" borderId="0" applyNumberFormat="0" applyFill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3" fillId="0" borderId="0" applyFill="0" applyBorder="0" applyProtection="0">
      <alignment vertical="center"/>
    </xf>
    <xf numFmtId="0" fontId="354" fillId="0" borderId="0"/>
    <xf numFmtId="328" fontId="54" fillId="0" borderId="122">
      <alignment horizontal="left" vertical="center"/>
    </xf>
    <xf numFmtId="0" fontId="10" fillId="0" borderId="0" applyFont="0" applyFill="0" applyBorder="0" applyAlignment="0" applyProtection="0"/>
    <xf numFmtId="329" fontId="32" fillId="0" borderId="0" applyFill="0" applyBorder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6" fillId="73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5" fillId="33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5" fillId="33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5" fillId="3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6" fillId="7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5" fillId="3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5" fillId="3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5" fillId="3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5" fillId="3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5" fillId="33" borderId="0" applyNumberFormat="0" applyBorder="0" applyAlignment="0" applyProtection="0">
      <alignment vertical="center"/>
    </xf>
    <xf numFmtId="0" fontId="355" fillId="33" borderId="0" applyNumberFormat="0" applyBorder="0" applyAlignment="0" applyProtection="0">
      <alignment vertical="center"/>
    </xf>
    <xf numFmtId="0" fontId="54" fillId="0" borderId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330" fontId="62" fillId="0" borderId="0">
      <alignment horizontal="right" vertical="center"/>
    </xf>
    <xf numFmtId="0" fontId="54" fillId="0" borderId="0"/>
    <xf numFmtId="41" fontId="79" fillId="0" borderId="0" applyFont="0" applyFill="0" applyBorder="0" applyAlignment="0" applyProtection="0"/>
    <xf numFmtId="43" fontId="79" fillId="0" borderId="0" applyFont="0" applyFill="0" applyBorder="0" applyAlignment="0" applyProtection="0"/>
    <xf numFmtId="40" fontId="57" fillId="0" borderId="0" applyFont="0" applyFill="0" applyBorder="0" applyAlignment="0" applyProtection="0"/>
    <xf numFmtId="43" fontId="79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08" fillId="0" borderId="0"/>
    <xf numFmtId="41" fontId="357" fillId="0" borderId="0" applyFont="0" applyFill="0" applyBorder="0" applyAlignment="0" applyProtection="0"/>
    <xf numFmtId="43" fontId="357" fillId="0" borderId="0" applyFont="0" applyFill="0" applyBorder="0" applyAlignment="0" applyProtection="0"/>
    <xf numFmtId="203" fontId="32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358" fillId="37" borderId="174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9" fillId="70" borderId="201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8" fillId="37" borderId="174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8" fillId="37" borderId="174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8" fillId="37" borderId="174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9" fillId="70" borderId="201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8" fillId="37" borderId="174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8" fillId="37" borderId="174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8" fillId="37" borderId="174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8" fillId="37" borderId="174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58" fillId="37" borderId="174" applyNumberFormat="0" applyAlignment="0" applyProtection="0">
      <alignment vertical="center"/>
    </xf>
    <xf numFmtId="0" fontId="358" fillId="37" borderId="174" applyNumberFormat="0" applyAlignment="0" applyProtection="0">
      <alignment vertical="center"/>
    </xf>
    <xf numFmtId="331" fontId="54" fillId="0" borderId="0"/>
    <xf numFmtId="0" fontId="60" fillId="0" borderId="0" applyFont="0" applyFill="0" applyBorder="0" applyAlignment="0" applyProtection="0"/>
    <xf numFmtId="203" fontId="92" fillId="0" borderId="0" applyFont="0" applyFill="0" applyBorder="0" applyAlignment="0" applyProtection="0"/>
    <xf numFmtId="203" fontId="9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332" fontId="32" fillId="0" borderId="0" applyFont="0" applyFill="0" applyBorder="0" applyAlignment="0" applyProtection="0"/>
    <xf numFmtId="0" fontId="36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32" fillId="0" borderId="0" applyFont="0" applyFill="0" applyBorder="0" applyAlignment="0" applyProtection="0"/>
    <xf numFmtId="203" fontId="10" fillId="0" borderId="49"/>
    <xf numFmtId="205" fontId="10" fillId="0" borderId="0"/>
    <xf numFmtId="203" fontId="10" fillId="0" borderId="0"/>
    <xf numFmtId="333" fontId="81" fillId="0" borderId="217">
      <alignment vertical="center"/>
    </xf>
    <xf numFmtId="334" fontId="54" fillId="94" borderId="0" applyFill="0" applyBorder="0" applyProtection="0">
      <alignment horizontal="right"/>
    </xf>
    <xf numFmtId="210" fontId="63" fillId="0" borderId="0" applyFont="0" applyFill="0" applyBorder="0" applyAlignment="0" applyProtection="0"/>
    <xf numFmtId="0" fontId="63" fillId="0" borderId="0"/>
    <xf numFmtId="0" fontId="54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361" fillId="0" borderId="0" applyFont="0" applyFill="0" applyBorder="0" applyAlignment="0" applyProtection="0"/>
    <xf numFmtId="335" fontId="79" fillId="0" borderId="0" applyFont="0" applyFill="0" applyBorder="0" applyAlignment="0" applyProtection="0"/>
    <xf numFmtId="336" fontId="79" fillId="0" borderId="0" applyFont="0" applyFill="0" applyBorder="0" applyAlignment="0" applyProtection="0"/>
    <xf numFmtId="0" fontId="362" fillId="110" borderId="0" applyBorder="0" applyAlignment="0" applyProtection="0"/>
    <xf numFmtId="0" fontId="363" fillId="0" borderId="0" applyNumberFormat="0" applyFill="0" applyBorder="0" applyAlignment="0" applyProtection="0">
      <alignment vertical="top"/>
      <protection locked="0"/>
    </xf>
    <xf numFmtId="0" fontId="364" fillId="0" borderId="184" applyNumberFormat="0" applyFont="0" applyFill="0" applyAlignment="0" applyProtection="0">
      <alignment vertical="center"/>
    </xf>
    <xf numFmtId="337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4" fillId="0" borderId="0"/>
    <xf numFmtId="42" fontId="10" fillId="0" borderId="0" applyFont="0" applyFill="0" applyBorder="0" applyAlignment="0" applyProtection="0"/>
    <xf numFmtId="0" fontId="298" fillId="0" borderId="0">
      <alignment vertical="center"/>
      <protection locked="0"/>
    </xf>
    <xf numFmtId="0" fontId="365" fillId="110" borderId="218"/>
    <xf numFmtId="41" fontId="10" fillId="0" borderId="177"/>
    <xf numFmtId="338" fontId="338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54" fillId="0" borderId="0">
      <protection locked="0"/>
    </xf>
    <xf numFmtId="10" fontId="299" fillId="0" borderId="0" applyFont="0" applyFill="0" applyBorder="0" applyAlignment="0" applyProtection="0"/>
    <xf numFmtId="49" fontId="366" fillId="111" borderId="0">
      <alignment horizontal="center" vertical="center"/>
    </xf>
    <xf numFmtId="0" fontId="367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2" fillId="0" borderId="0"/>
    <xf numFmtId="0" fontId="10" fillId="0" borderId="0">
      <alignment vertical="center"/>
    </xf>
    <xf numFmtId="0" fontId="32" fillId="0" borderId="0"/>
    <xf numFmtId="0" fontId="34" fillId="0" borderId="0">
      <alignment vertical="center"/>
    </xf>
    <xf numFmtId="0" fontId="368" fillId="0" borderId="0">
      <alignment vertical="center"/>
    </xf>
    <xf numFmtId="0" fontId="34" fillId="0" borderId="0">
      <alignment vertical="center"/>
    </xf>
    <xf numFmtId="0" fontId="368" fillId="0" borderId="0">
      <alignment vertical="center"/>
    </xf>
    <xf numFmtId="0" fontId="34" fillId="0" borderId="0">
      <alignment vertical="center"/>
    </xf>
    <xf numFmtId="0" fontId="36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3" fillId="0" borderId="0">
      <alignment vertical="center"/>
    </xf>
    <xf numFmtId="0" fontId="34" fillId="0" borderId="0">
      <alignment vertical="center"/>
    </xf>
    <xf numFmtId="0" fontId="53" fillId="0" borderId="0">
      <alignment vertical="center"/>
    </xf>
    <xf numFmtId="0" fontId="39" fillId="0" borderId="0">
      <alignment vertical="center"/>
    </xf>
    <xf numFmtId="0" fontId="370" fillId="0" borderId="0">
      <alignment vertical="center"/>
    </xf>
    <xf numFmtId="0" fontId="34" fillId="0" borderId="0">
      <alignment vertical="center"/>
    </xf>
    <xf numFmtId="0" fontId="369" fillId="0" borderId="0">
      <alignment vertical="center"/>
    </xf>
    <xf numFmtId="0" fontId="34" fillId="0" borderId="0">
      <alignment vertical="center"/>
    </xf>
    <xf numFmtId="0" fontId="36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9" fillId="0" borderId="0">
      <alignment vertical="center"/>
    </xf>
    <xf numFmtId="0" fontId="369" fillId="0" borderId="0">
      <alignment vertical="center"/>
    </xf>
    <xf numFmtId="0" fontId="34" fillId="0" borderId="0">
      <alignment vertical="center"/>
    </xf>
    <xf numFmtId="0" fontId="369" fillId="0" borderId="0">
      <alignment vertical="center"/>
    </xf>
    <xf numFmtId="0" fontId="34" fillId="0" borderId="0">
      <alignment vertical="center"/>
    </xf>
    <xf numFmtId="0" fontId="369" fillId="0" borderId="0">
      <alignment vertical="center"/>
    </xf>
    <xf numFmtId="0" fontId="34" fillId="0" borderId="0">
      <alignment vertical="center"/>
    </xf>
    <xf numFmtId="0" fontId="369" fillId="0" borderId="0">
      <alignment vertical="center"/>
    </xf>
    <xf numFmtId="0" fontId="34" fillId="0" borderId="0">
      <alignment vertical="center"/>
    </xf>
    <xf numFmtId="0" fontId="369" fillId="0" borderId="0">
      <alignment vertical="center"/>
    </xf>
    <xf numFmtId="0" fontId="34" fillId="0" borderId="0">
      <alignment vertical="center"/>
    </xf>
    <xf numFmtId="0" fontId="369" fillId="0" borderId="0">
      <alignment vertical="center"/>
    </xf>
    <xf numFmtId="0" fontId="34" fillId="0" borderId="0">
      <alignment vertical="center"/>
    </xf>
    <xf numFmtId="0" fontId="369" fillId="0" borderId="0">
      <alignment vertical="center"/>
    </xf>
    <xf numFmtId="0" fontId="34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  <xf numFmtId="0" fontId="32" fillId="0" borderId="0"/>
    <xf numFmtId="0" fontId="32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69" fillId="0" borderId="0">
      <alignment vertical="center"/>
    </xf>
    <xf numFmtId="0" fontId="34" fillId="0" borderId="0">
      <alignment vertical="center"/>
    </xf>
    <xf numFmtId="0" fontId="369" fillId="0" borderId="0">
      <alignment vertical="center"/>
    </xf>
    <xf numFmtId="0" fontId="34" fillId="0" borderId="0">
      <alignment vertical="center"/>
    </xf>
    <xf numFmtId="0" fontId="36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4" fillId="0" borderId="0"/>
    <xf numFmtId="0" fontId="10" fillId="0" borderId="0">
      <alignment vertical="center"/>
    </xf>
    <xf numFmtId="0" fontId="34" fillId="0" borderId="0">
      <alignment vertical="center"/>
    </xf>
    <xf numFmtId="0" fontId="32" fillId="0" borderId="0" applyNumberFormat="0" applyFont="0" applyFill="0" applyBorder="0" applyAlignment="0" applyProtection="0">
      <alignment vertical="top"/>
    </xf>
    <xf numFmtId="0" fontId="32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  <xf numFmtId="0" fontId="53" fillId="0" borderId="0">
      <alignment vertical="center"/>
    </xf>
    <xf numFmtId="0" fontId="39" fillId="0" borderId="0">
      <alignment vertical="center"/>
    </xf>
    <xf numFmtId="0" fontId="34" fillId="0" borderId="0">
      <alignment vertical="center"/>
    </xf>
    <xf numFmtId="0" fontId="5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1" fillId="0" borderId="0">
      <alignment vertical="center"/>
    </xf>
    <xf numFmtId="0" fontId="34" fillId="0" borderId="0">
      <alignment vertical="center"/>
    </xf>
    <xf numFmtId="0" fontId="103" fillId="0" borderId="0">
      <alignment vertical="center"/>
    </xf>
    <xf numFmtId="0" fontId="53" fillId="0" borderId="0">
      <alignment vertical="center"/>
    </xf>
    <xf numFmtId="0" fontId="34" fillId="0" borderId="0">
      <alignment vertical="center"/>
    </xf>
    <xf numFmtId="0" fontId="53" fillId="0" borderId="0">
      <alignment vertical="center"/>
    </xf>
    <xf numFmtId="0" fontId="34" fillId="0" borderId="0">
      <alignment vertical="center"/>
    </xf>
    <xf numFmtId="0" fontId="53" fillId="0" borderId="0">
      <alignment vertical="center"/>
    </xf>
    <xf numFmtId="0" fontId="34" fillId="0" borderId="0">
      <alignment vertical="center"/>
    </xf>
    <xf numFmtId="0" fontId="103" fillId="0" borderId="0">
      <alignment vertical="center"/>
    </xf>
    <xf numFmtId="0" fontId="34" fillId="0" borderId="0">
      <alignment vertical="center"/>
    </xf>
    <xf numFmtId="0" fontId="103" fillId="0" borderId="0">
      <alignment vertical="center"/>
    </xf>
    <xf numFmtId="0" fontId="34" fillId="0" borderId="0">
      <alignment vertical="center"/>
    </xf>
    <xf numFmtId="0" fontId="103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0" borderId="0"/>
    <xf numFmtId="0" fontId="10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313" fillId="0" borderId="0">
      <alignment vertical="center"/>
    </xf>
    <xf numFmtId="0" fontId="103" fillId="0" borderId="0">
      <alignment vertical="center"/>
    </xf>
    <xf numFmtId="0" fontId="34" fillId="0" borderId="0">
      <alignment vertical="center"/>
    </xf>
    <xf numFmtId="0" fontId="103" fillId="0" borderId="0">
      <alignment vertical="center"/>
    </xf>
    <xf numFmtId="0" fontId="10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" fillId="0" borderId="0">
      <alignment vertical="center"/>
    </xf>
    <xf numFmtId="0" fontId="45" fillId="0" borderId="0">
      <alignment vertical="center"/>
    </xf>
    <xf numFmtId="0" fontId="313" fillId="0" borderId="0">
      <alignment vertical="center"/>
    </xf>
    <xf numFmtId="0" fontId="312" fillId="0" borderId="0">
      <alignment vertical="center"/>
    </xf>
    <xf numFmtId="0" fontId="34" fillId="0" borderId="0">
      <alignment vertical="center"/>
    </xf>
    <xf numFmtId="0" fontId="312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" fillId="0" borderId="0"/>
    <xf numFmtId="0" fontId="34" fillId="0" borderId="0">
      <alignment vertical="center"/>
    </xf>
    <xf numFmtId="0" fontId="313" fillId="0" borderId="0">
      <alignment vertical="center"/>
    </xf>
    <xf numFmtId="0" fontId="32" fillId="0" borderId="0"/>
    <xf numFmtId="0" fontId="34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32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54" fillId="0" borderId="0"/>
    <xf numFmtId="0" fontId="313" fillId="0" borderId="0">
      <alignment vertical="center"/>
    </xf>
    <xf numFmtId="0" fontId="32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5" fillId="0" borderId="0">
      <alignment vertical="center"/>
    </xf>
    <xf numFmtId="0" fontId="34" fillId="0" borderId="0">
      <alignment vertical="center"/>
    </xf>
    <xf numFmtId="0" fontId="32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72" fillId="0" borderId="0">
      <alignment vertical="center"/>
    </xf>
    <xf numFmtId="0" fontId="34" fillId="0" borderId="0">
      <alignment vertical="center"/>
    </xf>
    <xf numFmtId="0" fontId="373" fillId="0" borderId="0"/>
    <xf numFmtId="0" fontId="374" fillId="0" borderId="0">
      <alignment horizontal="center" wrapText="1"/>
    </xf>
    <xf numFmtId="0" fontId="298" fillId="0" borderId="0"/>
    <xf numFmtId="0" fontId="54" fillId="0" borderId="0"/>
    <xf numFmtId="0" fontId="375" fillId="0" borderId="0" applyNumberFormat="0" applyFill="0" applyBorder="0" applyAlignment="0" applyProtection="0">
      <alignment vertical="top"/>
      <protection locked="0"/>
    </xf>
    <xf numFmtId="0" fontId="376" fillId="0" borderId="0" applyNumberFormat="0" applyFill="0" applyBorder="0" applyAlignment="0" applyProtection="0">
      <alignment vertical="center"/>
    </xf>
    <xf numFmtId="0" fontId="377" fillId="0" borderId="0" applyNumberFormat="0" applyFill="0" applyBorder="0" applyAlignment="0" applyProtection="0">
      <alignment vertical="top"/>
      <protection locked="0"/>
    </xf>
    <xf numFmtId="0" fontId="378" fillId="0" borderId="0" applyNumberFormat="0" applyFill="0" applyBorder="0" applyAlignment="0" applyProtection="0">
      <alignment vertical="top"/>
      <protection locked="0"/>
    </xf>
    <xf numFmtId="0" fontId="67" fillId="0" borderId="207">
      <protection locked="0"/>
    </xf>
    <xf numFmtId="0" fontId="299" fillId="0" borderId="207" applyNumberFormat="0" applyFont="0" applyFill="0" applyAlignment="0" applyProtection="0"/>
    <xf numFmtId="210" fontId="32" fillId="0" borderId="0" applyFont="0" applyFill="0" applyBorder="0" applyAlignment="0" applyProtection="0"/>
    <xf numFmtId="38" fontId="379" fillId="0" borderId="0" applyFont="0" applyFill="0" applyBorder="0" applyAlignment="0" applyProtection="0"/>
    <xf numFmtId="40" fontId="32" fillId="0" borderId="0" applyFont="0" applyFill="0" applyBorder="0" applyAlignment="0" applyProtection="0"/>
    <xf numFmtId="38" fontId="379" fillId="0" borderId="0" applyFont="0" applyFill="0" applyBorder="0" applyAlignment="0" applyProtection="0"/>
    <xf numFmtId="0" fontId="380" fillId="112" borderId="219">
      <alignment horizontal="center"/>
    </xf>
    <xf numFmtId="336" fontId="10" fillId="0" borderId="0" applyFont="0" applyFill="0" applyBorder="0" applyAlignment="0" applyProtection="0"/>
    <xf numFmtId="335" fontId="10" fillId="0" borderId="0" applyFont="0" applyFill="0" applyBorder="0" applyAlignment="0" applyProtection="0"/>
    <xf numFmtId="8" fontId="54" fillId="0" borderId="0"/>
    <xf numFmtId="336" fontId="357" fillId="0" borderId="0" applyFont="0" applyFill="0" applyBorder="0" applyAlignment="0" applyProtection="0"/>
    <xf numFmtId="335" fontId="357" fillId="0" borderId="0" applyFont="0" applyFill="0" applyBorder="0" applyAlignment="0" applyProtection="0"/>
    <xf numFmtId="0" fontId="54" fillId="0" borderId="0">
      <protection locked="0"/>
    </xf>
    <xf numFmtId="339" fontId="10" fillId="0" borderId="0" applyFont="0" applyFill="0" applyBorder="0" applyAlignment="0" applyProtection="0"/>
    <xf numFmtId="340" fontId="84" fillId="0" borderId="0" applyFont="0" applyFill="0" applyBorder="0" applyAlignment="0" applyProtection="0"/>
    <xf numFmtId="0" fontId="54" fillId="0" borderId="0">
      <protection locked="0"/>
    </xf>
    <xf numFmtId="341" fontId="299" fillId="0" borderId="0" applyFont="0" applyFill="0" applyBorder="0" applyAlignment="0" applyProtection="0"/>
    <xf numFmtId="3" fontId="381" fillId="0" borderId="0" applyAlignment="0"/>
    <xf numFmtId="0" fontId="100" fillId="0" borderId="220">
      <alignment horizontal="left"/>
    </xf>
    <xf numFmtId="0" fontId="312" fillId="0" borderId="221" applyNumberFormat="0" applyFont="0" applyFill="0" applyProtection="0">
      <alignment horizontal="center" vertical="center" wrapText="1"/>
    </xf>
    <xf numFmtId="0" fontId="54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41" fontId="8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3" fontId="382" fillId="0" borderId="0" applyFont="0" applyFill="0" applyBorder="0" applyAlignment="0" applyProtection="0"/>
    <xf numFmtId="342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2" fillId="0" borderId="0"/>
    <xf numFmtId="0" fontId="383" fillId="0" borderId="0"/>
    <xf numFmtId="0" fontId="32" fillId="0" borderId="0"/>
    <xf numFmtId="9" fontId="10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384" fillId="0" borderId="0"/>
    <xf numFmtId="0" fontId="34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0" fontId="54" fillId="0" borderId="0"/>
    <xf numFmtId="342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85" fillId="0" borderId="0">
      <alignment vertical="center"/>
    </xf>
    <xf numFmtId="37" fontId="54" fillId="0" borderId="0" applyFont="0" applyFill="0" applyBorder="0" applyAlignment="0" applyProtection="0"/>
    <xf numFmtId="0" fontId="32" fillId="0" borderId="0"/>
    <xf numFmtId="41" fontId="385" fillId="0" borderId="0" applyFont="0" applyFill="0" applyBorder="0" applyAlignment="0" applyProtection="0">
      <alignment vertical="center"/>
    </xf>
    <xf numFmtId="0" fontId="385" fillId="0" borderId="0">
      <alignment vertical="center"/>
    </xf>
    <xf numFmtId="43" fontId="38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03" fontId="8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</cellStyleXfs>
  <cellXfs count="2150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6" fontId="6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176" fontId="6" fillId="0" borderId="0" xfId="0" applyNumberFormat="1" applyFont="1" applyAlignment="1">
      <alignment horizontal="center" vertical="center"/>
    </xf>
    <xf numFmtId="0" fontId="7" fillId="5" borderId="32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176" fontId="5" fillId="0" borderId="36" xfId="0" applyNumberFormat="1" applyFont="1" applyBorder="1" applyAlignment="1">
      <alignment vertical="center"/>
    </xf>
    <xf numFmtId="176" fontId="5" fillId="0" borderId="38" xfId="0" applyNumberFormat="1" applyFont="1" applyBorder="1" applyAlignment="1">
      <alignment vertical="center"/>
    </xf>
    <xf numFmtId="176" fontId="5" fillId="0" borderId="39" xfId="0" applyNumberFormat="1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176" fontId="11" fillId="0" borderId="0" xfId="0" applyNumberFormat="1" applyFont="1" applyAlignment="1">
      <alignment vertical="center"/>
    </xf>
    <xf numFmtId="176" fontId="12" fillId="0" borderId="0" xfId="0" applyNumberFormat="1" applyFont="1" applyAlignment="1">
      <alignment vertical="center"/>
    </xf>
    <xf numFmtId="176" fontId="12" fillId="0" borderId="53" xfId="0" applyNumberFormat="1" applyFont="1" applyBorder="1" applyAlignment="1">
      <alignment vertical="center"/>
    </xf>
    <xf numFmtId="176" fontId="12" fillId="0" borderId="0" xfId="0" applyNumberFormat="1" applyFont="1" applyBorder="1" applyAlignment="1">
      <alignment vertical="center"/>
    </xf>
    <xf numFmtId="176" fontId="12" fillId="0" borderId="54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176" fontId="15" fillId="0" borderId="0" xfId="0" applyNumberFormat="1" applyFont="1" applyAlignment="1">
      <alignment vertical="center"/>
    </xf>
    <xf numFmtId="176" fontId="6" fillId="2" borderId="47" xfId="0" applyNumberFormat="1" applyFont="1" applyFill="1" applyBorder="1" applyAlignment="1">
      <alignment vertical="center"/>
    </xf>
    <xf numFmtId="176" fontId="6" fillId="3" borderId="47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76" fontId="5" fillId="0" borderId="47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176" fontId="5" fillId="0" borderId="17" xfId="0" applyNumberFormat="1" applyFont="1" applyBorder="1" applyAlignment="1">
      <alignment vertical="center"/>
    </xf>
    <xf numFmtId="176" fontId="5" fillId="0" borderId="16" xfId="0" applyNumberFormat="1" applyFont="1" applyBorder="1" applyAlignment="1">
      <alignment vertical="center"/>
    </xf>
    <xf numFmtId="176" fontId="5" fillId="0" borderId="19" xfId="0" applyNumberFormat="1" applyFont="1" applyBorder="1" applyAlignment="1">
      <alignment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vertical="center"/>
    </xf>
    <xf numFmtId="10" fontId="5" fillId="0" borderId="4" xfId="2" applyNumberFormat="1" applyFont="1" applyBorder="1" applyAlignment="1">
      <alignment vertical="center"/>
    </xf>
    <xf numFmtId="0" fontId="18" fillId="13" borderId="0" xfId="0" applyFont="1" applyFill="1" applyAlignment="1">
      <alignment horizontal="center" vertical="center" wrapText="1"/>
    </xf>
    <xf numFmtId="0" fontId="19" fillId="0" borderId="0" xfId="0" applyFont="1"/>
    <xf numFmtId="0" fontId="19" fillId="14" borderId="75" xfId="0" applyFont="1" applyFill="1" applyBorder="1" applyAlignment="1">
      <alignment vertical="center"/>
    </xf>
    <xf numFmtId="179" fontId="19" fillId="14" borderId="75" xfId="0" applyNumberFormat="1" applyFont="1" applyFill="1" applyBorder="1" applyAlignment="1">
      <alignment vertical="center"/>
    </xf>
    <xf numFmtId="41" fontId="19" fillId="0" borderId="0" xfId="1" applyFont="1"/>
    <xf numFmtId="0" fontId="19" fillId="11" borderId="0" xfId="0" applyFont="1" applyFill="1"/>
    <xf numFmtId="41" fontId="19" fillId="11" borderId="0" xfId="1" applyFont="1" applyFill="1"/>
    <xf numFmtId="0" fontId="19" fillId="15" borderId="0" xfId="0" applyFont="1" applyFill="1"/>
    <xf numFmtId="41" fontId="19" fillId="15" borderId="0" xfId="1" applyFont="1" applyFill="1"/>
    <xf numFmtId="14" fontId="7" fillId="7" borderId="5" xfId="0" applyNumberFormat="1" applyFont="1" applyFill="1" applyBorder="1" applyAlignment="1">
      <alignment horizontal="center" vertical="center"/>
    </xf>
    <xf numFmtId="14" fontId="7" fillId="7" borderId="6" xfId="0" applyNumberFormat="1" applyFont="1" applyFill="1" applyBorder="1" applyAlignment="1">
      <alignment horizontal="center" vertical="center"/>
    </xf>
    <xf numFmtId="14" fontId="7" fillId="7" borderId="7" xfId="0" applyNumberFormat="1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76" fontId="5" fillId="0" borderId="9" xfId="0" applyNumberFormat="1" applyFont="1" applyBorder="1" applyAlignment="1">
      <alignment vertical="center"/>
    </xf>
    <xf numFmtId="0" fontId="5" fillId="8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176" fontId="5" fillId="0" borderId="11" xfId="0" applyNumberFormat="1" applyFont="1" applyBorder="1" applyAlignment="1">
      <alignment vertical="center"/>
    </xf>
    <xf numFmtId="176" fontId="5" fillId="0" borderId="12" xfId="0" applyNumberFormat="1" applyFont="1" applyBorder="1" applyAlignment="1">
      <alignment vertical="center"/>
    </xf>
    <xf numFmtId="14" fontId="7" fillId="7" borderId="13" xfId="0" applyNumberFormat="1" applyFont="1" applyFill="1" applyBorder="1" applyAlignment="1">
      <alignment horizontal="center" vertical="center"/>
    </xf>
    <xf numFmtId="14" fontId="7" fillId="7" borderId="14" xfId="0" applyNumberFormat="1" applyFont="1" applyFill="1" applyBorder="1" applyAlignment="1">
      <alignment horizontal="center" vertical="center"/>
    </xf>
    <xf numFmtId="14" fontId="7" fillId="7" borderId="15" xfId="0" applyNumberFormat="1" applyFont="1" applyFill="1" applyBorder="1" applyAlignment="1">
      <alignment horizontal="center" vertical="center"/>
    </xf>
    <xf numFmtId="14" fontId="7" fillId="7" borderId="16" xfId="0" applyNumberFormat="1" applyFont="1" applyFill="1" applyBorder="1" applyAlignment="1">
      <alignment horizontal="center" vertical="center"/>
    </xf>
    <xf numFmtId="177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14" fontId="7" fillId="7" borderId="17" xfId="0" applyNumberFormat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10" fontId="5" fillId="0" borderId="1" xfId="2" applyNumberFormat="1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176" fontId="20" fillId="5" borderId="13" xfId="0" applyNumberFormat="1" applyFont="1" applyFill="1" applyBorder="1" applyAlignment="1">
      <alignment horizontal="center" vertical="center"/>
    </xf>
    <xf numFmtId="176" fontId="20" fillId="5" borderId="14" xfId="0" applyNumberFormat="1" applyFont="1" applyFill="1" applyBorder="1" applyAlignment="1">
      <alignment horizontal="center" vertical="center"/>
    </xf>
    <xf numFmtId="176" fontId="20" fillId="5" borderId="15" xfId="0" applyNumberFormat="1" applyFont="1" applyFill="1" applyBorder="1" applyAlignment="1">
      <alignment horizontal="center" vertical="center"/>
    </xf>
    <xf numFmtId="176" fontId="5" fillId="0" borderId="17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vertical="center"/>
    </xf>
    <xf numFmtId="176" fontId="5" fillId="0" borderId="27" xfId="0" applyNumberFormat="1" applyFont="1" applyBorder="1" applyAlignment="1">
      <alignment vertical="center"/>
    </xf>
    <xf numFmtId="176" fontId="5" fillId="0" borderId="27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vertical="center"/>
    </xf>
    <xf numFmtId="176" fontId="5" fillId="3" borderId="29" xfId="0" applyNumberFormat="1" applyFont="1" applyFill="1" applyBorder="1" applyAlignment="1">
      <alignment vertical="center"/>
    </xf>
    <xf numFmtId="176" fontId="5" fillId="3" borderId="30" xfId="0" applyNumberFormat="1" applyFont="1" applyFill="1" applyBorder="1" applyAlignment="1">
      <alignment vertical="center"/>
    </xf>
    <xf numFmtId="176" fontId="5" fillId="3" borderId="31" xfId="0" applyNumberFormat="1" applyFont="1" applyFill="1" applyBorder="1" applyAlignment="1">
      <alignment vertical="center"/>
    </xf>
    <xf numFmtId="176" fontId="20" fillId="5" borderId="24" xfId="0" applyNumberFormat="1" applyFont="1" applyFill="1" applyBorder="1" applyAlignment="1">
      <alignment horizontal="center" vertical="center"/>
    </xf>
    <xf numFmtId="176" fontId="20" fillId="5" borderId="23" xfId="0" applyNumberFormat="1" applyFont="1" applyFill="1" applyBorder="1" applyAlignment="1">
      <alignment horizontal="center" vertical="center"/>
    </xf>
    <xf numFmtId="178" fontId="20" fillId="5" borderId="23" xfId="0" applyNumberFormat="1" applyFont="1" applyFill="1" applyBorder="1" applyAlignment="1">
      <alignment horizontal="center" vertical="center"/>
    </xf>
    <xf numFmtId="176" fontId="20" fillId="5" borderId="25" xfId="0" applyNumberFormat="1" applyFont="1" applyFill="1" applyBorder="1" applyAlignment="1">
      <alignment horizontal="center" vertical="center"/>
    </xf>
    <xf numFmtId="176" fontId="6" fillId="3" borderId="18" xfId="0" applyNumberFormat="1" applyFont="1" applyFill="1" applyBorder="1" applyAlignment="1">
      <alignment vertical="center"/>
    </xf>
    <xf numFmtId="176" fontId="6" fillId="3" borderId="19" xfId="0" applyNumberFormat="1" applyFont="1" applyFill="1" applyBorder="1" applyAlignment="1">
      <alignment vertical="center"/>
    </xf>
    <xf numFmtId="176" fontId="6" fillId="3" borderId="19" xfId="0" applyNumberFormat="1" applyFont="1" applyFill="1" applyBorder="1" applyAlignment="1">
      <alignment horizontal="center" vertical="center"/>
    </xf>
    <xf numFmtId="176" fontId="6" fillId="3" borderId="20" xfId="0" applyNumberFormat="1" applyFont="1" applyFill="1" applyBorder="1" applyAlignment="1">
      <alignment vertical="center"/>
    </xf>
    <xf numFmtId="178" fontId="6" fillId="0" borderId="0" xfId="0" applyNumberFormat="1" applyFont="1" applyAlignment="1">
      <alignment vertical="center"/>
    </xf>
    <xf numFmtId="180" fontId="5" fillId="0" borderId="0" xfId="1" applyNumberFormat="1" applyFont="1" applyAlignment="1">
      <alignment vertical="center"/>
    </xf>
    <xf numFmtId="176" fontId="13" fillId="0" borderId="0" xfId="0" applyNumberFormat="1" applyFont="1" applyAlignment="1">
      <alignment horizontal="center" vertical="center"/>
    </xf>
    <xf numFmtId="176" fontId="12" fillId="0" borderId="36" xfId="0" applyNumberFormat="1" applyFont="1" applyBorder="1" applyAlignment="1">
      <alignment vertical="center"/>
    </xf>
    <xf numFmtId="176" fontId="12" fillId="0" borderId="35" xfId="0" applyNumberFormat="1" applyFont="1" applyBorder="1" applyAlignment="1">
      <alignment vertical="center"/>
    </xf>
    <xf numFmtId="176" fontId="13" fillId="0" borderId="0" xfId="0" applyNumberFormat="1" applyFont="1" applyAlignment="1">
      <alignment vertical="center"/>
    </xf>
    <xf numFmtId="176" fontId="12" fillId="0" borderId="39" xfId="0" applyNumberFormat="1" applyFont="1" applyBorder="1" applyAlignment="1">
      <alignment vertical="center"/>
    </xf>
    <xf numFmtId="176" fontId="12" fillId="0" borderId="57" xfId="0" applyNumberFormat="1" applyFont="1" applyBorder="1" applyAlignment="1">
      <alignment vertical="center"/>
    </xf>
    <xf numFmtId="176" fontId="12" fillId="0" borderId="0" xfId="0" applyNumberFormat="1" applyFont="1" applyFill="1" applyBorder="1" applyAlignment="1">
      <alignment vertical="center"/>
    </xf>
    <xf numFmtId="176" fontId="12" fillId="0" borderId="37" xfId="0" applyNumberFormat="1" applyFont="1" applyBorder="1" applyAlignment="1">
      <alignment vertical="center"/>
    </xf>
    <xf numFmtId="176" fontId="12" fillId="0" borderId="38" xfId="0" applyNumberFormat="1" applyFont="1" applyBorder="1" applyAlignment="1">
      <alignment vertical="center"/>
    </xf>
    <xf numFmtId="176" fontId="13" fillId="0" borderId="63" xfId="0" applyNumberFormat="1" applyFont="1" applyBorder="1" applyAlignment="1">
      <alignment vertical="center"/>
    </xf>
    <xf numFmtId="176" fontId="13" fillId="0" borderId="65" xfId="0" applyNumberFormat="1" applyFont="1" applyBorder="1" applyAlignment="1">
      <alignment vertical="center"/>
    </xf>
    <xf numFmtId="176" fontId="12" fillId="0" borderId="55" xfId="0" applyNumberFormat="1" applyFont="1" applyBorder="1" applyAlignment="1">
      <alignment vertical="center"/>
    </xf>
    <xf numFmtId="176" fontId="12" fillId="0" borderId="32" xfId="0" applyNumberFormat="1" applyFont="1" applyBorder="1" applyAlignment="1">
      <alignment vertical="center"/>
    </xf>
    <xf numFmtId="176" fontId="12" fillId="0" borderId="33" xfId="0" applyNumberFormat="1" applyFont="1" applyBorder="1" applyAlignment="1">
      <alignment vertical="center"/>
    </xf>
    <xf numFmtId="176" fontId="12" fillId="0" borderId="34" xfId="0" applyNumberFormat="1" applyFont="1" applyBorder="1" applyAlignment="1">
      <alignment vertical="center"/>
    </xf>
    <xf numFmtId="182" fontId="12" fillId="0" borderId="0" xfId="0" applyNumberFormat="1" applyFont="1" applyAlignment="1">
      <alignment vertical="center"/>
    </xf>
    <xf numFmtId="176" fontId="14" fillId="5" borderId="32" xfId="0" applyNumberFormat="1" applyFont="1" applyFill="1" applyBorder="1" applyAlignment="1">
      <alignment vertical="center"/>
    </xf>
    <xf numFmtId="176" fontId="14" fillId="5" borderId="33" xfId="0" applyNumberFormat="1" applyFont="1" applyFill="1" applyBorder="1" applyAlignment="1">
      <alignment vertical="center"/>
    </xf>
    <xf numFmtId="176" fontId="14" fillId="5" borderId="34" xfId="0" applyNumberFormat="1" applyFont="1" applyFill="1" applyBorder="1" applyAlignment="1">
      <alignment vertical="center"/>
    </xf>
    <xf numFmtId="176" fontId="12" fillId="0" borderId="83" xfId="0" applyNumberFormat="1" applyFont="1" applyBorder="1" applyAlignment="1">
      <alignment vertical="center"/>
    </xf>
    <xf numFmtId="176" fontId="13" fillId="0" borderId="83" xfId="0" applyNumberFormat="1" applyFont="1" applyBorder="1" applyAlignment="1">
      <alignment vertical="center"/>
    </xf>
    <xf numFmtId="0" fontId="23" fillId="5" borderId="81" xfId="0" applyFont="1" applyFill="1" applyBorder="1" applyAlignment="1">
      <alignment horizontal="center" vertical="center" wrapText="1"/>
    </xf>
    <xf numFmtId="0" fontId="23" fillId="5" borderId="21" xfId="0" applyFont="1" applyFill="1" applyBorder="1" applyAlignment="1">
      <alignment horizontal="center" vertical="center" wrapText="1"/>
    </xf>
    <xf numFmtId="0" fontId="23" fillId="5" borderId="82" xfId="0" applyFont="1" applyFill="1" applyBorder="1" applyAlignment="1">
      <alignment horizontal="center" vertical="center" wrapText="1"/>
    </xf>
    <xf numFmtId="176" fontId="24" fillId="0" borderId="14" xfId="0" applyNumberFormat="1" applyFont="1" applyBorder="1" applyAlignment="1">
      <alignment horizontal="center" vertical="center" wrapText="1"/>
    </xf>
    <xf numFmtId="176" fontId="24" fillId="0" borderId="14" xfId="0" applyNumberFormat="1" applyFont="1" applyBorder="1" applyAlignment="1">
      <alignment horizontal="right" vertical="center" wrapText="1"/>
    </xf>
    <xf numFmtId="176" fontId="24" fillId="0" borderId="15" xfId="0" applyNumberFormat="1" applyFont="1" applyBorder="1" applyAlignment="1">
      <alignment horizontal="right" vertical="center" wrapText="1"/>
    </xf>
    <xf numFmtId="176" fontId="24" fillId="0" borderId="27" xfId="0" applyNumberFormat="1" applyFont="1" applyBorder="1" applyAlignment="1">
      <alignment horizontal="right" vertical="center" wrapText="1"/>
    </xf>
    <xf numFmtId="176" fontId="24" fillId="0" borderId="28" xfId="0" applyNumberFormat="1" applyFont="1" applyBorder="1" applyAlignment="1">
      <alignment horizontal="right" vertical="center" wrapText="1"/>
    </xf>
    <xf numFmtId="176" fontId="22" fillId="0" borderId="30" xfId="0" applyNumberFormat="1" applyFont="1" applyBorder="1" applyAlignment="1">
      <alignment horizontal="right" vertical="center" wrapText="1"/>
    </xf>
    <xf numFmtId="176" fontId="22" fillId="0" borderId="31" xfId="0" applyNumberFormat="1" applyFont="1" applyBorder="1" applyAlignment="1">
      <alignment horizontal="right" vertical="center" wrapText="1"/>
    </xf>
    <xf numFmtId="176" fontId="24" fillId="0" borderId="23" xfId="0" applyNumberFormat="1" applyFont="1" applyBorder="1" applyAlignment="1">
      <alignment horizontal="center" vertical="center" wrapText="1"/>
    </xf>
    <xf numFmtId="176" fontId="24" fillId="0" borderId="23" xfId="0" applyNumberFormat="1" applyFont="1" applyBorder="1" applyAlignment="1">
      <alignment horizontal="right" vertical="center" wrapText="1"/>
    </xf>
    <xf numFmtId="176" fontId="24" fillId="0" borderId="25" xfId="0" applyNumberFormat="1" applyFont="1" applyBorder="1" applyAlignment="1">
      <alignment horizontal="right" vertical="center" wrapText="1"/>
    </xf>
    <xf numFmtId="176" fontId="24" fillId="0" borderId="30" xfId="0" applyNumberFormat="1" applyFont="1" applyBorder="1" applyAlignment="1">
      <alignment horizontal="right" vertical="center" wrapText="1"/>
    </xf>
    <xf numFmtId="176" fontId="24" fillId="0" borderId="31" xfId="0" applyNumberFormat="1" applyFont="1" applyBorder="1" applyAlignment="1">
      <alignment horizontal="right" vertical="center" wrapText="1"/>
    </xf>
    <xf numFmtId="176" fontId="14" fillId="5" borderId="63" xfId="0" applyNumberFormat="1" applyFont="1" applyFill="1" applyBorder="1" applyAlignment="1">
      <alignment horizontal="center" vertical="center"/>
    </xf>
    <xf numFmtId="176" fontId="14" fillId="5" borderId="64" xfId="0" applyNumberFormat="1" applyFont="1" applyFill="1" applyBorder="1" applyAlignment="1">
      <alignment horizontal="center" vertical="center"/>
    </xf>
    <xf numFmtId="176" fontId="14" fillId="5" borderId="65" xfId="0" applyNumberFormat="1" applyFont="1" applyFill="1" applyBorder="1" applyAlignment="1">
      <alignment horizontal="center" vertical="center"/>
    </xf>
    <xf numFmtId="178" fontId="12" fillId="0" borderId="0" xfId="0" applyNumberFormat="1" applyFont="1" applyAlignment="1">
      <alignment vertical="center"/>
    </xf>
    <xf numFmtId="176" fontId="24" fillId="0" borderId="27" xfId="0" applyNumberFormat="1" applyFont="1" applyBorder="1" applyAlignment="1">
      <alignment horizontal="center" vertical="center"/>
    </xf>
    <xf numFmtId="0" fontId="26" fillId="5" borderId="0" xfId="0" applyFont="1" applyFill="1" applyAlignment="1">
      <alignment vertical="center"/>
    </xf>
    <xf numFmtId="0" fontId="5" fillId="19" borderId="0" xfId="0" applyFont="1" applyFill="1" applyAlignment="1">
      <alignment vertical="center"/>
    </xf>
    <xf numFmtId="0" fontId="6" fillId="3" borderId="88" xfId="0" applyFont="1" applyFill="1" applyBorder="1" applyAlignment="1">
      <alignment vertical="center"/>
    </xf>
    <xf numFmtId="14" fontId="6" fillId="3" borderId="89" xfId="0" applyNumberFormat="1" applyFont="1" applyFill="1" applyBorder="1" applyAlignment="1">
      <alignment horizontal="center" vertical="center"/>
    </xf>
    <xf numFmtId="0" fontId="6" fillId="3" borderId="90" xfId="0" applyFont="1" applyFill="1" applyBorder="1" applyAlignment="1">
      <alignment vertical="center"/>
    </xf>
    <xf numFmtId="0" fontId="6" fillId="3" borderId="91" xfId="0" applyFont="1" applyFill="1" applyBorder="1" applyAlignment="1">
      <alignment horizontal="center" vertical="center"/>
    </xf>
    <xf numFmtId="0" fontId="6" fillId="3" borderId="92" xfId="0" applyFont="1" applyFill="1" applyBorder="1" applyAlignment="1">
      <alignment vertical="center"/>
    </xf>
    <xf numFmtId="0" fontId="6" fillId="3" borderId="93" xfId="0" applyFont="1" applyFill="1" applyBorder="1" applyAlignment="1">
      <alignment horizontal="center" vertical="center"/>
    </xf>
    <xf numFmtId="176" fontId="6" fillId="0" borderId="0" xfId="0" quotePrefix="1" applyNumberFormat="1" applyFont="1" applyAlignment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27" fillId="6" borderId="16" xfId="0" applyFont="1" applyFill="1" applyBorder="1" applyAlignment="1">
      <alignment vertical="center"/>
    </xf>
    <xf numFmtId="0" fontId="27" fillId="6" borderId="1" xfId="0" applyFont="1" applyFill="1" applyBorder="1" applyAlignment="1">
      <alignment vertical="center"/>
    </xf>
    <xf numFmtId="176" fontId="27" fillId="6" borderId="1" xfId="0" applyNumberFormat="1" applyFont="1" applyFill="1" applyBorder="1" applyAlignment="1">
      <alignment horizontal="right" vertical="center"/>
    </xf>
    <xf numFmtId="176" fontId="27" fillId="6" borderId="17" xfId="0" applyNumberFormat="1" applyFont="1" applyFill="1" applyBorder="1" applyAlignment="1">
      <alignment horizontal="right" vertical="center"/>
    </xf>
    <xf numFmtId="0" fontId="27" fillId="3" borderId="16" xfId="0" applyFont="1" applyFill="1" applyBorder="1" applyAlignment="1">
      <alignment vertical="center"/>
    </xf>
    <xf numFmtId="0" fontId="27" fillId="3" borderId="1" xfId="0" applyFont="1" applyFill="1" applyBorder="1" applyAlignment="1">
      <alignment vertical="center"/>
    </xf>
    <xf numFmtId="176" fontId="27" fillId="3" borderId="1" xfId="0" applyNumberFormat="1" applyFont="1" applyFill="1" applyBorder="1" applyAlignment="1">
      <alignment horizontal="right" vertical="center"/>
    </xf>
    <xf numFmtId="176" fontId="27" fillId="3" borderId="17" xfId="0" applyNumberFormat="1" applyFont="1" applyFill="1" applyBorder="1" applyAlignment="1">
      <alignment horizontal="right" vertical="center"/>
    </xf>
    <xf numFmtId="0" fontId="27" fillId="12" borderId="16" xfId="0" applyFont="1" applyFill="1" applyBorder="1" applyAlignment="1">
      <alignment vertical="center"/>
    </xf>
    <xf numFmtId="0" fontId="27" fillId="12" borderId="1" xfId="0" applyFont="1" applyFill="1" applyBorder="1" applyAlignment="1">
      <alignment vertical="center"/>
    </xf>
    <xf numFmtId="176" fontId="27" fillId="12" borderId="1" xfId="0" applyNumberFormat="1" applyFont="1" applyFill="1" applyBorder="1" applyAlignment="1">
      <alignment horizontal="right" vertical="center"/>
    </xf>
    <xf numFmtId="176" fontId="27" fillId="12" borderId="17" xfId="0" applyNumberFormat="1" applyFont="1" applyFill="1" applyBorder="1" applyAlignment="1">
      <alignment horizontal="right" vertical="center"/>
    </xf>
    <xf numFmtId="0" fontId="28" fillId="0" borderId="16" xfId="0" applyFont="1" applyBorder="1" applyAlignment="1">
      <alignment horizontal="left" vertical="center" indent="1"/>
    </xf>
    <xf numFmtId="0" fontId="28" fillId="0" borderId="1" xfId="0" applyFont="1" applyBorder="1" applyAlignment="1">
      <alignment vertical="center"/>
    </xf>
    <xf numFmtId="176" fontId="28" fillId="0" borderId="1" xfId="0" applyNumberFormat="1" applyFont="1" applyBorder="1" applyAlignment="1">
      <alignment horizontal="right" vertical="center"/>
    </xf>
    <xf numFmtId="176" fontId="28" fillId="0" borderId="17" xfId="0" applyNumberFormat="1" applyFont="1" applyBorder="1" applyAlignment="1">
      <alignment horizontal="right" vertical="center"/>
    </xf>
    <xf numFmtId="0" fontId="27" fillId="6" borderId="18" xfId="0" applyFont="1" applyFill="1" applyBorder="1" applyAlignment="1">
      <alignment vertical="center"/>
    </xf>
    <xf numFmtId="0" fontId="27" fillId="6" borderId="19" xfId="0" applyFont="1" applyFill="1" applyBorder="1" applyAlignment="1">
      <alignment vertical="center"/>
    </xf>
    <xf numFmtId="176" fontId="27" fillId="6" borderId="19" xfId="0" applyNumberFormat="1" applyFont="1" applyFill="1" applyBorder="1" applyAlignment="1">
      <alignment horizontal="right" vertical="center"/>
    </xf>
    <xf numFmtId="176" fontId="27" fillId="6" borderId="20" xfId="0" applyNumberFormat="1" applyFont="1" applyFill="1" applyBorder="1" applyAlignment="1">
      <alignment horizontal="right" vertical="center"/>
    </xf>
    <xf numFmtId="176" fontId="6" fillId="0" borderId="0" xfId="0" applyNumberFormat="1" applyFont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0" fontId="15" fillId="0" borderId="0" xfId="0" applyNumberFormat="1" applyFont="1" applyAlignment="1">
      <alignment horizontal="center" vertical="center"/>
    </xf>
    <xf numFmtId="176" fontId="16" fillId="0" borderId="0" xfId="0" applyNumberFormat="1" applyFont="1" applyAlignment="1">
      <alignment vertical="center"/>
    </xf>
    <xf numFmtId="176" fontId="15" fillId="0" borderId="0" xfId="0" applyNumberFormat="1" applyFont="1" applyAlignment="1">
      <alignment horizontal="center" vertical="center"/>
    </xf>
    <xf numFmtId="0" fontId="7" fillId="5" borderId="50" xfId="0" applyNumberFormat="1" applyFont="1" applyFill="1" applyBorder="1" applyAlignment="1">
      <alignment horizontal="center" vertical="center"/>
    </xf>
    <xf numFmtId="176" fontId="7" fillId="5" borderId="51" xfId="0" applyNumberFormat="1" applyFont="1" applyFill="1" applyBorder="1" applyAlignment="1">
      <alignment horizontal="center" vertical="center"/>
    </xf>
    <xf numFmtId="176" fontId="7" fillId="5" borderId="52" xfId="0" applyNumberFormat="1" applyFont="1" applyFill="1" applyBorder="1" applyAlignment="1">
      <alignment horizontal="center" vertical="center"/>
    </xf>
    <xf numFmtId="176" fontId="16" fillId="0" borderId="61" xfId="0" applyNumberFormat="1" applyFont="1" applyBorder="1" applyAlignment="1">
      <alignment horizontal="center" vertical="center"/>
    </xf>
    <xf numFmtId="176" fontId="16" fillId="0" borderId="77" xfId="0" applyNumberFormat="1" applyFont="1" applyBorder="1" applyAlignment="1">
      <alignment horizontal="center" vertical="center"/>
    </xf>
    <xf numFmtId="176" fontId="6" fillId="0" borderId="62" xfId="0" applyNumberFormat="1" applyFont="1" applyBorder="1" applyAlignment="1">
      <alignment horizontal="center" vertical="center"/>
    </xf>
    <xf numFmtId="0" fontId="17" fillId="6" borderId="53" xfId="0" applyNumberFormat="1" applyFont="1" applyFill="1" applyBorder="1" applyAlignment="1">
      <alignment horizontal="center" vertical="center"/>
    </xf>
    <xf numFmtId="176" fontId="17" fillId="6" borderId="0" xfId="0" applyNumberFormat="1" applyFont="1" applyFill="1" applyBorder="1" applyAlignment="1">
      <alignment vertical="center"/>
    </xf>
    <xf numFmtId="176" fontId="17" fillId="6" borderId="54" xfId="0" applyNumberFormat="1" applyFont="1" applyFill="1" applyBorder="1" applyAlignment="1">
      <alignment vertical="center"/>
    </xf>
    <xf numFmtId="176" fontId="16" fillId="0" borderId="53" xfId="0" applyNumberFormat="1" applyFont="1" applyBorder="1" applyAlignment="1">
      <alignment vertical="center"/>
    </xf>
    <xf numFmtId="176" fontId="17" fillId="0" borderId="0" xfId="0" applyNumberFormat="1" applyFont="1" applyBorder="1" applyAlignment="1">
      <alignment vertical="center"/>
    </xf>
    <xf numFmtId="176" fontId="5" fillId="0" borderId="54" xfId="0" applyNumberFormat="1" applyFont="1" applyBorder="1" applyAlignment="1">
      <alignment horizontal="center" vertical="center"/>
    </xf>
    <xf numFmtId="0" fontId="17" fillId="0" borderId="53" xfId="0" applyNumberFormat="1" applyFont="1" applyBorder="1" applyAlignment="1">
      <alignment horizontal="center" vertical="center"/>
    </xf>
    <xf numFmtId="176" fontId="17" fillId="0" borderId="54" xfId="0" applyNumberFormat="1" applyFont="1" applyBorder="1" applyAlignment="1">
      <alignment vertical="center"/>
    </xf>
    <xf numFmtId="0" fontId="17" fillId="0" borderId="53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vertical="center"/>
    </xf>
    <xf numFmtId="176" fontId="17" fillId="0" borderId="54" xfId="0" applyNumberFormat="1" applyFont="1" applyFill="1" applyBorder="1" applyAlignment="1">
      <alignment vertical="center"/>
    </xf>
    <xf numFmtId="176" fontId="5" fillId="0" borderId="0" xfId="0" applyNumberFormat="1" applyFont="1" applyFill="1" applyAlignment="1">
      <alignment vertical="center"/>
    </xf>
    <xf numFmtId="176" fontId="16" fillId="0" borderId="53" xfId="0" applyNumberFormat="1" applyFont="1" applyFill="1" applyBorder="1" applyAlignment="1">
      <alignment vertical="center"/>
    </xf>
    <xf numFmtId="176" fontId="5" fillId="0" borderId="54" xfId="0" applyNumberFormat="1" applyFont="1" applyFill="1" applyBorder="1" applyAlignment="1">
      <alignment horizontal="center" vertical="center"/>
    </xf>
    <xf numFmtId="0" fontId="17" fillId="0" borderId="55" xfId="0" applyNumberFormat="1" applyFont="1" applyBorder="1" applyAlignment="1">
      <alignment horizontal="center" vertical="center"/>
    </xf>
    <xf numFmtId="176" fontId="17" fillId="0" borderId="56" xfId="0" applyNumberFormat="1" applyFont="1" applyBorder="1" applyAlignment="1">
      <alignment vertical="center"/>
    </xf>
    <xf numFmtId="176" fontId="17" fillId="0" borderId="57" xfId="0" applyNumberFormat="1" applyFont="1" applyBorder="1" applyAlignment="1">
      <alignment vertical="center"/>
    </xf>
    <xf numFmtId="176" fontId="16" fillId="0" borderId="55" xfId="0" applyNumberFormat="1" applyFont="1" applyBorder="1" applyAlignment="1">
      <alignment vertical="center"/>
    </xf>
    <xf numFmtId="176" fontId="5" fillId="0" borderId="57" xfId="0" applyNumberFormat="1" applyFont="1" applyBorder="1" applyAlignment="1">
      <alignment horizontal="center" vertical="center"/>
    </xf>
    <xf numFmtId="0" fontId="17" fillId="0" borderId="61" xfId="0" applyNumberFormat="1" applyFont="1" applyBorder="1" applyAlignment="1">
      <alignment horizontal="center" vertical="center"/>
    </xf>
    <xf numFmtId="176" fontId="17" fillId="0" borderId="77" xfId="0" applyNumberFormat="1" applyFont="1" applyBorder="1" applyAlignment="1">
      <alignment vertical="center"/>
    </xf>
    <xf numFmtId="176" fontId="17" fillId="0" borderId="62" xfId="0" applyNumberFormat="1" applyFont="1" applyBorder="1" applyAlignment="1">
      <alignment vertical="center"/>
    </xf>
    <xf numFmtId="176" fontId="17" fillId="0" borderId="0" xfId="0" applyNumberFormat="1" applyFont="1" applyAlignment="1">
      <alignment vertical="center"/>
    </xf>
    <xf numFmtId="176" fontId="5" fillId="0" borderId="0" xfId="0" applyNumberFormat="1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0" borderId="0" xfId="0" applyFont="1" applyBorder="1" applyAlignment="1">
      <alignment vertical="center"/>
    </xf>
    <xf numFmtId="41" fontId="15" fillId="0" borderId="0" xfId="1" applyFont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0" fontId="5" fillId="0" borderId="53" xfId="0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5" fillId="0" borderId="56" xfId="0" applyFont="1" applyBorder="1" applyAlignment="1">
      <alignment vertical="center"/>
    </xf>
    <xf numFmtId="181" fontId="5" fillId="0" borderId="0" xfId="0" applyNumberFormat="1" applyFont="1" applyAlignment="1">
      <alignment vertical="center"/>
    </xf>
    <xf numFmtId="0" fontId="5" fillId="0" borderId="0" xfId="0" applyFont="1"/>
    <xf numFmtId="176" fontId="7" fillId="5" borderId="50" xfId="0" applyNumberFormat="1" applyFont="1" applyFill="1" applyBorder="1" applyAlignment="1">
      <alignment horizontal="center" vertical="center" wrapText="1"/>
    </xf>
    <xf numFmtId="176" fontId="7" fillId="5" borderId="51" xfId="0" applyNumberFormat="1" applyFont="1" applyFill="1" applyBorder="1" applyAlignment="1">
      <alignment horizontal="center" vertical="center" wrapText="1"/>
    </xf>
    <xf numFmtId="176" fontId="7" fillId="5" borderId="52" xfId="0" applyNumberFormat="1" applyFont="1" applyFill="1" applyBorder="1" applyAlignment="1">
      <alignment horizontal="center" vertical="center" wrapText="1"/>
    </xf>
    <xf numFmtId="176" fontId="5" fillId="0" borderId="53" xfId="0" applyNumberFormat="1" applyFont="1" applyBorder="1" applyAlignment="1">
      <alignment vertical="center"/>
    </xf>
    <xf numFmtId="10" fontId="5" fillId="0" borderId="0" xfId="2" applyNumberFormat="1" applyFont="1" applyBorder="1" applyAlignment="1">
      <alignment vertical="center"/>
    </xf>
    <xf numFmtId="176" fontId="5" fillId="0" borderId="54" xfId="0" applyNumberFormat="1" applyFont="1" applyBorder="1" applyAlignment="1">
      <alignment vertical="center"/>
    </xf>
    <xf numFmtId="176" fontId="5" fillId="0" borderId="58" xfId="0" applyNumberFormat="1" applyFont="1" applyBorder="1" applyAlignment="1">
      <alignment vertical="center"/>
    </xf>
    <xf numFmtId="176" fontId="5" fillId="0" borderId="59" xfId="0" applyNumberFormat="1" applyFont="1" applyBorder="1" applyAlignment="1">
      <alignment vertical="center"/>
    </xf>
    <xf numFmtId="176" fontId="5" fillId="0" borderId="60" xfId="0" applyNumberFormat="1" applyFont="1" applyBorder="1" applyAlignment="1">
      <alignment vertical="center"/>
    </xf>
    <xf numFmtId="41" fontId="5" fillId="0" borderId="0" xfId="1" applyFont="1"/>
    <xf numFmtId="176" fontId="5" fillId="0" borderId="35" xfId="0" applyNumberFormat="1" applyFont="1" applyBorder="1" applyAlignment="1">
      <alignment vertical="center"/>
    </xf>
    <xf numFmtId="176" fontId="5" fillId="0" borderId="57" xfId="0" applyNumberFormat="1" applyFont="1" applyBorder="1" applyAlignment="1">
      <alignment vertical="center"/>
    </xf>
    <xf numFmtId="176" fontId="6" fillId="0" borderId="49" xfId="0" applyNumberFormat="1" applyFont="1" applyBorder="1" applyAlignment="1">
      <alignment vertical="center"/>
    </xf>
    <xf numFmtId="14" fontId="7" fillId="5" borderId="40" xfId="0" applyNumberFormat="1" applyFont="1" applyFill="1" applyBorder="1" applyAlignment="1">
      <alignment horizontal="center" vertical="center" shrinkToFit="1"/>
    </xf>
    <xf numFmtId="14" fontId="7" fillId="5" borderId="41" xfId="0" applyNumberFormat="1" applyFont="1" applyFill="1" applyBorder="1" applyAlignment="1">
      <alignment horizontal="center" vertical="center" shrinkToFit="1"/>
    </xf>
    <xf numFmtId="14" fontId="7" fillId="5" borderId="74" xfId="0" applyNumberFormat="1" applyFont="1" applyFill="1" applyBorder="1" applyAlignment="1">
      <alignment horizontal="center" vertical="center" shrinkToFit="1"/>
    </xf>
    <xf numFmtId="0" fontId="5" fillId="0" borderId="42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vertical="center"/>
    </xf>
    <xf numFmtId="0" fontId="5" fillId="0" borderId="36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vertical="center"/>
    </xf>
    <xf numFmtId="0" fontId="5" fillId="0" borderId="39" xfId="0" applyFont="1" applyFill="1" applyBorder="1" applyAlignment="1">
      <alignment vertical="center"/>
    </xf>
    <xf numFmtId="176" fontId="7" fillId="5" borderId="14" xfId="0" applyNumberFormat="1" applyFont="1" applyFill="1" applyBorder="1" applyAlignment="1">
      <alignment horizontal="center" vertical="center" wrapText="1"/>
    </xf>
    <xf numFmtId="176" fontId="5" fillId="0" borderId="16" xfId="0" applyNumberFormat="1" applyFont="1" applyBorder="1" applyAlignment="1">
      <alignment horizontal="center" vertical="center"/>
    </xf>
    <xf numFmtId="176" fontId="5" fillId="0" borderId="18" xfId="0" applyNumberFormat="1" applyFont="1" applyBorder="1" applyAlignment="1">
      <alignment horizontal="center" vertical="center"/>
    </xf>
    <xf numFmtId="176" fontId="5" fillId="2" borderId="1" xfId="0" applyNumberFormat="1" applyFont="1" applyFill="1" applyBorder="1" applyAlignment="1">
      <alignment vertical="center"/>
    </xf>
    <xf numFmtId="176" fontId="5" fillId="0" borderId="16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vertical="center"/>
    </xf>
    <xf numFmtId="176" fontId="6" fillId="0" borderId="16" xfId="0" applyNumberFormat="1" applyFont="1" applyFill="1" applyBorder="1" applyAlignment="1">
      <alignment horizontal="center" vertical="center"/>
    </xf>
    <xf numFmtId="176" fontId="5" fillId="0" borderId="35" xfId="0" applyNumberFormat="1" applyFont="1" applyBorder="1" applyAlignment="1">
      <alignment horizontal="center" vertical="center"/>
    </xf>
    <xf numFmtId="176" fontId="5" fillId="0" borderId="16" xfId="0" quotePrefix="1" applyNumberFormat="1" applyFont="1" applyFill="1" applyBorder="1" applyAlignment="1">
      <alignment horizontal="center" vertical="center"/>
    </xf>
    <xf numFmtId="176" fontId="6" fillId="0" borderId="56" xfId="0" applyNumberFormat="1" applyFont="1" applyBorder="1" applyAlignment="1">
      <alignment vertical="center"/>
    </xf>
    <xf numFmtId="176" fontId="6" fillId="0" borderId="56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7" fontId="5" fillId="0" borderId="0" xfId="1" applyNumberFormat="1" applyFont="1" applyBorder="1" applyAlignment="1">
      <alignment vertical="center"/>
    </xf>
    <xf numFmtId="176" fontId="7" fillId="5" borderId="33" xfId="0" applyNumberFormat="1" applyFont="1" applyFill="1" applyBorder="1" applyAlignment="1">
      <alignment horizontal="center" vertical="center" wrapText="1"/>
    </xf>
    <xf numFmtId="176" fontId="7" fillId="5" borderId="34" xfId="0" applyNumberFormat="1" applyFont="1" applyFill="1" applyBorder="1" applyAlignment="1">
      <alignment horizontal="center" vertical="center" wrapText="1"/>
    </xf>
    <xf numFmtId="176" fontId="6" fillId="2" borderId="35" xfId="0" applyNumberFormat="1" applyFont="1" applyFill="1" applyBorder="1" applyAlignment="1">
      <alignment vertical="center"/>
    </xf>
    <xf numFmtId="176" fontId="6" fillId="2" borderId="36" xfId="0" applyNumberFormat="1" applyFont="1" applyFill="1" applyBorder="1" applyAlignment="1">
      <alignment vertical="center"/>
    </xf>
    <xf numFmtId="176" fontId="5" fillId="0" borderId="37" xfId="0" applyNumberFormat="1" applyFont="1" applyBorder="1" applyAlignment="1">
      <alignment vertical="center"/>
    </xf>
    <xf numFmtId="183" fontId="5" fillId="0" borderId="0" xfId="0" applyNumberFormat="1" applyFont="1" applyAlignment="1">
      <alignment horizontal="center" vertical="center"/>
    </xf>
    <xf numFmtId="176" fontId="6" fillId="4" borderId="0" xfId="0" applyNumberFormat="1" applyFont="1" applyFill="1" applyAlignment="1">
      <alignment vertical="center"/>
    </xf>
    <xf numFmtId="176" fontId="6" fillId="2" borderId="0" xfId="0" applyNumberFormat="1" applyFont="1" applyFill="1" applyAlignment="1">
      <alignment vertical="center"/>
    </xf>
    <xf numFmtId="176" fontId="6" fillId="3" borderId="0" xfId="0" applyNumberFormat="1" applyFont="1" applyFill="1" applyAlignment="1">
      <alignment vertical="center"/>
    </xf>
    <xf numFmtId="176" fontId="6" fillId="2" borderId="0" xfId="0" applyNumberFormat="1" applyFont="1" applyFill="1" applyAlignment="1">
      <alignment horizontal="right" vertical="center"/>
    </xf>
    <xf numFmtId="0" fontId="5" fillId="0" borderId="0" xfId="0" applyNumberFormat="1" applyFont="1" applyAlignment="1">
      <alignment horizontal="left" vertical="center"/>
    </xf>
    <xf numFmtId="0" fontId="15" fillId="0" borderId="0" xfId="0" applyNumberFormat="1" applyFont="1" applyAlignment="1">
      <alignment horizontal="left" vertical="center"/>
    </xf>
    <xf numFmtId="0" fontId="7" fillId="5" borderId="14" xfId="0" applyNumberFormat="1" applyFont="1" applyFill="1" applyBorder="1" applyAlignment="1">
      <alignment horizontal="left" vertical="center" wrapText="1"/>
    </xf>
    <xf numFmtId="176" fontId="6" fillId="2" borderId="16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176" fontId="5" fillId="17" borderId="0" xfId="0" applyNumberFormat="1" applyFont="1" applyFill="1" applyAlignment="1">
      <alignment vertical="center"/>
    </xf>
    <xf numFmtId="176" fontId="5" fillId="17" borderId="1" xfId="0" applyNumberFormat="1" applyFont="1" applyFill="1" applyBorder="1" applyAlignment="1">
      <alignment vertical="center"/>
    </xf>
    <xf numFmtId="176" fontId="29" fillId="17" borderId="1" xfId="0" applyNumberFormat="1" applyFont="1" applyFill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176" fontId="29" fillId="0" borderId="1" xfId="0" applyNumberFormat="1" applyFont="1" applyBorder="1" applyAlignment="1">
      <alignment vertical="center"/>
    </xf>
    <xf numFmtId="176" fontId="5" fillId="0" borderId="1" xfId="0" quotePrefix="1" applyNumberFormat="1" applyFont="1" applyBorder="1" applyAlignment="1">
      <alignment vertical="center"/>
    </xf>
    <xf numFmtId="0" fontId="5" fillId="0" borderId="19" xfId="0" applyNumberFormat="1" applyFont="1" applyBorder="1" applyAlignment="1">
      <alignment horizontal="left" vertical="center"/>
    </xf>
    <xf numFmtId="176" fontId="5" fillId="0" borderId="55" xfId="0" applyNumberFormat="1" applyFont="1" applyBorder="1" applyAlignment="1">
      <alignment vertical="center"/>
    </xf>
    <xf numFmtId="176" fontId="15" fillId="0" borderId="0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176" fontId="7" fillId="5" borderId="69" xfId="0" applyNumberFormat="1" applyFont="1" applyFill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176" fontId="7" fillId="5" borderId="66" xfId="0" applyNumberFormat="1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/>
    </xf>
    <xf numFmtId="176" fontId="17" fillId="2" borderId="0" xfId="0" applyNumberFormat="1" applyFont="1" applyFill="1" applyBorder="1" applyAlignment="1">
      <alignment horizontal="right" vertical="center"/>
    </xf>
    <xf numFmtId="176" fontId="17" fillId="2" borderId="54" xfId="0" applyNumberFormat="1" applyFont="1" applyFill="1" applyBorder="1" applyAlignment="1">
      <alignment horizontal="right" vertical="center"/>
    </xf>
    <xf numFmtId="176" fontId="17" fillId="2" borderId="53" xfId="0" applyNumberFormat="1" applyFont="1" applyFill="1" applyBorder="1" applyAlignment="1">
      <alignment horizontal="right" vertical="center"/>
    </xf>
    <xf numFmtId="176" fontId="17" fillId="2" borderId="67" xfId="0" applyNumberFormat="1" applyFont="1" applyFill="1" applyBorder="1" applyAlignment="1">
      <alignment horizontal="right" vertical="center"/>
    </xf>
    <xf numFmtId="0" fontId="17" fillId="0" borderId="35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176" fontId="17" fillId="0" borderId="0" xfId="0" applyNumberFormat="1" applyFont="1" applyBorder="1" applyAlignment="1">
      <alignment horizontal="right" vertical="center"/>
    </xf>
    <xf numFmtId="176" fontId="17" fillId="0" borderId="54" xfId="0" applyNumberFormat="1" applyFont="1" applyBorder="1" applyAlignment="1">
      <alignment horizontal="right" vertical="center"/>
    </xf>
    <xf numFmtId="176" fontId="17" fillId="0" borderId="53" xfId="0" applyNumberFormat="1" applyFont="1" applyBorder="1" applyAlignment="1">
      <alignment horizontal="right" vertical="center"/>
    </xf>
    <xf numFmtId="176" fontId="17" fillId="0" borderId="67" xfId="0" applyNumberFormat="1" applyFont="1" applyFill="1" applyBorder="1" applyAlignment="1">
      <alignment horizontal="right" vertical="center"/>
    </xf>
    <xf numFmtId="176" fontId="17" fillId="0" borderId="0" xfId="0" applyNumberFormat="1" applyFont="1" applyFill="1" applyBorder="1" applyAlignment="1">
      <alignment horizontal="right" vertical="center"/>
    </xf>
    <xf numFmtId="0" fontId="17" fillId="0" borderId="35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176" fontId="17" fillId="0" borderId="54" xfId="0" applyNumberFormat="1" applyFont="1" applyFill="1" applyBorder="1" applyAlignment="1">
      <alignment horizontal="right" vertical="center"/>
    </xf>
    <xf numFmtId="176" fontId="17" fillId="0" borderId="53" xfId="0" applyNumberFormat="1" applyFont="1" applyFill="1" applyBorder="1" applyAlignment="1">
      <alignment horizontal="right" vertical="center"/>
    </xf>
    <xf numFmtId="176" fontId="17" fillId="0" borderId="67" xfId="0" applyNumberFormat="1" applyFont="1" applyBorder="1" applyAlignment="1">
      <alignment horizontal="right" vertical="center"/>
    </xf>
    <xf numFmtId="0" fontId="17" fillId="0" borderId="37" xfId="0" applyFont="1" applyBorder="1" applyAlignment="1">
      <alignment vertical="center"/>
    </xf>
    <xf numFmtId="0" fontId="17" fillId="0" borderId="38" xfId="0" applyFont="1" applyBorder="1" applyAlignment="1">
      <alignment vertical="center"/>
    </xf>
    <xf numFmtId="0" fontId="17" fillId="0" borderId="38" xfId="0" applyFont="1" applyBorder="1" applyAlignment="1">
      <alignment horizontal="center" vertical="center"/>
    </xf>
    <xf numFmtId="176" fontId="17" fillId="0" borderId="38" xfId="0" applyNumberFormat="1" applyFont="1" applyBorder="1" applyAlignment="1">
      <alignment horizontal="right" vertical="center"/>
    </xf>
    <xf numFmtId="176" fontId="17" fillId="0" borderId="55" xfId="0" applyNumberFormat="1" applyFont="1" applyBorder="1" applyAlignment="1">
      <alignment horizontal="right" vertical="center"/>
    </xf>
    <xf numFmtId="176" fontId="17" fillId="0" borderId="56" xfId="0" applyNumberFormat="1" applyFont="1" applyBorder="1" applyAlignment="1">
      <alignment horizontal="right" vertical="center"/>
    </xf>
    <xf numFmtId="176" fontId="17" fillId="0" borderId="57" xfId="0" applyNumberFormat="1" applyFont="1" applyBorder="1" applyAlignment="1">
      <alignment horizontal="right" vertical="center"/>
    </xf>
    <xf numFmtId="176" fontId="17" fillId="0" borderId="68" xfId="0" applyNumberFormat="1" applyFont="1" applyBorder="1" applyAlignment="1">
      <alignment horizontal="right" vertical="center"/>
    </xf>
    <xf numFmtId="0" fontId="5" fillId="0" borderId="51" xfId="0" applyFont="1" applyBorder="1" applyAlignment="1">
      <alignment horizontal="center" vertical="center"/>
    </xf>
    <xf numFmtId="176" fontId="5" fillId="0" borderId="51" xfId="0" applyNumberFormat="1" applyFont="1" applyBorder="1" applyAlignment="1">
      <alignment horizontal="right" vertical="center"/>
    </xf>
    <xf numFmtId="176" fontId="5" fillId="0" borderId="52" xfId="0" applyNumberFormat="1" applyFont="1" applyBorder="1" applyAlignment="1">
      <alignment horizontal="right" vertical="center"/>
    </xf>
    <xf numFmtId="176" fontId="5" fillId="0" borderId="54" xfId="0" applyNumberFormat="1" applyFont="1" applyBorder="1" applyAlignment="1">
      <alignment horizontal="right" vertical="center"/>
    </xf>
    <xf numFmtId="0" fontId="5" fillId="0" borderId="56" xfId="0" applyFont="1" applyBorder="1" applyAlignment="1">
      <alignment horizontal="center" vertical="center"/>
    </xf>
    <xf numFmtId="176" fontId="5" fillId="0" borderId="56" xfId="0" applyNumberFormat="1" applyFont="1" applyBorder="1" applyAlignment="1">
      <alignment horizontal="right" vertical="center"/>
    </xf>
    <xf numFmtId="176" fontId="5" fillId="0" borderId="57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>
      <alignment horizontal="left" vertical="center"/>
    </xf>
    <xf numFmtId="176" fontId="5" fillId="0" borderId="36" xfId="0" applyNumberFormat="1" applyFont="1" applyBorder="1" applyAlignment="1">
      <alignment horizontal="right" vertical="center"/>
    </xf>
    <xf numFmtId="176" fontId="5" fillId="0" borderId="0" xfId="0" applyNumberFormat="1" applyFont="1" applyFill="1" applyBorder="1" applyAlignment="1">
      <alignment horizontal="left" vertical="center"/>
    </xf>
    <xf numFmtId="176" fontId="5" fillId="0" borderId="36" xfId="0" applyNumberFormat="1" applyFont="1" applyFill="1" applyBorder="1" applyAlignment="1">
      <alignment horizontal="right" vertical="center"/>
    </xf>
    <xf numFmtId="176" fontId="30" fillId="0" borderId="0" xfId="4" applyNumberFormat="1" applyFont="1" applyFill="1" applyBorder="1" applyAlignment="1">
      <alignment horizontal="left" vertical="center"/>
    </xf>
    <xf numFmtId="176" fontId="30" fillId="0" borderId="0" xfId="4" applyNumberFormat="1" applyFont="1" applyFill="1" applyBorder="1" applyAlignment="1">
      <alignment horizontal="left" vertical="top"/>
    </xf>
    <xf numFmtId="176" fontId="19" fillId="0" borderId="0" xfId="0" applyNumberFormat="1" applyFont="1" applyFill="1" applyBorder="1" applyAlignment="1">
      <alignment horizontal="left" vertical="center"/>
    </xf>
    <xf numFmtId="176" fontId="19" fillId="0" borderId="38" xfId="0" applyNumberFormat="1" applyFont="1" applyFill="1" applyBorder="1" applyAlignment="1">
      <alignment horizontal="left" vertical="center"/>
    </xf>
    <xf numFmtId="176" fontId="5" fillId="0" borderId="38" xfId="0" applyNumberFormat="1" applyFont="1" applyFill="1" applyBorder="1" applyAlignment="1">
      <alignment horizontal="center" vertical="center"/>
    </xf>
    <xf numFmtId="176" fontId="5" fillId="0" borderId="38" xfId="0" applyNumberFormat="1" applyFont="1" applyFill="1" applyBorder="1" applyAlignment="1">
      <alignment vertical="center"/>
    </xf>
    <xf numFmtId="176" fontId="5" fillId="0" borderId="39" xfId="0" applyNumberFormat="1" applyFont="1" applyFill="1" applyBorder="1" applyAlignment="1">
      <alignment horizontal="right" vertical="center"/>
    </xf>
    <xf numFmtId="0" fontId="7" fillId="5" borderId="34" xfId="0" applyFont="1" applyFill="1" applyBorder="1" applyAlignment="1">
      <alignment horizontal="center" vertical="center" wrapText="1"/>
    </xf>
    <xf numFmtId="176" fontId="6" fillId="3" borderId="36" xfId="0" applyNumberFormat="1" applyFont="1" applyFill="1" applyBorder="1" applyAlignment="1">
      <alignment vertical="center"/>
    </xf>
    <xf numFmtId="0" fontId="5" fillId="0" borderId="38" xfId="0" applyFont="1" applyBorder="1" applyAlignment="1">
      <alignment horizontal="center" vertical="center"/>
    </xf>
    <xf numFmtId="10" fontId="15" fillId="0" borderId="0" xfId="2" applyNumberFormat="1" applyFont="1" applyBorder="1" applyAlignment="1">
      <alignment horizontal="center" vertical="center"/>
    </xf>
    <xf numFmtId="176" fontId="6" fillId="2" borderId="36" xfId="0" applyNumberFormat="1" applyFont="1" applyFill="1" applyBorder="1" applyAlignment="1">
      <alignment horizontal="right" vertical="center"/>
    </xf>
    <xf numFmtId="176" fontId="6" fillId="2" borderId="53" xfId="0" applyNumberFormat="1" applyFont="1" applyFill="1" applyBorder="1" applyAlignment="1">
      <alignment horizontal="right" vertical="center"/>
    </xf>
    <xf numFmtId="176" fontId="6" fillId="2" borderId="54" xfId="0" applyNumberFormat="1" applyFont="1" applyFill="1" applyBorder="1" applyAlignment="1">
      <alignment horizontal="right" vertical="center"/>
    </xf>
    <xf numFmtId="176" fontId="6" fillId="2" borderId="47" xfId="0" applyNumberFormat="1" applyFont="1" applyFill="1" applyBorder="1" applyAlignment="1">
      <alignment horizontal="right" vertical="center"/>
    </xf>
    <xf numFmtId="176" fontId="6" fillId="2" borderId="53" xfId="0" applyNumberFormat="1" applyFont="1" applyFill="1" applyBorder="1" applyAlignment="1">
      <alignment vertical="center"/>
    </xf>
    <xf numFmtId="176" fontId="6" fillId="2" borderId="54" xfId="0" applyNumberFormat="1" applyFont="1" applyFill="1" applyBorder="1" applyAlignment="1">
      <alignment vertical="center"/>
    </xf>
    <xf numFmtId="176" fontId="6" fillId="3" borderId="53" xfId="0" applyNumberFormat="1" applyFont="1" applyFill="1" applyBorder="1" applyAlignment="1">
      <alignment vertical="center"/>
    </xf>
    <xf numFmtId="176" fontId="6" fillId="3" borderId="54" xfId="0" applyNumberFormat="1" applyFont="1" applyFill="1" applyBorder="1" applyAlignment="1">
      <alignment vertical="center"/>
    </xf>
    <xf numFmtId="0" fontId="5" fillId="0" borderId="37" xfId="0" applyFont="1" applyBorder="1" applyAlignment="1">
      <alignment horizontal="center" vertical="center"/>
    </xf>
    <xf numFmtId="176" fontId="5" fillId="0" borderId="48" xfId="0" applyNumberFormat="1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176" fontId="6" fillId="3" borderId="35" xfId="0" applyNumberFormat="1" applyFont="1" applyFill="1" applyBorder="1" applyAlignment="1">
      <alignment vertical="center"/>
    </xf>
    <xf numFmtId="0" fontId="7" fillId="10" borderId="0" xfId="0" applyFont="1" applyFill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10" fontId="5" fillId="0" borderId="0" xfId="2" applyNumberFormat="1" applyFont="1" applyBorder="1" applyAlignment="1">
      <alignment horizontal="right" vertical="center"/>
    </xf>
    <xf numFmtId="10" fontId="5" fillId="0" borderId="0" xfId="2" applyNumberFormat="1" applyFont="1" applyAlignment="1">
      <alignment vertical="center"/>
    </xf>
    <xf numFmtId="10" fontId="6" fillId="0" borderId="0" xfId="2" applyNumberFormat="1" applyFont="1" applyAlignment="1">
      <alignment vertical="center"/>
    </xf>
    <xf numFmtId="0" fontId="30" fillId="0" borderId="0" xfId="4" applyNumberFormat="1" applyFont="1" applyBorder="1" applyAlignment="1">
      <alignment horizontal="center" vertical="center"/>
    </xf>
    <xf numFmtId="0" fontId="30" fillId="0" borderId="0" xfId="4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9" fillId="0" borderId="38" xfId="0" applyNumberFormat="1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30" fillId="22" borderId="0" xfId="4" applyNumberFormat="1" applyFont="1" applyFill="1" applyBorder="1" applyAlignment="1">
      <alignment horizontal="center" vertical="center"/>
    </xf>
    <xf numFmtId="0" fontId="19" fillId="22" borderId="0" xfId="0" applyNumberFormat="1" applyFont="1" applyFill="1" applyBorder="1" applyAlignment="1">
      <alignment horizontal="center" vertical="center"/>
    </xf>
    <xf numFmtId="0" fontId="35" fillId="23" borderId="94" xfId="62" applyFont="1" applyFill="1" applyBorder="1">
      <alignment vertical="center"/>
    </xf>
    <xf numFmtId="0" fontId="35" fillId="0" borderId="94" xfId="62" applyFont="1" applyBorder="1">
      <alignment vertical="center"/>
    </xf>
    <xf numFmtId="184" fontId="35" fillId="0" borderId="94" xfId="62" applyNumberFormat="1" applyFont="1" applyBorder="1">
      <alignment vertical="center"/>
    </xf>
    <xf numFmtId="0" fontId="35" fillId="0" borderId="0" xfId="62" applyFont="1">
      <alignment vertical="center"/>
    </xf>
    <xf numFmtId="0" fontId="35" fillId="0" borderId="94" xfId="62" applyFont="1" applyFill="1" applyBorder="1">
      <alignment vertical="center"/>
    </xf>
    <xf numFmtId="184" fontId="35" fillId="0" borderId="0" xfId="62" applyNumberFormat="1" applyFont="1">
      <alignment vertical="center"/>
    </xf>
    <xf numFmtId="0" fontId="7" fillId="10" borderId="0" xfId="0" applyFont="1" applyFill="1" applyBorder="1" applyAlignment="1">
      <alignment horizontal="center" vertical="center"/>
    </xf>
    <xf numFmtId="181" fontId="5" fillId="0" borderId="35" xfId="0" applyNumberFormat="1" applyFont="1" applyBorder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  <xf numFmtId="181" fontId="17" fillId="0" borderId="0" xfId="0" applyNumberFormat="1" applyFont="1" applyBorder="1" applyAlignment="1">
      <alignment horizontal="right" vertical="center"/>
    </xf>
    <xf numFmtId="176" fontId="7" fillId="29" borderId="33" xfId="0" applyNumberFormat="1" applyFont="1" applyFill="1" applyBorder="1" applyAlignment="1">
      <alignment horizontal="center" vertical="center" wrapText="1"/>
    </xf>
    <xf numFmtId="176" fontId="7" fillId="29" borderId="46" xfId="0" applyNumberFormat="1" applyFont="1" applyFill="1" applyBorder="1" applyAlignment="1">
      <alignment horizontal="center" vertical="center" wrapText="1"/>
    </xf>
    <xf numFmtId="41" fontId="5" fillId="0" borderId="0" xfId="1" applyFont="1" applyBorder="1" applyAlignment="1">
      <alignment vertical="center"/>
    </xf>
    <xf numFmtId="41" fontId="5" fillId="0" borderId="0" xfId="1" applyFont="1" applyBorder="1" applyAlignment="1">
      <alignment horizontal="center" vertical="center"/>
    </xf>
    <xf numFmtId="41" fontId="15" fillId="0" borderId="0" xfId="1" applyFont="1" applyBorder="1" applyAlignment="1">
      <alignment horizontal="center" vertical="center"/>
    </xf>
    <xf numFmtId="41" fontId="5" fillId="0" borderId="47" xfId="1" applyFont="1" applyBorder="1" applyAlignment="1">
      <alignment vertical="center"/>
    </xf>
    <xf numFmtId="41" fontId="5" fillId="0" borderId="48" xfId="1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14" fontId="16" fillId="0" borderId="0" xfId="0" applyNumberFormat="1" applyFont="1" applyAlignment="1">
      <alignment horizontal="left" vertical="center" wrapText="1"/>
    </xf>
    <xf numFmtId="0" fontId="4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176" fontId="15" fillId="20" borderId="0" xfId="0" applyNumberFormat="1" applyFont="1" applyFill="1" applyAlignment="1">
      <alignment horizontal="center" vertical="center"/>
    </xf>
    <xf numFmtId="187" fontId="15" fillId="20" borderId="0" xfId="1" applyNumberFormat="1" applyFont="1" applyFill="1" applyBorder="1" applyAlignment="1">
      <alignment horizontal="center" vertical="center"/>
    </xf>
    <xf numFmtId="14" fontId="7" fillId="5" borderId="50" xfId="0" applyNumberFormat="1" applyFont="1" applyFill="1" applyBorder="1" applyAlignment="1">
      <alignment horizontal="center" vertical="center" wrapText="1"/>
    </xf>
    <xf numFmtId="14" fontId="7" fillId="5" borderId="51" xfId="0" applyNumberFormat="1" applyFont="1" applyFill="1" applyBorder="1" applyAlignment="1">
      <alignment horizontal="center" vertical="center" wrapText="1"/>
    </xf>
    <xf numFmtId="14" fontId="7" fillId="5" borderId="161" xfId="0" applyNumberFormat="1" applyFont="1" applyFill="1" applyBorder="1" applyAlignment="1">
      <alignment horizontal="center" vertical="center" wrapText="1"/>
    </xf>
    <xf numFmtId="14" fontId="7" fillId="5" borderId="52" xfId="0" applyNumberFormat="1" applyFont="1" applyFill="1" applyBorder="1" applyAlignment="1">
      <alignment horizontal="center" vertical="center" wrapText="1"/>
    </xf>
    <xf numFmtId="14" fontId="7" fillId="5" borderId="53" xfId="0" applyNumberFormat="1" applyFont="1" applyFill="1" applyBorder="1" applyAlignment="1">
      <alignment horizontal="center" vertical="center" wrapText="1"/>
    </xf>
    <xf numFmtId="14" fontId="7" fillId="5" borderId="0" xfId="0" applyNumberFormat="1" applyFont="1" applyFill="1" applyAlignment="1">
      <alignment horizontal="center" vertical="center" wrapText="1"/>
    </xf>
    <xf numFmtId="14" fontId="7" fillId="5" borderId="162" xfId="0" applyNumberFormat="1" applyFont="1" applyFill="1" applyBorder="1" applyAlignment="1">
      <alignment horizontal="center" vertical="center" wrapText="1"/>
    </xf>
    <xf numFmtId="14" fontId="7" fillId="5" borderId="54" xfId="0" applyNumberFormat="1" applyFont="1" applyFill="1" applyBorder="1" applyAlignment="1">
      <alignment horizontal="center" vertical="center" wrapText="1"/>
    </xf>
    <xf numFmtId="188" fontId="48" fillId="0" borderId="0" xfId="173" applyNumberFormat="1" applyFont="1" applyAlignment="1">
      <alignment horizontal="center" wrapText="1"/>
    </xf>
    <xf numFmtId="188" fontId="48" fillId="0" borderId="0" xfId="173" applyNumberFormat="1" applyFont="1" applyAlignment="1">
      <alignment horizontal="left"/>
    </xf>
    <xf numFmtId="188" fontId="48" fillId="27" borderId="163" xfId="173" applyNumberFormat="1" applyFont="1" applyFill="1" applyBorder="1" applyAlignment="1">
      <alignment horizontal="center"/>
    </xf>
    <xf numFmtId="188" fontId="24" fillId="0" borderId="0" xfId="173" applyNumberFormat="1" applyFont="1" applyAlignment="1">
      <alignment vertical="center"/>
    </xf>
    <xf numFmtId="176" fontId="6" fillId="4" borderId="53" xfId="0" applyNumberFormat="1" applyFont="1" applyFill="1" applyBorder="1" applyAlignment="1">
      <alignment horizontal="center" vertical="center"/>
    </xf>
    <xf numFmtId="182" fontId="6" fillId="4" borderId="162" xfId="0" applyNumberFormat="1" applyFont="1" applyFill="1" applyBorder="1" applyAlignment="1">
      <alignment vertical="center"/>
    </xf>
    <xf numFmtId="182" fontId="6" fillId="4" borderId="0" xfId="0" applyNumberFormat="1" applyFont="1" applyFill="1" applyAlignment="1">
      <alignment vertical="center"/>
    </xf>
    <xf numFmtId="182" fontId="6" fillId="4" borderId="54" xfId="0" applyNumberFormat="1" applyFont="1" applyFill="1" applyBorder="1" applyAlignment="1">
      <alignment vertical="center"/>
    </xf>
    <xf numFmtId="188" fontId="48" fillId="0" borderId="164" xfId="173" applyNumberFormat="1" applyFont="1" applyBorder="1" applyAlignment="1">
      <alignment horizontal="center" vertical="center"/>
    </xf>
    <xf numFmtId="188" fontId="48" fillId="27" borderId="164" xfId="173" applyNumberFormat="1" applyFont="1" applyFill="1" applyBorder="1" applyAlignment="1">
      <alignment horizontal="center" vertical="center"/>
    </xf>
    <xf numFmtId="176" fontId="6" fillId="2" borderId="53" xfId="0" applyNumberFormat="1" applyFont="1" applyFill="1" applyBorder="1" applyAlignment="1">
      <alignment horizontal="center" vertical="center"/>
    </xf>
    <xf numFmtId="182" fontId="6" fillId="2" borderId="162" xfId="0" applyNumberFormat="1" applyFont="1" applyFill="1" applyBorder="1" applyAlignment="1">
      <alignment vertical="center"/>
    </xf>
    <xf numFmtId="182" fontId="6" fillId="2" borderId="0" xfId="0" applyNumberFormat="1" applyFont="1" applyFill="1" applyAlignment="1">
      <alignment vertical="center"/>
    </xf>
    <xf numFmtId="182" fontId="6" fillId="2" borderId="54" xfId="0" applyNumberFormat="1" applyFont="1" applyFill="1" applyBorder="1" applyAlignment="1">
      <alignment vertical="center"/>
    </xf>
    <xf numFmtId="188" fontId="50" fillId="0" borderId="0" xfId="173" applyNumberFormat="1" applyFont="1" applyAlignment="1">
      <alignment vertical="center"/>
    </xf>
    <xf numFmtId="188" fontId="24" fillId="0" borderId="0" xfId="173" applyNumberFormat="1" applyFont="1" applyAlignment="1">
      <alignment horizontal="center" vertical="center"/>
    </xf>
    <xf numFmtId="188" fontId="24" fillId="27" borderId="0" xfId="173" applyNumberFormat="1" applyFont="1" applyFill="1" applyAlignment="1">
      <alignment vertical="center"/>
    </xf>
    <xf numFmtId="176" fontId="6" fillId="3" borderId="53" xfId="0" applyNumberFormat="1" applyFont="1" applyFill="1" applyBorder="1" applyAlignment="1">
      <alignment horizontal="center" vertical="center"/>
    </xf>
    <xf numFmtId="182" fontId="6" fillId="3" borderId="162" xfId="0" applyNumberFormat="1" applyFont="1" applyFill="1" applyBorder="1" applyAlignment="1">
      <alignment vertical="center"/>
    </xf>
    <xf numFmtId="182" fontId="6" fillId="3" borderId="0" xfId="0" applyNumberFormat="1" applyFont="1" applyFill="1" applyAlignment="1">
      <alignment vertical="center"/>
    </xf>
    <xf numFmtId="182" fontId="6" fillId="3" borderId="54" xfId="0" applyNumberFormat="1" applyFont="1" applyFill="1" applyBorder="1" applyAlignment="1">
      <alignment vertical="center"/>
    </xf>
    <xf numFmtId="188" fontId="51" fillId="0" borderId="0" xfId="173" applyNumberFormat="1" applyFont="1" applyAlignment="1">
      <alignment vertical="center"/>
    </xf>
    <xf numFmtId="188" fontId="51" fillId="0" borderId="0" xfId="173" applyNumberFormat="1" applyFont="1" applyAlignment="1">
      <alignment horizontal="center" vertical="center"/>
    </xf>
    <xf numFmtId="189" fontId="51" fillId="27" borderId="0" xfId="173" applyNumberFormat="1" applyFont="1" applyFill="1" applyAlignment="1">
      <alignment vertical="center"/>
    </xf>
    <xf numFmtId="183" fontId="17" fillId="0" borderId="53" xfId="173" applyNumberFormat="1" applyFont="1" applyBorder="1" applyAlignment="1">
      <alignment horizontal="center" vertical="center"/>
    </xf>
    <xf numFmtId="176" fontId="17" fillId="0" borderId="0" xfId="173" applyNumberFormat="1" applyFont="1" applyAlignment="1">
      <alignment vertical="center"/>
    </xf>
    <xf numFmtId="182" fontId="17" fillId="0" borderId="162" xfId="173" applyNumberFormat="1" applyFont="1" applyBorder="1" applyAlignment="1">
      <alignment vertical="center"/>
    </xf>
    <xf numFmtId="182" fontId="17" fillId="0" borderId="0" xfId="173" applyNumberFormat="1" applyFont="1" applyAlignment="1">
      <alignment vertical="center"/>
    </xf>
    <xf numFmtId="182" fontId="17" fillId="0" borderId="54" xfId="173" applyNumberFormat="1" applyFont="1" applyBorder="1" applyAlignment="1">
      <alignment vertical="center"/>
    </xf>
    <xf numFmtId="188" fontId="51" fillId="0" borderId="0" xfId="173" applyNumberFormat="1" applyFont="1" applyAlignment="1">
      <alignment horizontal="left" vertical="center" indent="1"/>
    </xf>
    <xf numFmtId="188" fontId="24" fillId="0" borderId="0" xfId="173" applyNumberFormat="1" applyFont="1" applyAlignment="1">
      <alignment horizontal="left" vertical="center" indent="2"/>
    </xf>
    <xf numFmtId="188" fontId="24" fillId="0" borderId="0" xfId="173" applyNumberFormat="1" applyFont="1" applyAlignment="1">
      <alignment horizontal="left" vertical="center"/>
    </xf>
    <xf numFmtId="189" fontId="24" fillId="27" borderId="0" xfId="173" applyNumberFormat="1" applyFont="1" applyFill="1" applyAlignment="1">
      <alignment vertical="center"/>
    </xf>
    <xf numFmtId="183" fontId="6" fillId="3" borderId="53" xfId="0" applyNumberFormat="1" applyFont="1" applyFill="1" applyBorder="1" applyAlignment="1">
      <alignment horizontal="center" vertical="center"/>
    </xf>
    <xf numFmtId="188" fontId="24" fillId="32" borderId="0" xfId="173" applyNumberFormat="1" applyFont="1" applyFill="1" applyAlignment="1">
      <alignment horizontal="left" vertical="center" indent="2"/>
    </xf>
    <xf numFmtId="188" fontId="50" fillId="0" borderId="165" xfId="173" applyNumberFormat="1" applyFont="1" applyBorder="1" applyAlignment="1">
      <alignment vertical="center"/>
    </xf>
    <xf numFmtId="188" fontId="50" fillId="0" borderId="165" xfId="173" applyNumberFormat="1" applyFont="1" applyBorder="1" applyAlignment="1">
      <alignment horizontal="left" vertical="center"/>
    </xf>
    <xf numFmtId="189" fontId="50" fillId="27" borderId="165" xfId="173" applyNumberFormat="1" applyFont="1" applyFill="1" applyBorder="1" applyAlignment="1">
      <alignment vertical="center"/>
    </xf>
    <xf numFmtId="188" fontId="22" fillId="0" borderId="0" xfId="173" applyNumberFormat="1" applyFont="1" applyAlignment="1">
      <alignment vertical="center"/>
    </xf>
    <xf numFmtId="183" fontId="6" fillId="2" borderId="53" xfId="0" applyNumberFormat="1" applyFont="1" applyFill="1" applyBorder="1" applyAlignment="1">
      <alignment horizontal="center" vertical="center"/>
    </xf>
    <xf numFmtId="188" fontId="24" fillId="0" borderId="0" xfId="173" applyNumberFormat="1" applyFont="1" applyAlignment="1">
      <alignment horizontal="left" vertical="center" indent="3"/>
    </xf>
    <xf numFmtId="183" fontId="6" fillId="4" borderId="53" xfId="0" applyNumberFormat="1" applyFont="1" applyFill="1" applyBorder="1" applyAlignment="1">
      <alignment horizontal="center" vertical="center"/>
    </xf>
    <xf numFmtId="183" fontId="6" fillId="0" borderId="53" xfId="0" applyNumberFormat="1" applyFont="1" applyBorder="1" applyAlignment="1">
      <alignment horizontal="center" vertical="center"/>
    </xf>
    <xf numFmtId="183" fontId="6" fillId="4" borderId="55" xfId="0" applyNumberFormat="1" applyFont="1" applyFill="1" applyBorder="1" applyAlignment="1">
      <alignment horizontal="center" vertical="center"/>
    </xf>
    <xf numFmtId="176" fontId="6" fillId="4" borderId="56" xfId="0" applyNumberFormat="1" applyFont="1" applyFill="1" applyBorder="1" applyAlignment="1">
      <alignment vertical="center"/>
    </xf>
    <xf numFmtId="182" fontId="6" fillId="4" borderId="166" xfId="0" applyNumberFormat="1" applyFont="1" applyFill="1" applyBorder="1" applyAlignment="1">
      <alignment vertical="center"/>
    </xf>
    <xf numFmtId="182" fontId="6" fillId="4" borderId="56" xfId="0" applyNumberFormat="1" applyFont="1" applyFill="1" applyBorder="1" applyAlignment="1">
      <alignment vertical="center"/>
    </xf>
    <xf numFmtId="182" fontId="6" fillId="4" borderId="57" xfId="0" applyNumberFormat="1" applyFont="1" applyFill="1" applyBorder="1" applyAlignment="1">
      <alignment vertical="center"/>
    </xf>
    <xf numFmtId="190" fontId="5" fillId="0" borderId="0" xfId="0" applyNumberFormat="1" applyFont="1" applyAlignment="1">
      <alignment vertical="center"/>
    </xf>
    <xf numFmtId="182" fontId="5" fillId="0" borderId="0" xfId="0" applyNumberFormat="1" applyFont="1" applyAlignment="1">
      <alignment vertical="center"/>
    </xf>
    <xf numFmtId="191" fontId="5" fillId="0" borderId="0" xfId="0" applyNumberFormat="1" applyFont="1" applyAlignment="1">
      <alignment vertical="center"/>
    </xf>
    <xf numFmtId="192" fontId="5" fillId="0" borderId="0" xfId="0" applyNumberFormat="1" applyFont="1" applyAlignment="1">
      <alignment vertical="center"/>
    </xf>
    <xf numFmtId="193" fontId="5" fillId="0" borderId="0" xfId="0" applyNumberFormat="1" applyFont="1" applyAlignment="1">
      <alignment vertical="center"/>
    </xf>
    <xf numFmtId="183" fontId="5" fillId="0" borderId="0" xfId="0" applyNumberFormat="1" applyFont="1" applyAlignment="1">
      <alignment vertical="center"/>
    </xf>
    <xf numFmtId="0" fontId="5" fillId="9" borderId="0" xfId="0" applyFont="1" applyFill="1" applyBorder="1" applyAlignment="1">
      <alignment vertical="center"/>
    </xf>
    <xf numFmtId="0" fontId="17" fillId="9" borderId="35" xfId="0" applyFont="1" applyFill="1" applyBorder="1" applyAlignment="1">
      <alignment vertical="center"/>
    </xf>
    <xf numFmtId="0" fontId="17" fillId="9" borderId="0" xfId="0" applyFont="1" applyFill="1" applyBorder="1" applyAlignment="1">
      <alignment vertical="center"/>
    </xf>
    <xf numFmtId="0" fontId="17" fillId="9" borderId="0" xfId="0" applyFont="1" applyFill="1" applyBorder="1" applyAlignment="1">
      <alignment horizontal="center" vertical="center"/>
    </xf>
    <xf numFmtId="181" fontId="17" fillId="9" borderId="0" xfId="0" applyNumberFormat="1" applyFont="1" applyFill="1" applyBorder="1" applyAlignment="1">
      <alignment horizontal="right" vertical="center"/>
    </xf>
    <xf numFmtId="176" fontId="17" fillId="9" borderId="0" xfId="0" applyNumberFormat="1" applyFont="1" applyFill="1" applyBorder="1" applyAlignment="1">
      <alignment horizontal="right" vertical="center"/>
    </xf>
    <xf numFmtId="176" fontId="17" fillId="9" borderId="54" xfId="0" applyNumberFormat="1" applyFont="1" applyFill="1" applyBorder="1" applyAlignment="1">
      <alignment horizontal="right" vertical="center"/>
    </xf>
    <xf numFmtId="176" fontId="17" fillId="9" borderId="53" xfId="0" applyNumberFormat="1" applyFont="1" applyFill="1" applyBorder="1" applyAlignment="1">
      <alignment horizontal="right" vertical="center"/>
    </xf>
    <xf numFmtId="176" fontId="17" fillId="9" borderId="67" xfId="0" applyNumberFormat="1" applyFont="1" applyFill="1" applyBorder="1" applyAlignment="1">
      <alignment horizontal="right" vertical="center"/>
    </xf>
    <xf numFmtId="41" fontId="5" fillId="0" borderId="0" xfId="1" applyFont="1" applyBorder="1" applyAlignment="1">
      <alignment horizontal="right" vertical="center"/>
    </xf>
    <xf numFmtId="181" fontId="5" fillId="0" borderId="0" xfId="0" applyNumberFormat="1" applyFont="1" applyAlignment="1">
      <alignment horizontal="left" vertical="center"/>
    </xf>
    <xf numFmtId="181" fontId="17" fillId="0" borderId="0" xfId="0" applyNumberFormat="1" applyFont="1" applyAlignment="1">
      <alignment vertical="center"/>
    </xf>
    <xf numFmtId="181" fontId="17" fillId="0" borderId="222" xfId="0" applyNumberFormat="1" applyFont="1" applyBorder="1" applyAlignment="1">
      <alignment horizontal="right" vertical="center"/>
    </xf>
    <xf numFmtId="343" fontId="386" fillId="0" borderId="122" xfId="7981" applyNumberFormat="1" applyFont="1" applyBorder="1" applyAlignment="1" applyProtection="1">
      <alignment vertical="center" wrapText="1"/>
    </xf>
    <xf numFmtId="176" fontId="28" fillId="0" borderId="70" xfId="0" applyNumberFormat="1" applyFont="1" applyBorder="1" applyAlignment="1">
      <alignment horizontal="center" vertical="center" wrapText="1"/>
    </xf>
    <xf numFmtId="176" fontId="5" fillId="9" borderId="0" xfId="0" applyNumberFormat="1" applyFont="1" applyFill="1" applyBorder="1" applyAlignment="1">
      <alignment horizontal="right" vertical="center"/>
    </xf>
    <xf numFmtId="176" fontId="15" fillId="9" borderId="0" xfId="0" applyNumberFormat="1" applyFont="1" applyFill="1" applyBorder="1" applyAlignment="1">
      <alignment horizontal="right" vertical="center"/>
    </xf>
    <xf numFmtId="181" fontId="17" fillId="21" borderId="0" xfId="0" applyNumberFormat="1" applyFont="1" applyFill="1" applyBorder="1" applyAlignment="1">
      <alignment horizontal="right" vertical="center"/>
    </xf>
    <xf numFmtId="176" fontId="6" fillId="2" borderId="35" xfId="0" applyNumberFormat="1" applyFont="1" applyFill="1" applyBorder="1" applyAlignment="1">
      <alignment horizontal="right" vertical="center"/>
    </xf>
    <xf numFmtId="0" fontId="7" fillId="5" borderId="46" xfId="0" applyFont="1" applyFill="1" applyBorder="1" applyAlignment="1">
      <alignment horizontal="center" vertical="center" wrapText="1"/>
    </xf>
    <xf numFmtId="41" fontId="5" fillId="0" borderId="36" xfId="1" applyFont="1" applyBorder="1" applyAlignment="1">
      <alignment vertical="center"/>
    </xf>
    <xf numFmtId="41" fontId="5" fillId="0" borderId="39" xfId="1" applyFont="1" applyBorder="1" applyAlignment="1">
      <alignment vertical="center"/>
    </xf>
    <xf numFmtId="41" fontId="6" fillId="2" borderId="36" xfId="1" applyFont="1" applyFill="1" applyBorder="1" applyAlignment="1">
      <alignment horizontal="right" vertical="center"/>
    </xf>
    <xf numFmtId="41" fontId="6" fillId="2" borderId="36" xfId="1" applyFont="1" applyFill="1" applyBorder="1" applyAlignment="1">
      <alignment vertical="center"/>
    </xf>
    <xf numFmtId="41" fontId="6" fillId="3" borderId="36" xfId="1" applyFont="1" applyFill="1" applyBorder="1" applyAlignment="1">
      <alignment vertical="center"/>
    </xf>
    <xf numFmtId="176" fontId="5" fillId="114" borderId="0" xfId="0" applyNumberFormat="1" applyFont="1" applyFill="1" applyAlignment="1">
      <alignment vertical="center"/>
    </xf>
    <xf numFmtId="0" fontId="5" fillId="114" borderId="0" xfId="0" applyFont="1" applyFill="1" applyAlignment="1">
      <alignment vertical="center"/>
    </xf>
    <xf numFmtId="176" fontId="17" fillId="114" borderId="67" xfId="0" applyNumberFormat="1" applyFont="1" applyFill="1" applyBorder="1" applyAlignment="1">
      <alignment horizontal="right" vertical="center"/>
    </xf>
    <xf numFmtId="176" fontId="15" fillId="115" borderId="0" xfId="0" applyNumberFormat="1" applyFont="1" applyFill="1" applyAlignment="1">
      <alignment horizontal="center" vertical="center"/>
    </xf>
    <xf numFmtId="4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176" fontId="5" fillId="115" borderId="0" xfId="0" applyNumberFormat="1" applyFont="1" applyFill="1" applyAlignment="1">
      <alignment vertical="center"/>
    </xf>
    <xf numFmtId="176" fontId="5" fillId="0" borderId="222" xfId="0" applyNumberFormat="1" applyFont="1" applyBorder="1" applyAlignment="1">
      <alignment vertical="center"/>
    </xf>
    <xf numFmtId="176" fontId="31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176" fontId="6" fillId="9" borderId="0" xfId="0" applyNumberFormat="1" applyFont="1" applyFill="1" applyBorder="1" applyAlignment="1">
      <alignment horizontal="center" vertical="center"/>
    </xf>
    <xf numFmtId="176" fontId="388" fillId="5" borderId="243" xfId="0" applyNumberFormat="1" applyFont="1" applyFill="1" applyBorder="1" applyAlignment="1">
      <alignment horizontal="center" vertical="center" wrapText="1"/>
    </xf>
    <xf numFmtId="176" fontId="388" fillId="5" borderId="240" xfId="0" applyNumberFormat="1" applyFont="1" applyFill="1" applyBorder="1" applyAlignment="1">
      <alignment horizontal="center" vertical="center" wrapText="1"/>
    </xf>
    <xf numFmtId="176" fontId="388" fillId="5" borderId="244" xfId="0" applyNumberFormat="1" applyFont="1" applyFill="1" applyBorder="1" applyAlignment="1">
      <alignment horizontal="center" vertical="center" wrapText="1"/>
    </xf>
    <xf numFmtId="176" fontId="388" fillId="5" borderId="293" xfId="0" applyNumberFormat="1" applyFont="1" applyFill="1" applyBorder="1" applyAlignment="1">
      <alignment horizontal="center" vertical="center" wrapText="1"/>
    </xf>
    <xf numFmtId="176" fontId="388" fillId="5" borderId="319" xfId="0" applyNumberFormat="1" applyFont="1" applyFill="1" applyBorder="1" applyAlignment="1">
      <alignment horizontal="center" vertical="center" wrapText="1"/>
    </xf>
    <xf numFmtId="176" fontId="389" fillId="0" borderId="0" xfId="0" applyNumberFormat="1" applyFont="1" applyAlignment="1">
      <alignment vertical="center"/>
    </xf>
    <xf numFmtId="176" fontId="390" fillId="0" borderId="0" xfId="0" applyNumberFormat="1" applyFont="1" applyAlignment="1">
      <alignment horizontal="center" vertical="center"/>
    </xf>
    <xf numFmtId="176" fontId="388" fillId="29" borderId="32" xfId="0" applyNumberFormat="1" applyFont="1" applyFill="1" applyBorder="1" applyAlignment="1">
      <alignment horizontal="center" vertical="center" wrapText="1"/>
    </xf>
    <xf numFmtId="176" fontId="388" fillId="29" borderId="33" xfId="0" applyNumberFormat="1" applyFont="1" applyFill="1" applyBorder="1" applyAlignment="1">
      <alignment horizontal="center" vertical="center" wrapText="1"/>
    </xf>
    <xf numFmtId="176" fontId="391" fillId="0" borderId="0" xfId="0" applyNumberFormat="1" applyFont="1" applyAlignment="1">
      <alignment vertical="center"/>
    </xf>
    <xf numFmtId="0" fontId="389" fillId="4" borderId="35" xfId="0" applyNumberFormat="1" applyFont="1" applyFill="1" applyBorder="1" applyAlignment="1">
      <alignment horizontal="center" vertical="center"/>
    </xf>
    <xf numFmtId="176" fontId="389" fillId="4" borderId="0" xfId="0" applyNumberFormat="1" applyFont="1" applyFill="1" applyBorder="1" applyAlignment="1">
      <alignment vertical="center"/>
    </xf>
    <xf numFmtId="176" fontId="389" fillId="4" borderId="36" xfId="0" applyNumberFormat="1" applyFont="1" applyFill="1" applyBorder="1" applyAlignment="1">
      <alignment vertical="center"/>
    </xf>
    <xf numFmtId="0" fontId="389" fillId="2" borderId="35" xfId="0" applyNumberFormat="1" applyFont="1" applyFill="1" applyBorder="1" applyAlignment="1">
      <alignment horizontal="center" vertical="center"/>
    </xf>
    <xf numFmtId="176" fontId="389" fillId="2" borderId="0" xfId="0" applyNumberFormat="1" applyFont="1" applyFill="1" applyBorder="1" applyAlignment="1">
      <alignment vertical="center"/>
    </xf>
    <xf numFmtId="176" fontId="389" fillId="2" borderId="36" xfId="0" applyNumberFormat="1" applyFont="1" applyFill="1" applyBorder="1" applyAlignment="1">
      <alignment vertical="center"/>
    </xf>
    <xf numFmtId="0" fontId="389" fillId="3" borderId="35" xfId="0" applyNumberFormat="1" applyFont="1" applyFill="1" applyBorder="1" applyAlignment="1">
      <alignment horizontal="center" vertical="center"/>
    </xf>
    <xf numFmtId="176" fontId="389" fillId="3" borderId="0" xfId="0" applyNumberFormat="1" applyFont="1" applyFill="1" applyBorder="1" applyAlignment="1">
      <alignment vertical="center"/>
    </xf>
    <xf numFmtId="176" fontId="389" fillId="3" borderId="36" xfId="0" applyNumberFormat="1" applyFont="1" applyFill="1" applyBorder="1" applyAlignment="1">
      <alignment vertical="center"/>
    </xf>
    <xf numFmtId="0" fontId="391" fillId="0" borderId="35" xfId="0" applyNumberFormat="1" applyFont="1" applyBorder="1" applyAlignment="1">
      <alignment horizontal="center" vertical="center"/>
    </xf>
    <xf numFmtId="176" fontId="391" fillId="0" borderId="0" xfId="0" applyNumberFormat="1" applyFont="1" applyBorder="1" applyAlignment="1">
      <alignment vertical="center"/>
    </xf>
    <xf numFmtId="176" fontId="391" fillId="0" borderId="36" xfId="0" applyNumberFormat="1" applyFont="1" applyBorder="1" applyAlignment="1">
      <alignment vertical="center"/>
    </xf>
    <xf numFmtId="0" fontId="391" fillId="0" borderId="37" xfId="0" applyNumberFormat="1" applyFont="1" applyBorder="1" applyAlignment="1">
      <alignment horizontal="center" vertical="center"/>
    </xf>
    <xf numFmtId="176" fontId="389" fillId="0" borderId="38" xfId="0" applyNumberFormat="1" applyFont="1" applyBorder="1" applyAlignment="1">
      <alignment vertical="center"/>
    </xf>
    <xf numFmtId="176" fontId="391" fillId="0" borderId="38" xfId="0" applyNumberFormat="1" applyFont="1" applyBorder="1" applyAlignment="1">
      <alignment vertical="center"/>
    </xf>
    <xf numFmtId="176" fontId="391" fillId="0" borderId="39" xfId="0" applyNumberFormat="1" applyFont="1" applyBorder="1" applyAlignment="1">
      <alignment vertical="center"/>
    </xf>
    <xf numFmtId="176" fontId="388" fillId="5" borderId="32" xfId="0" applyNumberFormat="1" applyFont="1" applyFill="1" applyBorder="1" applyAlignment="1">
      <alignment horizontal="center" vertical="center" wrapText="1"/>
    </xf>
    <xf numFmtId="176" fontId="388" fillId="5" borderId="33" xfId="0" applyNumberFormat="1" applyFont="1" applyFill="1" applyBorder="1" applyAlignment="1">
      <alignment horizontal="center" vertical="center" wrapText="1"/>
    </xf>
    <xf numFmtId="176" fontId="388" fillId="5" borderId="34" xfId="0" applyNumberFormat="1" applyFont="1" applyFill="1" applyBorder="1" applyAlignment="1">
      <alignment horizontal="center" vertical="center" wrapText="1"/>
    </xf>
    <xf numFmtId="176" fontId="389" fillId="0" borderId="0" xfId="0" applyNumberFormat="1" applyFont="1" applyAlignment="1">
      <alignment horizontal="left" vertical="center"/>
    </xf>
    <xf numFmtId="176" fontId="389" fillId="0" borderId="0" xfId="0" applyNumberFormat="1" applyFont="1" applyAlignment="1">
      <alignment horizontal="center" vertical="center"/>
    </xf>
    <xf numFmtId="176" fontId="389" fillId="3" borderId="0" xfId="0" applyNumberFormat="1" applyFont="1" applyFill="1" applyAlignment="1">
      <alignment vertical="center"/>
    </xf>
    <xf numFmtId="176" fontId="391" fillId="0" borderId="78" xfId="0" applyNumberFormat="1" applyFont="1" applyBorder="1" applyAlignment="1">
      <alignment vertical="center"/>
    </xf>
    <xf numFmtId="176" fontId="389" fillId="0" borderId="78" xfId="0" applyNumberFormat="1" applyFont="1" applyBorder="1" applyAlignment="1">
      <alignment vertical="center"/>
    </xf>
    <xf numFmtId="176" fontId="391" fillId="0" borderId="207" xfId="0" applyNumberFormat="1" applyFont="1" applyBorder="1" applyAlignment="1">
      <alignment vertical="center"/>
    </xf>
    <xf numFmtId="176" fontId="392" fillId="0" borderId="0" xfId="0" applyNumberFormat="1" applyFont="1" applyAlignment="1">
      <alignment vertical="center"/>
    </xf>
    <xf numFmtId="176" fontId="388" fillId="0" borderId="0" xfId="0" applyNumberFormat="1" applyFont="1" applyAlignment="1">
      <alignment vertical="center"/>
    </xf>
    <xf numFmtId="176" fontId="388" fillId="5" borderId="328" xfId="0" applyNumberFormat="1" applyFont="1" applyFill="1" applyBorder="1" applyAlignment="1">
      <alignment vertical="center"/>
    </xf>
    <xf numFmtId="176" fontId="388" fillId="5" borderId="329" xfId="0" applyNumberFormat="1" applyFont="1" applyFill="1" applyBorder="1" applyAlignment="1">
      <alignment vertical="center"/>
    </xf>
    <xf numFmtId="176" fontId="388" fillId="5" borderId="333" xfId="0" applyNumberFormat="1" applyFont="1" applyFill="1" applyBorder="1" applyAlignment="1">
      <alignment horizontal="center" vertical="center"/>
    </xf>
    <xf numFmtId="176" fontId="388" fillId="5" borderId="332" xfId="0" applyNumberFormat="1" applyFont="1" applyFill="1" applyBorder="1" applyAlignment="1">
      <alignment horizontal="center" vertical="center"/>
    </xf>
    <xf numFmtId="176" fontId="392" fillId="0" borderId="0" xfId="0" applyNumberFormat="1" applyFont="1" applyAlignment="1">
      <alignment horizontal="center" vertical="center"/>
    </xf>
    <xf numFmtId="176" fontId="392" fillId="0" borderId="305" xfId="0" applyNumberFormat="1" applyFont="1" applyBorder="1" applyAlignment="1">
      <alignment vertical="center"/>
    </xf>
    <xf numFmtId="176" fontId="392" fillId="0" borderId="241" xfId="0" applyNumberFormat="1" applyFont="1" applyBorder="1" applyAlignment="1">
      <alignment vertical="center"/>
    </xf>
    <xf numFmtId="10" fontId="392" fillId="0" borderId="241" xfId="2" applyNumberFormat="1" applyFont="1" applyBorder="1" applyAlignment="1">
      <alignment vertical="center"/>
    </xf>
    <xf numFmtId="176" fontId="392" fillId="0" borderId="306" xfId="0" applyNumberFormat="1" applyFont="1" applyBorder="1" applyAlignment="1">
      <alignment vertical="center"/>
    </xf>
    <xf numFmtId="176" fontId="392" fillId="0" borderId="0" xfId="0" applyNumberFormat="1" applyFont="1" applyAlignment="1">
      <alignment horizontal="right" vertical="center"/>
    </xf>
    <xf numFmtId="176" fontId="388" fillId="5" borderId="302" xfId="0" applyNumberFormat="1" applyFont="1" applyFill="1" applyBorder="1" applyAlignment="1">
      <alignment horizontal="center" vertical="center"/>
    </xf>
    <xf numFmtId="176" fontId="388" fillId="5" borderId="303" xfId="0" applyNumberFormat="1" applyFont="1" applyFill="1" applyBorder="1" applyAlignment="1">
      <alignment horizontal="center" vertical="center"/>
    </xf>
    <xf numFmtId="176" fontId="388" fillId="5" borderId="304" xfId="0" applyNumberFormat="1" applyFont="1" applyFill="1" applyBorder="1" applyAlignment="1">
      <alignment horizontal="center" vertical="center"/>
    </xf>
    <xf numFmtId="176" fontId="392" fillId="0" borderId="0" xfId="0" quotePrefix="1" applyNumberFormat="1" applyFont="1" applyAlignment="1">
      <alignment vertical="center"/>
    </xf>
    <xf numFmtId="176" fontId="390" fillId="0" borderId="0" xfId="0" applyNumberFormat="1" applyFont="1" applyAlignment="1">
      <alignment vertical="center"/>
    </xf>
    <xf numFmtId="176" fontId="392" fillId="0" borderId="61" xfId="0" applyNumberFormat="1" applyFont="1" applyBorder="1" applyAlignment="1">
      <alignment vertical="center"/>
    </xf>
    <xf numFmtId="176" fontId="392" fillId="0" borderId="62" xfId="0" applyNumberFormat="1" applyFont="1" applyBorder="1" applyAlignment="1">
      <alignment vertical="center"/>
    </xf>
    <xf numFmtId="176" fontId="391" fillId="0" borderId="0" xfId="0" applyNumberFormat="1" applyFont="1" applyFill="1" applyAlignment="1">
      <alignment vertical="center"/>
    </xf>
    <xf numFmtId="176" fontId="388" fillId="0" borderId="0" xfId="0" applyNumberFormat="1" applyFont="1" applyFill="1" applyAlignment="1">
      <alignment horizontal="center" vertical="center"/>
    </xf>
    <xf numFmtId="176" fontId="388" fillId="5" borderId="0" xfId="0" applyNumberFormat="1" applyFont="1" applyFill="1" applyAlignment="1">
      <alignment horizontal="center" vertical="center"/>
    </xf>
    <xf numFmtId="176" fontId="388" fillId="5" borderId="35" xfId="0" applyNumberFormat="1" applyFont="1" applyFill="1" applyBorder="1" applyAlignment="1">
      <alignment horizontal="center" vertical="center"/>
    </xf>
    <xf numFmtId="176" fontId="388" fillId="5" borderId="0" xfId="0" applyNumberFormat="1" applyFont="1" applyFill="1" applyBorder="1" applyAlignment="1">
      <alignment horizontal="center" vertical="center"/>
    </xf>
    <xf numFmtId="176" fontId="388" fillId="5" borderId="36" xfId="0" applyNumberFormat="1" applyFont="1" applyFill="1" applyBorder="1" applyAlignment="1">
      <alignment horizontal="center" vertical="center"/>
    </xf>
    <xf numFmtId="10" fontId="391" fillId="0" borderId="245" xfId="2" applyNumberFormat="1" applyFont="1" applyBorder="1" applyAlignment="1">
      <alignment horizontal="center" vertical="center"/>
    </xf>
    <xf numFmtId="176" fontId="391" fillId="0" borderId="35" xfId="0" applyNumberFormat="1" applyFont="1" applyBorder="1" applyAlignment="1">
      <alignment vertical="center"/>
    </xf>
    <xf numFmtId="176" fontId="391" fillId="0" borderId="245" xfId="0" applyNumberFormat="1" applyFont="1" applyBorder="1" applyAlignment="1">
      <alignment vertical="center"/>
    </xf>
    <xf numFmtId="176" fontId="391" fillId="0" borderId="241" xfId="0" applyNumberFormat="1" applyFont="1" applyBorder="1" applyAlignment="1">
      <alignment vertical="center"/>
    </xf>
    <xf numFmtId="176" fontId="391" fillId="0" borderId="246" xfId="0" applyNumberFormat="1" applyFont="1" applyBorder="1" applyAlignment="1">
      <alignment vertical="center"/>
    </xf>
    <xf numFmtId="10" fontId="391" fillId="0" borderId="325" xfId="2" applyNumberFormat="1" applyFont="1" applyBorder="1" applyAlignment="1">
      <alignment horizontal="center" vertical="center"/>
    </xf>
    <xf numFmtId="176" fontId="391" fillId="0" borderId="325" xfId="0" applyNumberFormat="1" applyFont="1" applyBorder="1" applyAlignment="1">
      <alignment vertical="center"/>
    </xf>
    <xf numFmtId="176" fontId="391" fillId="0" borderId="309" xfId="0" applyNumberFormat="1" applyFont="1" applyBorder="1" applyAlignment="1">
      <alignment vertical="center"/>
    </xf>
    <xf numFmtId="176" fontId="391" fillId="0" borderId="326" xfId="0" applyNumberFormat="1" applyFont="1" applyBorder="1" applyAlignment="1">
      <alignment vertical="center"/>
    </xf>
    <xf numFmtId="176" fontId="389" fillId="0" borderId="0" xfId="0" applyNumberFormat="1" applyFont="1" applyFill="1" applyAlignment="1">
      <alignment vertical="center"/>
    </xf>
    <xf numFmtId="176" fontId="389" fillId="0" borderId="37" xfId="0" applyNumberFormat="1" applyFont="1" applyBorder="1" applyAlignment="1">
      <alignment vertical="center"/>
    </xf>
    <xf numFmtId="176" fontId="391" fillId="0" borderId="65" xfId="0" applyNumberFormat="1" applyFont="1" applyBorder="1" applyAlignment="1">
      <alignment vertical="center"/>
    </xf>
    <xf numFmtId="176" fontId="389" fillId="0" borderId="65" xfId="0" applyNumberFormat="1" applyFont="1" applyBorder="1" applyAlignment="1">
      <alignment vertical="center"/>
    </xf>
    <xf numFmtId="176" fontId="391" fillId="0" borderId="0" xfId="0" applyNumberFormat="1" applyFont="1" applyBorder="1" applyAlignment="1">
      <alignment horizontal="center" vertical="center"/>
    </xf>
    <xf numFmtId="176" fontId="391" fillId="0" borderId="0" xfId="0" applyNumberFormat="1" applyFont="1" applyBorder="1" applyAlignment="1">
      <alignment horizontal="left" vertical="center" indent="1"/>
    </xf>
    <xf numFmtId="176" fontId="389" fillId="0" borderId="0" xfId="0" applyNumberFormat="1" applyFont="1" applyAlignment="1">
      <alignment horizontal="left" vertical="center" indent="1"/>
    </xf>
    <xf numFmtId="176" fontId="391" fillId="0" borderId="0" xfId="0" applyNumberFormat="1" applyFont="1" applyAlignment="1">
      <alignment horizontal="center" vertical="center"/>
    </xf>
    <xf numFmtId="176" fontId="391" fillId="0" borderId="0" xfId="0" applyNumberFormat="1" applyFont="1" applyAlignment="1">
      <alignment horizontal="left" vertical="center" indent="1"/>
    </xf>
    <xf numFmtId="176" fontId="388" fillId="5" borderId="302" xfId="0" applyNumberFormat="1" applyFont="1" applyFill="1" applyBorder="1" applyAlignment="1">
      <alignment horizontal="center" vertical="center" wrapText="1"/>
    </xf>
    <xf numFmtId="176" fontId="388" fillId="5" borderId="303" xfId="0" applyNumberFormat="1" applyFont="1" applyFill="1" applyBorder="1" applyAlignment="1">
      <alignment horizontal="center" vertical="center" wrapText="1"/>
    </xf>
    <xf numFmtId="176" fontId="388" fillId="5" borderId="304" xfId="0" applyNumberFormat="1" applyFont="1" applyFill="1" applyBorder="1" applyAlignment="1">
      <alignment horizontal="center" vertical="center" wrapText="1"/>
    </xf>
    <xf numFmtId="176" fontId="388" fillId="5" borderId="314" xfId="0" applyNumberFormat="1" applyFont="1" applyFill="1" applyBorder="1" applyAlignment="1">
      <alignment horizontal="center" vertical="center"/>
    </xf>
    <xf numFmtId="0" fontId="391" fillId="0" borderId="305" xfId="0" applyNumberFormat="1" applyFont="1" applyBorder="1" applyAlignment="1">
      <alignment horizontal="center" vertical="center"/>
    </xf>
    <xf numFmtId="176" fontId="391" fillId="0" borderId="241" xfId="0" applyNumberFormat="1" applyFont="1" applyBorder="1" applyAlignment="1">
      <alignment horizontal="left" vertical="center" indent="1"/>
    </xf>
    <xf numFmtId="176" fontId="391" fillId="114" borderId="309" xfId="0" applyNumberFormat="1" applyFont="1" applyFill="1" applyBorder="1" applyAlignment="1">
      <alignment vertical="center"/>
    </xf>
    <xf numFmtId="176" fontId="391" fillId="114" borderId="306" xfId="0" applyNumberFormat="1" applyFont="1" applyFill="1" applyBorder="1" applyAlignment="1">
      <alignment vertical="center"/>
    </xf>
    <xf numFmtId="176" fontId="391" fillId="114" borderId="0" xfId="0" applyNumberFormat="1" applyFont="1" applyFill="1" applyAlignment="1">
      <alignment vertical="center"/>
    </xf>
    <xf numFmtId="176" fontId="391" fillId="114" borderId="295" xfId="0" applyNumberFormat="1" applyFont="1" applyFill="1" applyBorder="1" applyAlignment="1">
      <alignment vertical="center"/>
    </xf>
    <xf numFmtId="176" fontId="391" fillId="114" borderId="0" xfId="0" applyNumberFormat="1" applyFont="1" applyFill="1" applyAlignment="1">
      <alignment horizontal="left" vertical="center" indent="1"/>
    </xf>
    <xf numFmtId="176" fontId="391" fillId="0" borderId="356" xfId="0" applyNumberFormat="1" applyFont="1" applyBorder="1" applyAlignment="1">
      <alignment vertical="center"/>
    </xf>
    <xf numFmtId="176" fontId="391" fillId="114" borderId="356" xfId="0" applyNumberFormat="1" applyFont="1" applyFill="1" applyBorder="1" applyAlignment="1">
      <alignment vertical="center"/>
    </xf>
    <xf numFmtId="0" fontId="391" fillId="0" borderId="241" xfId="0" applyFont="1" applyBorder="1" applyAlignment="1">
      <alignment horizontal="left" vertical="center" indent="1"/>
    </xf>
    <xf numFmtId="41" fontId="391" fillId="114" borderId="356" xfId="0" applyNumberFormat="1" applyFont="1" applyFill="1" applyBorder="1" applyAlignment="1">
      <alignment vertical="center"/>
    </xf>
    <xf numFmtId="176" fontId="391" fillId="0" borderId="306" xfId="0" applyNumberFormat="1" applyFont="1" applyBorder="1" applyAlignment="1">
      <alignment vertical="center"/>
    </xf>
    <xf numFmtId="176" fontId="391" fillId="0" borderId="295" xfId="0" applyNumberFormat="1" applyFont="1" applyBorder="1" applyAlignment="1">
      <alignment vertical="center"/>
    </xf>
    <xf numFmtId="0" fontId="391" fillId="0" borderId="308" xfId="0" applyNumberFormat="1" applyFont="1" applyBorder="1" applyAlignment="1">
      <alignment horizontal="center" vertical="center"/>
    </xf>
    <xf numFmtId="176" fontId="391" fillId="0" borderId="309" xfId="0" applyNumberFormat="1" applyFont="1" applyBorder="1" applyAlignment="1">
      <alignment horizontal="left" vertical="center" indent="1"/>
    </xf>
    <xf numFmtId="176" fontId="391" fillId="0" borderId="331" xfId="0" applyNumberFormat="1" applyFont="1" applyBorder="1" applyAlignment="1">
      <alignment vertical="center"/>
    </xf>
    <xf numFmtId="176" fontId="391" fillId="0" borderId="310" xfId="0" applyNumberFormat="1" applyFont="1" applyBorder="1" applyAlignment="1">
      <alignment vertical="center"/>
    </xf>
    <xf numFmtId="176" fontId="391" fillId="0" borderId="315" xfId="0" applyNumberFormat="1" applyFont="1" applyBorder="1" applyAlignment="1">
      <alignment vertical="center"/>
    </xf>
    <xf numFmtId="176" fontId="389" fillId="0" borderId="311" xfId="0" applyNumberFormat="1" applyFont="1" applyBorder="1" applyAlignment="1">
      <alignment horizontal="center" vertical="center"/>
    </xf>
    <xf numFmtId="176" fontId="389" fillId="0" borderId="312" xfId="0" applyNumberFormat="1" applyFont="1" applyBorder="1" applyAlignment="1">
      <alignment vertical="center"/>
    </xf>
    <xf numFmtId="176" fontId="389" fillId="0" borderId="313" xfId="0" applyNumberFormat="1" applyFont="1" applyBorder="1" applyAlignment="1">
      <alignment vertical="center"/>
    </xf>
    <xf numFmtId="176" fontId="389" fillId="0" borderId="307" xfId="0" applyNumberFormat="1" applyFont="1" applyBorder="1" applyAlignment="1">
      <alignment vertical="center"/>
    </xf>
    <xf numFmtId="176" fontId="389" fillId="0" borderId="49" xfId="0" applyNumberFormat="1" applyFont="1" applyBorder="1" applyAlignment="1">
      <alignment horizontal="left" vertical="center" indent="1"/>
    </xf>
    <xf numFmtId="176" fontId="389" fillId="0" borderId="49" xfId="0" applyNumberFormat="1" applyFont="1" applyBorder="1" applyAlignment="1">
      <alignment vertical="center"/>
    </xf>
    <xf numFmtId="176" fontId="388" fillId="5" borderId="13" xfId="0" applyNumberFormat="1" applyFont="1" applyFill="1" applyBorder="1" applyAlignment="1">
      <alignment horizontal="center" vertical="center" wrapText="1"/>
    </xf>
    <xf numFmtId="176" fontId="388" fillId="5" borderId="14" xfId="0" applyNumberFormat="1" applyFont="1" applyFill="1" applyBorder="1" applyAlignment="1">
      <alignment horizontal="center" vertical="center" wrapText="1"/>
    </xf>
    <xf numFmtId="176" fontId="388" fillId="5" borderId="296" xfId="0" applyNumberFormat="1" applyFont="1" applyFill="1" applyBorder="1" applyAlignment="1">
      <alignment horizontal="center" vertical="center" wrapText="1"/>
    </xf>
    <xf numFmtId="176" fontId="388" fillId="5" borderId="299" xfId="0" applyNumberFormat="1" applyFont="1" applyFill="1" applyBorder="1" applyAlignment="1">
      <alignment horizontal="center" vertical="center" wrapText="1"/>
    </xf>
    <xf numFmtId="176" fontId="388" fillId="5" borderId="357" xfId="0" applyNumberFormat="1" applyFont="1" applyFill="1" applyBorder="1" applyAlignment="1">
      <alignment horizontal="center" vertical="center" wrapText="1"/>
    </xf>
    <xf numFmtId="176" fontId="388" fillId="5" borderId="358" xfId="0" applyNumberFormat="1" applyFont="1" applyFill="1" applyBorder="1" applyAlignment="1">
      <alignment horizontal="center" vertical="center" wrapText="1"/>
    </xf>
    <xf numFmtId="176" fontId="388" fillId="5" borderId="383" xfId="0" applyNumberFormat="1" applyFont="1" applyFill="1" applyBorder="1" applyAlignment="1">
      <alignment horizontal="center" vertical="center" wrapText="1"/>
    </xf>
    <xf numFmtId="176" fontId="388" fillId="5" borderId="386" xfId="0" applyNumberFormat="1" applyFont="1" applyFill="1" applyBorder="1" applyAlignment="1">
      <alignment horizontal="center" vertical="center" wrapText="1"/>
    </xf>
    <xf numFmtId="176" fontId="388" fillId="5" borderId="363" xfId="0" applyNumberFormat="1" applyFont="1" applyFill="1" applyBorder="1" applyAlignment="1">
      <alignment horizontal="center" vertical="center" wrapText="1"/>
    </xf>
    <xf numFmtId="176" fontId="388" fillId="5" borderId="228" xfId="0" applyNumberFormat="1" applyFont="1" applyFill="1" applyBorder="1" applyAlignment="1">
      <alignment horizontal="center" vertical="center" wrapText="1"/>
    </xf>
    <xf numFmtId="176" fontId="388" fillId="5" borderId="236" xfId="0" applyNumberFormat="1" applyFont="1" applyFill="1" applyBorder="1" applyAlignment="1">
      <alignment horizontal="center" vertical="center" wrapText="1"/>
    </xf>
    <xf numFmtId="176" fontId="388" fillId="29" borderId="73" xfId="0" applyNumberFormat="1" applyFont="1" applyFill="1" applyBorder="1" applyAlignment="1">
      <alignment horizontal="center" vertical="center" wrapText="1"/>
    </xf>
    <xf numFmtId="176" fontId="391" fillId="0" borderId="16" xfId="0" applyNumberFormat="1" applyFont="1" applyBorder="1" applyAlignment="1">
      <alignment horizontal="center" vertical="center"/>
    </xf>
    <xf numFmtId="176" fontId="391" fillId="0" borderId="1" xfId="0" applyNumberFormat="1" applyFont="1" applyBorder="1" applyAlignment="1">
      <alignment horizontal="left" vertical="center"/>
    </xf>
    <xf numFmtId="176" fontId="391" fillId="0" borderId="1" xfId="0" applyNumberFormat="1" applyFont="1" applyBorder="1" applyAlignment="1">
      <alignment vertical="center"/>
    </xf>
    <xf numFmtId="176" fontId="391" fillId="0" borderId="297" xfId="0" applyNumberFormat="1" applyFont="1" applyBorder="1" applyAlignment="1">
      <alignment vertical="center"/>
    </xf>
    <xf numFmtId="176" fontId="391" fillId="0" borderId="300" xfId="0" applyNumberFormat="1" applyFont="1" applyBorder="1" applyAlignment="1">
      <alignment vertical="center"/>
    </xf>
    <xf numFmtId="176" fontId="391" fillId="0" borderId="359" xfId="0" applyNumberFormat="1" applyFont="1" applyBorder="1" applyAlignment="1">
      <alignment vertical="center"/>
    </xf>
    <xf numFmtId="176" fontId="391" fillId="0" borderId="360" xfId="0" applyNumberFormat="1" applyFont="1" applyBorder="1" applyAlignment="1">
      <alignment vertical="center"/>
    </xf>
    <xf numFmtId="176" fontId="391" fillId="0" borderId="384" xfId="0" applyNumberFormat="1" applyFont="1" applyBorder="1" applyAlignment="1">
      <alignment vertical="center"/>
    </xf>
    <xf numFmtId="176" fontId="391" fillId="0" borderId="387" xfId="0" applyNumberFormat="1" applyFont="1" applyBorder="1" applyAlignment="1">
      <alignment vertical="center"/>
    </xf>
    <xf numFmtId="176" fontId="391" fillId="0" borderId="364" xfId="0" applyNumberFormat="1" applyFont="1" applyBorder="1" applyAlignment="1">
      <alignment vertical="center"/>
    </xf>
    <xf numFmtId="176" fontId="391" fillId="0" borderId="121" xfId="0" applyNumberFormat="1" applyFont="1" applyBorder="1" applyAlignment="1">
      <alignment vertical="center"/>
    </xf>
    <xf numFmtId="176" fontId="391" fillId="0" borderId="232" xfId="0" applyNumberFormat="1" applyFont="1" applyBorder="1" applyAlignment="1">
      <alignment vertical="center"/>
    </xf>
    <xf numFmtId="176" fontId="391" fillId="0" borderId="230" xfId="0" applyNumberFormat="1" applyFont="1" applyBorder="1" applyAlignment="1">
      <alignment vertical="center"/>
    </xf>
    <xf numFmtId="176" fontId="391" fillId="0" borderId="18" xfId="0" applyNumberFormat="1" applyFont="1" applyBorder="1" applyAlignment="1">
      <alignment horizontal="center" vertical="center"/>
    </xf>
    <xf numFmtId="176" fontId="391" fillId="0" borderId="19" xfId="0" applyNumberFormat="1" applyFont="1" applyBorder="1" applyAlignment="1">
      <alignment vertical="center"/>
    </xf>
    <xf numFmtId="176" fontId="391" fillId="0" borderId="298" xfId="0" applyNumberFormat="1" applyFont="1" applyBorder="1" applyAlignment="1">
      <alignment vertical="center"/>
    </xf>
    <xf numFmtId="176" fontId="391" fillId="0" borderId="301" xfId="0" applyNumberFormat="1" applyFont="1" applyBorder="1" applyAlignment="1">
      <alignment vertical="center"/>
    </xf>
    <xf numFmtId="176" fontId="391" fillId="0" borderId="361" xfId="0" applyNumberFormat="1" applyFont="1" applyBorder="1" applyAlignment="1">
      <alignment vertical="center"/>
    </xf>
    <xf numFmtId="176" fontId="391" fillId="0" borderId="362" xfId="0" applyNumberFormat="1" applyFont="1" applyBorder="1" applyAlignment="1">
      <alignment vertical="center"/>
    </xf>
    <xf numFmtId="176" fontId="391" fillId="0" borderId="385" xfId="0" applyNumberFormat="1" applyFont="1" applyBorder="1" applyAlignment="1">
      <alignment vertical="center"/>
    </xf>
    <xf numFmtId="176" fontId="391" fillId="0" borderId="388" xfId="0" applyNumberFormat="1" applyFont="1" applyBorder="1" applyAlignment="1">
      <alignment vertical="center"/>
    </xf>
    <xf numFmtId="176" fontId="391" fillId="0" borderId="365" xfId="0" applyNumberFormat="1" applyFont="1" applyBorder="1" applyAlignment="1">
      <alignment vertical="center"/>
    </xf>
    <xf numFmtId="176" fontId="391" fillId="0" borderId="120" xfId="0" applyNumberFormat="1" applyFont="1" applyBorder="1" applyAlignment="1">
      <alignment vertical="center"/>
    </xf>
    <xf numFmtId="176" fontId="391" fillId="0" borderId="229" xfId="0" applyNumberFormat="1" applyFont="1" applyBorder="1" applyAlignment="1">
      <alignment vertical="center"/>
    </xf>
    <xf numFmtId="176" fontId="391" fillId="0" borderId="231" xfId="0" applyNumberFormat="1" applyFont="1" applyBorder="1" applyAlignment="1">
      <alignment vertical="center"/>
    </xf>
    <xf numFmtId="176" fontId="390" fillId="0" borderId="0" xfId="0" applyNumberFormat="1" applyFont="1" applyAlignment="1">
      <alignment horizontal="left" vertical="center" indent="1"/>
    </xf>
    <xf numFmtId="176" fontId="388" fillId="5" borderId="15" xfId="0" applyNumberFormat="1" applyFont="1" applyFill="1" applyBorder="1" applyAlignment="1">
      <alignment horizontal="center" vertical="center" wrapText="1"/>
    </xf>
    <xf numFmtId="176" fontId="389" fillId="2" borderId="245" xfId="0" applyNumberFormat="1" applyFont="1" applyFill="1" applyBorder="1" applyAlignment="1">
      <alignment vertical="center"/>
    </xf>
    <xf numFmtId="176" fontId="391" fillId="2" borderId="241" xfId="0" applyNumberFormat="1" applyFont="1" applyFill="1" applyBorder="1" applyAlignment="1">
      <alignment vertical="center"/>
    </xf>
    <xf numFmtId="176" fontId="391" fillId="2" borderId="246" xfId="0" applyNumberFormat="1" applyFont="1" applyFill="1" applyBorder="1" applyAlignment="1">
      <alignment vertical="center"/>
    </xf>
    <xf numFmtId="176" fontId="391" fillId="2" borderId="245" xfId="0" applyNumberFormat="1" applyFont="1" applyFill="1" applyBorder="1" applyAlignment="1">
      <alignment vertical="center"/>
    </xf>
    <xf numFmtId="176" fontId="391" fillId="2" borderId="247" xfId="0" applyNumberFormat="1" applyFont="1" applyFill="1" applyBorder="1" applyAlignment="1">
      <alignment vertical="center"/>
    </xf>
    <xf numFmtId="176" fontId="391" fillId="2" borderId="318" xfId="0" applyNumberFormat="1" applyFont="1" applyFill="1" applyBorder="1" applyAlignment="1">
      <alignment vertical="center"/>
    </xf>
    <xf numFmtId="176" fontId="391" fillId="0" borderId="0" xfId="0" applyNumberFormat="1" applyFont="1" applyFill="1" applyAlignment="1">
      <alignment horizontal="left" vertical="center" indent="1"/>
    </xf>
    <xf numFmtId="176" fontId="391" fillId="2" borderId="16" xfId="0" applyNumberFormat="1" applyFont="1" applyFill="1" applyBorder="1" applyAlignment="1">
      <alignment vertical="center"/>
    </xf>
    <xf numFmtId="176" fontId="391" fillId="2" borderId="1" xfId="0" applyNumberFormat="1" applyFont="1" applyFill="1" applyBorder="1" applyAlignment="1">
      <alignment vertical="center"/>
    </xf>
    <xf numFmtId="176" fontId="391" fillId="2" borderId="17" xfId="0" applyNumberFormat="1" applyFont="1" applyFill="1" applyBorder="1" applyAlignment="1">
      <alignment vertical="center"/>
    </xf>
    <xf numFmtId="176" fontId="391" fillId="0" borderId="245" xfId="0" applyNumberFormat="1" applyFont="1" applyFill="1" applyBorder="1" applyAlignment="1">
      <alignment horizontal="center" vertical="center"/>
    </xf>
    <xf numFmtId="176" fontId="391" fillId="0" borderId="241" xfId="0" applyNumberFormat="1" applyFont="1" applyFill="1" applyBorder="1" applyAlignment="1">
      <alignment horizontal="left" vertical="center" indent="1"/>
    </xf>
    <xf numFmtId="176" fontId="391" fillId="0" borderId="241" xfId="0" applyNumberFormat="1" applyFont="1" applyFill="1" applyBorder="1" applyAlignment="1">
      <alignment vertical="center"/>
    </xf>
    <xf numFmtId="176" fontId="391" fillId="0" borderId="246" xfId="0" applyNumberFormat="1" applyFont="1" applyFill="1" applyBorder="1" applyAlignment="1">
      <alignment vertical="center"/>
    </xf>
    <xf numFmtId="176" fontId="391" fillId="0" borderId="245" xfId="0" applyNumberFormat="1" applyFont="1" applyFill="1" applyBorder="1" applyAlignment="1">
      <alignment vertical="center"/>
    </xf>
    <xf numFmtId="176" fontId="391" fillId="0" borderId="247" xfId="0" applyNumberFormat="1" applyFont="1" applyFill="1" applyBorder="1" applyAlignment="1">
      <alignment vertical="center"/>
    </xf>
    <xf numFmtId="176" fontId="391" fillId="0" borderId="318" xfId="0" applyNumberFormat="1" applyFont="1" applyFill="1" applyBorder="1" applyAlignment="1">
      <alignment vertical="center"/>
    </xf>
    <xf numFmtId="176" fontId="391" fillId="0" borderId="16" xfId="0" applyNumberFormat="1" applyFont="1" applyFill="1" applyBorder="1" applyAlignment="1">
      <alignment horizontal="center" vertical="center"/>
    </xf>
    <xf numFmtId="176" fontId="391" fillId="0" borderId="1" xfId="0" applyNumberFormat="1" applyFont="1" applyFill="1" applyBorder="1" applyAlignment="1">
      <alignment horizontal="left" vertical="center" indent="1"/>
    </xf>
    <xf numFmtId="176" fontId="391" fillId="0" borderId="1" xfId="0" applyNumberFormat="1" applyFont="1" applyFill="1" applyBorder="1" applyAlignment="1">
      <alignment vertical="center"/>
    </xf>
    <xf numFmtId="176" fontId="391" fillId="0" borderId="17" xfId="0" applyNumberFormat="1" applyFont="1" applyFill="1" applyBorder="1" applyAlignment="1">
      <alignment vertical="center"/>
    </xf>
    <xf numFmtId="176" fontId="391" fillId="0" borderId="245" xfId="0" applyNumberFormat="1" applyFont="1" applyBorder="1" applyAlignment="1">
      <alignment horizontal="center" vertical="center"/>
    </xf>
    <xf numFmtId="176" fontId="391" fillId="0" borderId="245" xfId="0" quotePrefix="1" applyNumberFormat="1" applyFont="1" applyBorder="1" applyAlignment="1">
      <alignment horizontal="center" vertical="center"/>
    </xf>
    <xf numFmtId="176" fontId="391" fillId="2" borderId="241" xfId="0" applyNumberFormat="1" applyFont="1" applyFill="1" applyBorder="1" applyAlignment="1">
      <alignment horizontal="left" vertical="center" indent="1"/>
    </xf>
    <xf numFmtId="176" fontId="391" fillId="2" borderId="16" xfId="0" applyNumberFormat="1" applyFont="1" applyFill="1" applyBorder="1" applyAlignment="1">
      <alignment horizontal="center" vertical="center"/>
    </xf>
    <xf numFmtId="176" fontId="391" fillId="2" borderId="1" xfId="0" applyNumberFormat="1" applyFont="1" applyFill="1" applyBorder="1" applyAlignment="1">
      <alignment horizontal="left" vertical="center" indent="1"/>
    </xf>
    <xf numFmtId="176" fontId="391" fillId="0" borderId="245" xfId="0" quotePrefix="1" applyNumberFormat="1" applyFont="1" applyFill="1" applyBorder="1" applyAlignment="1">
      <alignment horizontal="center" vertical="center"/>
    </xf>
    <xf numFmtId="176" fontId="391" fillId="0" borderId="26" xfId="0" applyNumberFormat="1" applyFont="1" applyFill="1" applyBorder="1" applyAlignment="1">
      <alignment horizontal="center" vertical="center"/>
    </xf>
    <xf numFmtId="176" fontId="391" fillId="0" borderId="27" xfId="0" applyNumberFormat="1" applyFont="1" applyFill="1" applyBorder="1" applyAlignment="1">
      <alignment horizontal="left" vertical="center" indent="1"/>
    </xf>
    <xf numFmtId="176" fontId="391" fillId="0" borderId="27" xfId="0" applyNumberFormat="1" applyFont="1" applyFill="1" applyBorder="1" applyAlignment="1">
      <alignment vertical="center"/>
    </xf>
    <xf numFmtId="176" fontId="391" fillId="0" borderId="28" xfId="0" applyNumberFormat="1" applyFont="1" applyFill="1" applyBorder="1" applyAlignment="1">
      <alignment vertical="center"/>
    </xf>
    <xf numFmtId="176" fontId="391" fillId="28" borderId="0" xfId="0" applyNumberFormat="1" applyFont="1" applyFill="1" applyAlignment="1">
      <alignment vertical="center"/>
    </xf>
    <xf numFmtId="176" fontId="391" fillId="0" borderId="247" xfId="0" applyNumberFormat="1" applyFont="1" applyBorder="1" applyAlignment="1">
      <alignment vertical="center"/>
    </xf>
    <xf numFmtId="176" fontId="391" fillId="0" borderId="318" xfId="0" applyNumberFormat="1" applyFont="1" applyBorder="1" applyAlignment="1">
      <alignment vertical="center"/>
    </xf>
    <xf numFmtId="176" fontId="391" fillId="114" borderId="241" xfId="0" applyNumberFormat="1" applyFont="1" applyFill="1" applyBorder="1" applyAlignment="1">
      <alignment vertical="center"/>
    </xf>
    <xf numFmtId="176" fontId="391" fillId="114" borderId="245" xfId="0" applyNumberFormat="1" applyFont="1" applyFill="1" applyBorder="1" applyAlignment="1">
      <alignment horizontal="center" vertical="center"/>
    </xf>
    <xf numFmtId="176" fontId="391" fillId="114" borderId="241" xfId="0" applyNumberFormat="1" applyFont="1" applyFill="1" applyBorder="1" applyAlignment="1">
      <alignment horizontal="left" vertical="center" indent="1"/>
    </xf>
    <xf numFmtId="176" fontId="391" fillId="114" borderId="246" xfId="0" applyNumberFormat="1" applyFont="1" applyFill="1" applyBorder="1" applyAlignment="1">
      <alignment vertical="center"/>
    </xf>
    <xf numFmtId="176" fontId="391" fillId="114" borderId="245" xfId="0" applyNumberFormat="1" applyFont="1" applyFill="1" applyBorder="1" applyAlignment="1">
      <alignment vertical="center"/>
    </xf>
    <xf numFmtId="176" fontId="391" fillId="114" borderId="247" xfId="0" applyNumberFormat="1" applyFont="1" applyFill="1" applyBorder="1" applyAlignment="1">
      <alignment vertical="center"/>
    </xf>
    <xf numFmtId="176" fontId="391" fillId="114" borderId="318" xfId="0" applyNumberFormat="1" applyFont="1" applyFill="1" applyBorder="1" applyAlignment="1">
      <alignment vertical="center"/>
    </xf>
    <xf numFmtId="184" fontId="391" fillId="114" borderId="241" xfId="0" applyNumberFormat="1" applyFont="1" applyFill="1" applyBorder="1" applyAlignment="1">
      <alignment vertical="center"/>
    </xf>
    <xf numFmtId="0" fontId="391" fillId="0" borderId="245" xfId="0" applyFont="1" applyBorder="1" applyAlignment="1">
      <alignment horizontal="center" vertical="center"/>
    </xf>
    <xf numFmtId="0" fontId="391" fillId="114" borderId="245" xfId="0" applyFont="1" applyFill="1" applyBorder="1" applyAlignment="1">
      <alignment horizontal="center" vertical="center"/>
    </xf>
    <xf numFmtId="0" fontId="391" fillId="114" borderId="241" xfId="0" applyFont="1" applyFill="1" applyBorder="1" applyAlignment="1">
      <alignment horizontal="left" vertical="center" indent="1"/>
    </xf>
    <xf numFmtId="176" fontId="391" fillId="114" borderId="16" xfId="0" applyNumberFormat="1" applyFont="1" applyFill="1" applyBorder="1" applyAlignment="1">
      <alignment horizontal="center" vertical="center"/>
    </xf>
    <xf numFmtId="176" fontId="391" fillId="114" borderId="1" xfId="0" applyNumberFormat="1" applyFont="1" applyFill="1" applyBorder="1" applyAlignment="1">
      <alignment horizontal="left" vertical="center" indent="1"/>
    </xf>
    <xf numFmtId="176" fontId="391" fillId="114" borderId="1" xfId="0" applyNumberFormat="1" applyFont="1" applyFill="1" applyBorder="1" applyAlignment="1">
      <alignment vertical="center"/>
    </xf>
    <xf numFmtId="176" fontId="391" fillId="114" borderId="17" xfId="0" applyNumberFormat="1" applyFont="1" applyFill="1" applyBorder="1" applyAlignment="1">
      <alignment vertical="center"/>
    </xf>
    <xf numFmtId="176" fontId="391" fillId="0" borderId="1" xfId="0" applyNumberFormat="1" applyFont="1" applyBorder="1" applyAlignment="1">
      <alignment horizontal="left" vertical="center" indent="1"/>
    </xf>
    <xf numFmtId="176" fontId="391" fillId="0" borderId="17" xfId="0" applyNumberFormat="1" applyFont="1" applyBorder="1" applyAlignment="1">
      <alignment vertical="center"/>
    </xf>
    <xf numFmtId="176" fontId="391" fillId="0" borderId="248" xfId="0" applyNumberFormat="1" applyFont="1" applyBorder="1" applyAlignment="1">
      <alignment horizontal="center" vertical="center"/>
    </xf>
    <xf numFmtId="176" fontId="391" fillId="0" borderId="242" xfId="0" applyNumberFormat="1" applyFont="1" applyBorder="1" applyAlignment="1">
      <alignment horizontal="left" vertical="center" indent="1"/>
    </xf>
    <xf numFmtId="176" fontId="391" fillId="0" borderId="242" xfId="0" applyNumberFormat="1" applyFont="1" applyBorder="1" applyAlignment="1">
      <alignment vertical="center"/>
    </xf>
    <xf numFmtId="176" fontId="391" fillId="0" borderId="249" xfId="0" applyNumberFormat="1" applyFont="1" applyBorder="1" applyAlignment="1">
      <alignment vertical="center"/>
    </xf>
    <xf numFmtId="176" fontId="391" fillId="0" borderId="248" xfId="0" applyNumberFormat="1" applyFont="1" applyBorder="1" applyAlignment="1">
      <alignment vertical="center"/>
    </xf>
    <xf numFmtId="176" fontId="391" fillId="0" borderId="294" xfId="0" applyNumberFormat="1" applyFont="1" applyBorder="1" applyAlignment="1">
      <alignment vertical="center"/>
    </xf>
    <xf numFmtId="176" fontId="391" fillId="0" borderId="322" xfId="0" applyNumberFormat="1" applyFont="1" applyBorder="1" applyAlignment="1">
      <alignment vertical="center"/>
    </xf>
    <xf numFmtId="176" fontId="391" fillId="0" borderId="19" xfId="0" applyNumberFormat="1" applyFont="1" applyBorder="1" applyAlignment="1">
      <alignment horizontal="left" vertical="center" indent="1"/>
    </xf>
    <xf numFmtId="176" fontId="391" fillId="0" borderId="20" xfId="0" applyNumberFormat="1" applyFont="1" applyBorder="1" applyAlignment="1">
      <alignment vertical="center"/>
    </xf>
    <xf numFmtId="176" fontId="395" fillId="0" borderId="0" xfId="0" applyNumberFormat="1" applyFont="1" applyAlignment="1">
      <alignment vertical="center"/>
    </xf>
    <xf numFmtId="176" fontId="388" fillId="0" borderId="0" xfId="0" applyNumberFormat="1" applyFont="1" applyFill="1" applyBorder="1" applyAlignment="1">
      <alignment horizontal="center" vertical="center"/>
    </xf>
    <xf numFmtId="176" fontId="396" fillId="5" borderId="290" xfId="0" applyNumberFormat="1" applyFont="1" applyFill="1" applyBorder="1" applyAlignment="1">
      <alignment horizontal="center" vertical="center"/>
    </xf>
    <xf numFmtId="176" fontId="396" fillId="5" borderId="291" xfId="0" applyNumberFormat="1" applyFont="1" applyFill="1" applyBorder="1" applyAlignment="1">
      <alignment horizontal="center" vertical="center"/>
    </xf>
    <xf numFmtId="176" fontId="396" fillId="5" borderId="240" xfId="0" applyNumberFormat="1" applyFont="1" applyFill="1" applyBorder="1" applyAlignment="1">
      <alignment horizontal="center" vertical="center"/>
    </xf>
    <xf numFmtId="176" fontId="396" fillId="5" borderId="244" xfId="0" applyNumberFormat="1" applyFont="1" applyFill="1" applyBorder="1" applyAlignment="1">
      <alignment horizontal="center" vertical="center"/>
    </xf>
    <xf numFmtId="176" fontId="396" fillId="0" borderId="0" xfId="0" applyNumberFormat="1" applyFont="1" applyAlignment="1">
      <alignment horizontal="center" vertical="center"/>
    </xf>
    <xf numFmtId="176" fontId="396" fillId="5" borderId="0" xfId="0" applyNumberFormat="1" applyFont="1" applyFill="1" applyAlignment="1">
      <alignment horizontal="center" vertical="center"/>
    </xf>
    <xf numFmtId="176" fontId="396" fillId="5" borderId="245" xfId="0" applyNumberFormat="1" applyFont="1" applyFill="1" applyBorder="1" applyAlignment="1">
      <alignment horizontal="center" vertical="center"/>
    </xf>
    <xf numFmtId="176" fontId="396" fillId="5" borderId="241" xfId="0" applyNumberFormat="1" applyFont="1" applyFill="1" applyBorder="1" applyAlignment="1">
      <alignment horizontal="center" vertical="center"/>
    </xf>
    <xf numFmtId="176" fontId="396" fillId="5" borderId="246" xfId="0" applyNumberFormat="1" applyFont="1" applyFill="1" applyBorder="1" applyAlignment="1">
      <alignment horizontal="center" vertical="center"/>
    </xf>
    <xf numFmtId="176" fontId="396" fillId="0" borderId="0" xfId="0" applyNumberFormat="1" applyFont="1" applyFill="1" applyBorder="1" applyAlignment="1">
      <alignment horizontal="center" vertical="center"/>
    </xf>
    <xf numFmtId="176" fontId="396" fillId="29" borderId="245" xfId="0" applyNumberFormat="1" applyFont="1" applyFill="1" applyBorder="1" applyAlignment="1">
      <alignment horizontal="center" vertical="center"/>
    </xf>
    <xf numFmtId="176" fontId="396" fillId="29" borderId="241" xfId="0" applyNumberFormat="1" applyFont="1" applyFill="1" applyBorder="1" applyAlignment="1">
      <alignment horizontal="center" vertical="center"/>
    </xf>
    <xf numFmtId="176" fontId="396" fillId="29" borderId="246" xfId="0" applyNumberFormat="1" applyFont="1" applyFill="1" applyBorder="1" applyAlignment="1">
      <alignment horizontal="center" vertical="center"/>
    </xf>
    <xf numFmtId="176" fontId="391" fillId="0" borderId="241" xfId="0" applyNumberFormat="1" applyFont="1" applyBorder="1" applyAlignment="1">
      <alignment horizontal="center" vertical="center"/>
    </xf>
    <xf numFmtId="176" fontId="391" fillId="0" borderId="0" xfId="0" applyNumberFormat="1" applyFont="1" applyFill="1" applyBorder="1" applyAlignment="1">
      <alignment vertical="center"/>
    </xf>
    <xf numFmtId="176" fontId="391" fillId="0" borderId="246" xfId="0" applyNumberFormat="1" applyFont="1" applyBorder="1" applyAlignment="1">
      <alignment horizontal="center" vertical="center"/>
    </xf>
    <xf numFmtId="176" fontId="391" fillId="0" borderId="0" xfId="0" applyNumberFormat="1" applyFont="1" applyFill="1" applyBorder="1" applyAlignment="1">
      <alignment horizontal="center" vertical="center"/>
    </xf>
    <xf numFmtId="176" fontId="391" fillId="3" borderId="248" xfId="0" applyNumberFormat="1" applyFont="1" applyFill="1" applyBorder="1" applyAlignment="1">
      <alignment horizontal="center" vertical="center"/>
    </xf>
    <xf numFmtId="176" fontId="391" fillId="3" borderId="242" xfId="0" applyNumberFormat="1" applyFont="1" applyFill="1" applyBorder="1" applyAlignment="1">
      <alignment horizontal="left" vertical="center" indent="1"/>
    </xf>
    <xf numFmtId="176" fontId="391" fillId="3" borderId="242" xfId="0" applyNumberFormat="1" applyFont="1" applyFill="1" applyBorder="1" applyAlignment="1">
      <alignment vertical="center"/>
    </xf>
    <xf numFmtId="176" fontId="389" fillId="3" borderId="242" xfId="0" applyNumberFormat="1" applyFont="1" applyFill="1" applyBorder="1" applyAlignment="1">
      <alignment vertical="center"/>
    </xf>
    <xf numFmtId="176" fontId="389" fillId="3" borderId="249" xfId="0" applyNumberFormat="1" applyFont="1" applyFill="1" applyBorder="1" applyAlignment="1">
      <alignment vertical="center"/>
    </xf>
    <xf numFmtId="176" fontId="391" fillId="3" borderId="0" xfId="0" applyNumberFormat="1" applyFont="1" applyFill="1" applyAlignment="1">
      <alignment vertical="center"/>
    </xf>
    <xf numFmtId="176" fontId="389" fillId="3" borderId="248" xfId="0" applyNumberFormat="1" applyFont="1" applyFill="1" applyBorder="1" applyAlignment="1">
      <alignment vertical="center"/>
    </xf>
    <xf numFmtId="176" fontId="389" fillId="0" borderId="0" xfId="0" applyNumberFormat="1" applyFont="1" applyFill="1" applyBorder="1" applyAlignment="1">
      <alignment vertical="center"/>
    </xf>
    <xf numFmtId="41" fontId="396" fillId="0" borderId="0" xfId="1" applyFont="1" applyFill="1" applyBorder="1" applyAlignment="1">
      <alignment horizontal="center" vertical="center"/>
    </xf>
    <xf numFmtId="178" fontId="396" fillId="5" borderId="241" xfId="0" applyNumberFormat="1" applyFont="1" applyFill="1" applyBorder="1" applyAlignment="1">
      <alignment horizontal="center" vertical="center"/>
    </xf>
    <xf numFmtId="178" fontId="396" fillId="5" borderId="0" xfId="0" applyNumberFormat="1" applyFont="1" applyFill="1" applyAlignment="1">
      <alignment horizontal="center" vertical="center"/>
    </xf>
    <xf numFmtId="178" fontId="396" fillId="29" borderId="241" xfId="0" applyNumberFormat="1" applyFont="1" applyFill="1" applyBorder="1" applyAlignment="1">
      <alignment horizontal="center" vertical="center"/>
    </xf>
    <xf numFmtId="41" fontId="391" fillId="0" borderId="0" xfId="1" applyFont="1" applyFill="1" applyBorder="1" applyAlignment="1">
      <alignment horizontal="center" vertical="center"/>
    </xf>
    <xf numFmtId="176" fontId="389" fillId="3" borderId="248" xfId="0" applyNumberFormat="1" applyFont="1" applyFill="1" applyBorder="1" applyAlignment="1">
      <alignment horizontal="center" vertical="center"/>
    </xf>
    <xf numFmtId="176" fontId="389" fillId="3" borderId="242" xfId="0" applyNumberFormat="1" applyFont="1" applyFill="1" applyBorder="1" applyAlignment="1">
      <alignment horizontal="left" vertical="center" indent="1"/>
    </xf>
    <xf numFmtId="176" fontId="389" fillId="3" borderId="242" xfId="0" applyNumberFormat="1" applyFont="1" applyFill="1" applyBorder="1" applyAlignment="1">
      <alignment horizontal="center" vertical="center"/>
    </xf>
    <xf numFmtId="178" fontId="389" fillId="0" borderId="0" xfId="0" applyNumberFormat="1" applyFont="1" applyAlignment="1">
      <alignment vertical="center"/>
    </xf>
    <xf numFmtId="178" fontId="390" fillId="114" borderId="0" xfId="0" applyNumberFormat="1" applyFont="1" applyFill="1" applyAlignment="1">
      <alignment vertical="center"/>
    </xf>
    <xf numFmtId="178" fontId="390" fillId="0" borderId="0" xfId="0" applyNumberFormat="1" applyFont="1" applyAlignment="1">
      <alignment vertical="center"/>
    </xf>
    <xf numFmtId="176" fontId="390" fillId="0" borderId="0" xfId="0" applyNumberFormat="1" applyFont="1" applyFill="1" applyAlignment="1">
      <alignment vertical="center"/>
    </xf>
    <xf numFmtId="178" fontId="389" fillId="114" borderId="0" xfId="0" applyNumberFormat="1" applyFont="1" applyFill="1" applyAlignment="1">
      <alignment vertical="center"/>
    </xf>
    <xf numFmtId="176" fontId="391" fillId="3" borderId="0" xfId="0" applyNumberFormat="1" applyFont="1" applyFill="1" applyAlignment="1">
      <alignment horizontal="left" vertical="center"/>
    </xf>
    <xf numFmtId="176" fontId="391" fillId="3" borderId="0" xfId="0" applyNumberFormat="1" applyFont="1" applyFill="1" applyAlignment="1">
      <alignment horizontal="right" vertical="center"/>
    </xf>
    <xf numFmtId="177" fontId="391" fillId="0" borderId="0" xfId="1" applyNumberFormat="1" applyFont="1" applyBorder="1" applyAlignment="1">
      <alignment vertical="center"/>
    </xf>
    <xf numFmtId="177" fontId="391" fillId="28" borderId="0" xfId="1" applyNumberFormat="1" applyFont="1" applyFill="1" applyBorder="1" applyAlignment="1">
      <alignment vertical="center"/>
    </xf>
    <xf numFmtId="176" fontId="391" fillId="27" borderId="0" xfId="0" applyNumberFormat="1" applyFont="1" applyFill="1" applyAlignment="1">
      <alignment horizontal="left" vertical="center"/>
    </xf>
    <xf numFmtId="176" fontId="391" fillId="27" borderId="0" xfId="0" applyNumberFormat="1" applyFont="1" applyFill="1" applyAlignment="1">
      <alignment horizontal="right" vertical="center"/>
    </xf>
    <xf numFmtId="176" fontId="391" fillId="114" borderId="0" xfId="0" applyNumberFormat="1" applyFont="1" applyFill="1" applyAlignment="1">
      <alignment horizontal="center" vertical="center"/>
    </xf>
    <xf numFmtId="177" fontId="391" fillId="114" borderId="0" xfId="1" applyNumberFormat="1" applyFont="1" applyFill="1" applyBorder="1" applyAlignment="1">
      <alignment vertical="center"/>
    </xf>
    <xf numFmtId="176" fontId="391" fillId="27" borderId="0" xfId="0" applyNumberFormat="1" applyFont="1" applyFill="1" applyAlignment="1">
      <alignment horizontal="left" vertical="center" indent="1"/>
    </xf>
    <xf numFmtId="176" fontId="391" fillId="114" borderId="0" xfId="0" applyNumberFormat="1" applyFont="1" applyFill="1" applyAlignment="1">
      <alignment horizontal="right" vertical="center"/>
    </xf>
    <xf numFmtId="176" fontId="391" fillId="9" borderId="0" xfId="0" applyNumberFormat="1" applyFont="1" applyFill="1" applyAlignment="1">
      <alignment horizontal="center" vertical="center"/>
    </xf>
    <xf numFmtId="177" fontId="391" fillId="9" borderId="0" xfId="1" applyNumberFormat="1" applyFont="1" applyFill="1" applyBorder="1" applyAlignment="1">
      <alignment vertical="center"/>
    </xf>
    <xf numFmtId="177" fontId="391" fillId="0" borderId="0" xfId="1" applyNumberFormat="1" applyFont="1" applyAlignment="1">
      <alignment vertical="center"/>
    </xf>
    <xf numFmtId="177" fontId="391" fillId="28" borderId="0" xfId="1" applyNumberFormat="1" applyFont="1" applyFill="1" applyAlignment="1">
      <alignment vertical="center"/>
    </xf>
    <xf numFmtId="177" fontId="391" fillId="114" borderId="0" xfId="1" applyNumberFormat="1" applyFont="1" applyFill="1" applyAlignment="1">
      <alignment vertical="center"/>
    </xf>
    <xf numFmtId="177" fontId="391" fillId="9" borderId="0" xfId="1" applyNumberFormat="1" applyFont="1" applyFill="1" applyAlignment="1">
      <alignment vertical="center"/>
    </xf>
    <xf numFmtId="176" fontId="391" fillId="27" borderId="0" xfId="0" applyNumberFormat="1" applyFont="1" applyFill="1" applyAlignment="1">
      <alignment vertical="center"/>
    </xf>
    <xf numFmtId="176" fontId="391" fillId="3" borderId="78" xfId="0" applyNumberFormat="1" applyFont="1" applyFill="1" applyBorder="1" applyAlignment="1">
      <alignment horizontal="left" vertical="center"/>
    </xf>
    <xf numFmtId="176" fontId="390" fillId="3" borderId="78" xfId="0" applyNumberFormat="1" applyFont="1" applyFill="1" applyBorder="1" applyAlignment="1">
      <alignment horizontal="center" vertical="center"/>
    </xf>
    <xf numFmtId="176" fontId="390" fillId="3" borderId="0" xfId="0" applyNumberFormat="1" applyFont="1" applyFill="1" applyAlignment="1">
      <alignment horizontal="center" vertical="center"/>
    </xf>
    <xf numFmtId="176" fontId="391" fillId="3" borderId="0" xfId="0" applyNumberFormat="1" applyFont="1" applyFill="1" applyAlignment="1">
      <alignment horizontal="left" vertical="center" indent="1"/>
    </xf>
    <xf numFmtId="176" fontId="390" fillId="114" borderId="0" xfId="0" applyNumberFormat="1" applyFont="1" applyFill="1" applyAlignment="1">
      <alignment horizontal="center" vertical="center"/>
    </xf>
    <xf numFmtId="176" fontId="391" fillId="3" borderId="78" xfId="0" applyNumberFormat="1" applyFont="1" applyFill="1" applyBorder="1" applyAlignment="1">
      <alignment horizontal="left" vertical="center" indent="1"/>
    </xf>
    <xf numFmtId="0" fontId="397" fillId="25" borderId="113" xfId="0" applyFont="1" applyFill="1" applyBorder="1" applyAlignment="1">
      <alignment horizontal="center" vertical="top" wrapText="1"/>
    </xf>
    <xf numFmtId="0" fontId="397" fillId="25" borderId="114" xfId="0" applyFont="1" applyFill="1" applyBorder="1" applyAlignment="1">
      <alignment horizontal="center" vertical="top" wrapText="1"/>
    </xf>
    <xf numFmtId="0" fontId="398" fillId="25" borderId="107" xfId="0" applyFont="1" applyFill="1" applyBorder="1" applyAlignment="1">
      <alignment vertical="top" wrapText="1"/>
    </xf>
    <xf numFmtId="3" fontId="398" fillId="25" borderId="114" xfId="0" applyNumberFormat="1" applyFont="1" applyFill="1" applyBorder="1" applyAlignment="1">
      <alignment horizontal="right" vertical="top" wrapText="1"/>
    </xf>
    <xf numFmtId="3" fontId="398" fillId="25" borderId="113" xfId="0" applyNumberFormat="1" applyFont="1" applyFill="1" applyBorder="1" applyAlignment="1">
      <alignment horizontal="right" vertical="top" wrapText="1"/>
    </xf>
    <xf numFmtId="0" fontId="398" fillId="25" borderId="114" xfId="0" applyFont="1" applyFill="1" applyBorder="1" applyAlignment="1">
      <alignment horizontal="right" vertical="top" wrapText="1"/>
    </xf>
    <xf numFmtId="0" fontId="398" fillId="25" borderId="113" xfId="0" applyFont="1" applyFill="1" applyBorder="1" applyAlignment="1">
      <alignment horizontal="right" vertical="top" wrapText="1"/>
    </xf>
    <xf numFmtId="0" fontId="398" fillId="25" borderId="107" xfId="0" applyFont="1" applyFill="1" applyBorder="1" applyAlignment="1">
      <alignment vertical="center" wrapText="1"/>
    </xf>
    <xf numFmtId="3" fontId="398" fillId="26" borderId="114" xfId="0" applyNumberFormat="1" applyFont="1" applyFill="1" applyBorder="1" applyAlignment="1">
      <alignment horizontal="right" vertical="top" wrapText="1"/>
    </xf>
    <xf numFmtId="0" fontId="398" fillId="26" borderId="114" xfId="0" applyFont="1" applyFill="1" applyBorder="1" applyAlignment="1">
      <alignment horizontal="right" vertical="top" wrapText="1"/>
    </xf>
    <xf numFmtId="0" fontId="398" fillId="25" borderId="115" xfId="0" applyFont="1" applyFill="1" applyBorder="1" applyAlignment="1">
      <alignment horizontal="center" vertical="center" wrapText="1"/>
    </xf>
    <xf numFmtId="3" fontId="398" fillId="25" borderId="116" xfId="0" applyNumberFormat="1" applyFont="1" applyFill="1" applyBorder="1" applyAlignment="1">
      <alignment horizontal="right" vertical="top" wrapText="1"/>
    </xf>
    <xf numFmtId="3" fontId="398" fillId="25" borderId="117" xfId="0" applyNumberFormat="1" applyFont="1" applyFill="1" applyBorder="1" applyAlignment="1">
      <alignment horizontal="right" vertical="top" wrapText="1"/>
    </xf>
    <xf numFmtId="0" fontId="391" fillId="0" borderId="0" xfId="0" applyFont="1" applyAlignment="1">
      <alignment vertical="center"/>
    </xf>
    <xf numFmtId="0" fontId="399" fillId="0" borderId="0" xfId="0" applyFont="1" applyAlignment="1">
      <alignment vertical="center"/>
    </xf>
    <xf numFmtId="0" fontId="389" fillId="0" borderId="0" xfId="0" applyFont="1" applyAlignment="1">
      <alignment vertical="center"/>
    </xf>
    <xf numFmtId="14" fontId="388" fillId="5" borderId="281" xfId="0" applyNumberFormat="1" applyFont="1" applyFill="1" applyBorder="1" applyAlignment="1">
      <alignment horizontal="center" vertical="center"/>
    </xf>
    <xf numFmtId="14" fontId="388" fillId="5" borderId="285" xfId="0" applyNumberFormat="1" applyFont="1" applyFill="1" applyBorder="1" applyAlignment="1">
      <alignment horizontal="center" vertical="center"/>
    </xf>
    <xf numFmtId="14" fontId="388" fillId="5" borderId="6" xfId="0" applyNumberFormat="1" applyFont="1" applyFill="1" applyBorder="1" applyAlignment="1">
      <alignment horizontal="center" vertical="center"/>
    </xf>
    <xf numFmtId="14" fontId="388" fillId="5" borderId="420" xfId="0" applyNumberFormat="1" applyFont="1" applyFill="1" applyBorder="1" applyAlignment="1">
      <alignment horizontal="center" vertical="center"/>
    </xf>
    <xf numFmtId="14" fontId="388" fillId="29" borderId="7" xfId="0" applyNumberFormat="1" applyFont="1" applyFill="1" applyBorder="1" applyAlignment="1">
      <alignment horizontal="center" vertical="center"/>
    </xf>
    <xf numFmtId="0" fontId="389" fillId="0" borderId="0" xfId="0" applyFont="1" applyAlignment="1">
      <alignment horizontal="center" vertical="center"/>
    </xf>
    <xf numFmtId="14" fontId="388" fillId="5" borderId="282" xfId="0" applyNumberFormat="1" applyFont="1" applyFill="1" applyBorder="1" applyAlignment="1">
      <alignment horizontal="center" vertical="center"/>
    </xf>
    <xf numFmtId="0" fontId="388" fillId="5" borderId="286" xfId="0" applyFont="1" applyFill="1" applyBorder="1" applyAlignment="1">
      <alignment vertical="center"/>
    </xf>
    <xf numFmtId="14" fontId="388" fillId="5" borderId="123" xfId="0" applyNumberFormat="1" applyFont="1" applyFill="1" applyBorder="1" applyAlignment="1">
      <alignment horizontal="center" vertical="center"/>
    </xf>
    <xf numFmtId="41" fontId="388" fillId="5" borderId="123" xfId="1" applyFont="1" applyFill="1" applyBorder="1" applyAlignment="1">
      <alignment vertical="center"/>
    </xf>
    <xf numFmtId="41" fontId="388" fillId="5" borderId="123" xfId="0" applyNumberFormat="1" applyFont="1" applyFill="1" applyBorder="1" applyAlignment="1">
      <alignment vertical="center"/>
    </xf>
    <xf numFmtId="41" fontId="388" fillId="5" borderId="368" xfId="1" applyFont="1" applyFill="1" applyBorder="1" applyAlignment="1">
      <alignment vertical="center"/>
    </xf>
    <xf numFmtId="184" fontId="388" fillId="29" borderId="124" xfId="0" applyNumberFormat="1" applyFont="1" applyFill="1" applyBorder="1" applyAlignment="1">
      <alignment vertical="center"/>
    </xf>
    <xf numFmtId="184" fontId="388" fillId="5" borderId="123" xfId="1" applyNumberFormat="1" applyFont="1" applyFill="1" applyBorder="1" applyAlignment="1">
      <alignment vertical="center"/>
    </xf>
    <xf numFmtId="184" fontId="388" fillId="5" borderId="123" xfId="0" applyNumberFormat="1" applyFont="1" applyFill="1" applyBorder="1" applyAlignment="1">
      <alignment vertical="center"/>
    </xf>
    <xf numFmtId="184" fontId="388" fillId="5" borderId="368" xfId="1" applyNumberFormat="1" applyFont="1" applyFill="1" applyBorder="1" applyAlignment="1">
      <alignment vertical="center"/>
    </xf>
    <xf numFmtId="0" fontId="388" fillId="5" borderId="287" xfId="0" applyFont="1" applyFill="1" applyBorder="1" applyAlignment="1">
      <alignment vertical="center"/>
    </xf>
    <xf numFmtId="14" fontId="388" fillId="5" borderId="123" xfId="0" applyNumberFormat="1" applyFont="1" applyFill="1" applyBorder="1" applyAlignment="1">
      <alignment vertical="center"/>
    </xf>
    <xf numFmtId="14" fontId="388" fillId="5" borderId="368" xfId="0" applyNumberFormat="1" applyFont="1" applyFill="1" applyBorder="1" applyAlignment="1">
      <alignment vertical="center"/>
    </xf>
    <xf numFmtId="0" fontId="391" fillId="8" borderId="283" xfId="0" applyFont="1" applyFill="1" applyBorder="1" applyAlignment="1">
      <alignment horizontal="center" vertical="center"/>
    </xf>
    <xf numFmtId="0" fontId="391" fillId="0" borderId="288" xfId="0" applyFont="1" applyBorder="1" applyAlignment="1">
      <alignment vertical="center"/>
    </xf>
    <xf numFmtId="176" fontId="391" fillId="0" borderId="4" xfId="0" applyNumberFormat="1" applyFont="1" applyBorder="1" applyAlignment="1">
      <alignment vertical="center"/>
    </xf>
    <xf numFmtId="0" fontId="391" fillId="0" borderId="4" xfId="0" applyFont="1" applyBorder="1" applyAlignment="1">
      <alignment vertical="center"/>
    </xf>
    <xf numFmtId="0" fontId="391" fillId="0" borderId="369" xfId="0" applyFont="1" applyBorder="1" applyAlignment="1">
      <alignment vertical="center"/>
    </xf>
    <xf numFmtId="184" fontId="391" fillId="0" borderId="9" xfId="0" applyNumberFormat="1" applyFont="1" applyBorder="1" applyAlignment="1">
      <alignment vertical="center"/>
    </xf>
    <xf numFmtId="10" fontId="391" fillId="0" borderId="4" xfId="2" applyNumberFormat="1" applyFont="1" applyBorder="1" applyAlignment="1">
      <alignment vertical="center"/>
    </xf>
    <xf numFmtId="176" fontId="391" fillId="0" borderId="369" xfId="0" applyNumberFormat="1" applyFont="1" applyBorder="1" applyAlignment="1">
      <alignment vertical="center"/>
    </xf>
    <xf numFmtId="0" fontId="391" fillId="8" borderId="284" xfId="0" applyFont="1" applyFill="1" applyBorder="1" applyAlignment="1">
      <alignment horizontal="center" vertical="center"/>
    </xf>
    <xf numFmtId="0" fontId="391" fillId="0" borderId="289" xfId="0" applyFont="1" applyBorder="1" applyAlignment="1">
      <alignment vertical="center"/>
    </xf>
    <xf numFmtId="176" fontId="391" fillId="0" borderId="11" xfId="0" applyNumberFormat="1" applyFont="1" applyBorder="1" applyAlignment="1">
      <alignment vertical="center"/>
    </xf>
    <xf numFmtId="176" fontId="391" fillId="0" borderId="370" xfId="0" applyNumberFormat="1" applyFont="1" applyBorder="1" applyAlignment="1">
      <alignment vertical="center"/>
    </xf>
    <xf numFmtId="184" fontId="391" fillId="0" borderId="12" xfId="0" applyNumberFormat="1" applyFont="1" applyBorder="1" applyAlignment="1">
      <alignment vertical="center"/>
    </xf>
    <xf numFmtId="14" fontId="388" fillId="5" borderId="13" xfId="0" applyNumberFormat="1" applyFont="1" applyFill="1" applyBorder="1" applyAlignment="1">
      <alignment horizontal="center" vertical="center"/>
    </xf>
    <xf numFmtId="14" fontId="388" fillId="5" borderId="14" xfId="0" applyNumberFormat="1" applyFont="1" applyFill="1" applyBorder="1" applyAlignment="1">
      <alignment horizontal="center" vertical="center"/>
    </xf>
    <xf numFmtId="14" fontId="388" fillId="5" borderId="71" xfId="0" applyNumberFormat="1" applyFont="1" applyFill="1" applyBorder="1" applyAlignment="1">
      <alignment horizontal="center" vertical="center"/>
    </xf>
    <xf numFmtId="14" fontId="388" fillId="29" borderId="15" xfId="0" applyNumberFormat="1" applyFont="1" applyFill="1" applyBorder="1" applyAlignment="1">
      <alignment horizontal="center" vertical="center"/>
    </xf>
    <xf numFmtId="14" fontId="388" fillId="5" borderId="16" xfId="0" applyNumberFormat="1" applyFont="1" applyFill="1" applyBorder="1" applyAlignment="1">
      <alignment horizontal="center" vertical="center"/>
    </xf>
    <xf numFmtId="177" fontId="388" fillId="5" borderId="1" xfId="1" applyNumberFormat="1" applyFont="1" applyFill="1" applyBorder="1" applyAlignment="1">
      <alignment horizontal="center" vertical="center"/>
    </xf>
    <xf numFmtId="0" fontId="388" fillId="5" borderId="1" xfId="0" applyNumberFormat="1" applyFont="1" applyFill="1" applyBorder="1" applyAlignment="1">
      <alignment horizontal="center" vertical="center"/>
    </xf>
    <xf numFmtId="177" fontId="388" fillId="5" borderId="84" xfId="1" applyNumberFormat="1" applyFont="1" applyFill="1" applyBorder="1" applyAlignment="1">
      <alignment horizontal="center" vertical="center"/>
    </xf>
    <xf numFmtId="347" fontId="388" fillId="29" borderId="17" xfId="0" applyNumberFormat="1" applyFont="1" applyFill="1" applyBorder="1" applyAlignment="1">
      <alignment vertical="center"/>
    </xf>
    <xf numFmtId="0" fontId="391" fillId="0" borderId="16" xfId="0" applyFont="1" applyBorder="1" applyAlignment="1">
      <alignment horizontal="center" vertical="center"/>
    </xf>
    <xf numFmtId="0" fontId="391" fillId="0" borderId="1" xfId="0" applyFont="1" applyBorder="1" applyAlignment="1">
      <alignment vertical="center"/>
    </xf>
    <xf numFmtId="41" fontId="391" fillId="0" borderId="1" xfId="1" applyFont="1" applyBorder="1" applyAlignment="1">
      <alignment vertical="center"/>
    </xf>
    <xf numFmtId="41" fontId="391" fillId="0" borderId="1" xfId="1" applyNumberFormat="1" applyFont="1" applyBorder="1" applyAlignment="1">
      <alignment vertical="center"/>
    </xf>
    <xf numFmtId="41" fontId="391" fillId="0" borderId="84" xfId="1" applyNumberFormat="1" applyFont="1" applyBorder="1" applyAlignment="1">
      <alignment vertical="center"/>
    </xf>
    <xf numFmtId="41" fontId="391" fillId="0" borderId="17" xfId="1" applyNumberFormat="1" applyFont="1" applyBorder="1" applyAlignment="1">
      <alignment vertical="center"/>
    </xf>
    <xf numFmtId="41" fontId="391" fillId="0" borderId="0" xfId="1" applyFont="1" applyAlignment="1">
      <alignment vertical="center"/>
    </xf>
    <xf numFmtId="184" fontId="391" fillId="0" borderId="1" xfId="1" applyNumberFormat="1" applyFont="1" applyBorder="1" applyAlignment="1">
      <alignment vertical="center"/>
    </xf>
    <xf numFmtId="184" fontId="391" fillId="0" borderId="84" xfId="1" applyNumberFormat="1" applyFont="1" applyBorder="1" applyAlignment="1">
      <alignment vertical="center"/>
    </xf>
    <xf numFmtId="184" fontId="391" fillId="0" borderId="17" xfId="1" applyNumberFormat="1" applyFont="1" applyBorder="1" applyAlignment="1">
      <alignment vertical="center"/>
    </xf>
    <xf numFmtId="0" fontId="391" fillId="0" borderId="84" xfId="0" applyFont="1" applyBorder="1" applyAlignment="1">
      <alignment vertical="center"/>
    </xf>
    <xf numFmtId="0" fontId="391" fillId="0" borderId="17" xfId="0" applyFont="1" applyBorder="1" applyAlignment="1">
      <alignment vertical="center"/>
    </xf>
    <xf numFmtId="0" fontId="391" fillId="0" borderId="18" xfId="0" applyFont="1" applyBorder="1" applyAlignment="1">
      <alignment horizontal="center" vertical="center"/>
    </xf>
    <xf numFmtId="0" fontId="391" fillId="0" borderId="19" xfId="0" applyFont="1" applyBorder="1" applyAlignment="1">
      <alignment vertical="center"/>
    </xf>
    <xf numFmtId="41" fontId="391" fillId="0" borderId="19" xfId="1" applyFont="1" applyBorder="1" applyAlignment="1">
      <alignment vertical="center"/>
    </xf>
    <xf numFmtId="0" fontId="391" fillId="0" borderId="85" xfId="0" applyFont="1" applyBorder="1" applyAlignment="1">
      <alignment vertical="center"/>
    </xf>
    <xf numFmtId="0" fontId="391" fillId="0" borderId="20" xfId="0" applyFont="1" applyBorder="1" applyAlignment="1">
      <alignment vertical="center"/>
    </xf>
    <xf numFmtId="14" fontId="388" fillId="7" borderId="24" xfId="0" applyNumberFormat="1" applyFont="1" applyFill="1" applyBorder="1" applyAlignment="1">
      <alignment horizontal="center" vertical="center"/>
    </xf>
    <xf numFmtId="177" fontId="388" fillId="7" borderId="23" xfId="1" applyNumberFormat="1" applyFont="1" applyFill="1" applyBorder="1" applyAlignment="1">
      <alignment horizontal="center" vertical="center"/>
    </xf>
    <xf numFmtId="14" fontId="388" fillId="7" borderId="23" xfId="0" applyNumberFormat="1" applyFont="1" applyFill="1" applyBorder="1" applyAlignment="1">
      <alignment horizontal="center" vertical="center"/>
    </xf>
    <xf numFmtId="14" fontId="388" fillId="7" borderId="371" xfId="0" applyNumberFormat="1" applyFont="1" applyFill="1" applyBorder="1" applyAlignment="1">
      <alignment horizontal="center" vertical="center"/>
    </xf>
    <xf numFmtId="14" fontId="388" fillId="7" borderId="25" xfId="0" applyNumberFormat="1" applyFont="1" applyFill="1" applyBorder="1" applyAlignment="1">
      <alignment horizontal="center" vertical="center"/>
    </xf>
    <xf numFmtId="0" fontId="391" fillId="0" borderId="0" xfId="0" applyFont="1" applyAlignment="1">
      <alignment horizontal="center" vertical="center"/>
    </xf>
    <xf numFmtId="41" fontId="391" fillId="0" borderId="0" xfId="0" applyNumberFormat="1" applyFont="1" applyAlignment="1">
      <alignment vertical="center"/>
    </xf>
    <xf numFmtId="176" fontId="399" fillId="0" borderId="0" xfId="0" applyNumberFormat="1" applyFont="1" applyBorder="1" applyAlignment="1">
      <alignment vertical="center"/>
    </xf>
    <xf numFmtId="176" fontId="390" fillId="0" borderId="0" xfId="0" applyNumberFormat="1" applyFont="1" applyBorder="1" applyAlignment="1">
      <alignment horizontal="center" vertical="center"/>
    </xf>
    <xf numFmtId="176" fontId="390" fillId="0" borderId="0" xfId="0" applyNumberFormat="1" applyFont="1" applyBorder="1" applyAlignment="1">
      <alignment vertical="center"/>
    </xf>
    <xf numFmtId="176" fontId="388" fillId="5" borderId="71" xfId="0" applyNumberFormat="1" applyFont="1" applyFill="1" applyBorder="1" applyAlignment="1">
      <alignment horizontal="center" vertical="center" wrapText="1"/>
    </xf>
    <xf numFmtId="176" fontId="388" fillId="5" borderId="258" xfId="0" applyNumberFormat="1" applyFont="1" applyFill="1" applyBorder="1" applyAlignment="1">
      <alignment horizontal="center" vertical="center" wrapText="1"/>
    </xf>
    <xf numFmtId="176" fontId="388" fillId="5" borderId="237" xfId="0" applyNumberFormat="1" applyFont="1" applyFill="1" applyBorder="1" applyAlignment="1">
      <alignment horizontal="center" vertical="center" wrapText="1"/>
    </xf>
    <xf numFmtId="176" fontId="388" fillId="5" borderId="238" xfId="0" applyNumberFormat="1" applyFont="1" applyFill="1" applyBorder="1" applyAlignment="1">
      <alignment horizontal="center" vertical="center" wrapText="1"/>
    </xf>
    <xf numFmtId="176" fontId="388" fillId="29" borderId="414" xfId="0" applyNumberFormat="1" applyFont="1" applyFill="1" applyBorder="1" applyAlignment="1">
      <alignment horizontal="center" vertical="center" wrapText="1"/>
    </xf>
    <xf numFmtId="176" fontId="389" fillId="2" borderId="16" xfId="0" applyNumberFormat="1" applyFont="1" applyFill="1" applyBorder="1" applyAlignment="1">
      <alignment vertical="center"/>
    </xf>
    <xf numFmtId="176" fontId="391" fillId="2" borderId="84" xfId="0" applyNumberFormat="1" applyFont="1" applyFill="1" applyBorder="1" applyAlignment="1">
      <alignment vertical="center"/>
    </xf>
    <xf numFmtId="176" fontId="391" fillId="2" borderId="233" xfId="0" applyNumberFormat="1" applyFont="1" applyFill="1" applyBorder="1" applyAlignment="1">
      <alignment vertical="center"/>
    </xf>
    <xf numFmtId="176" fontId="391" fillId="2" borderId="121" xfId="0" applyNumberFormat="1" applyFont="1" applyFill="1" applyBorder="1" applyAlignment="1">
      <alignment vertical="center"/>
    </xf>
    <xf numFmtId="176" fontId="391" fillId="2" borderId="232" xfId="0" applyNumberFormat="1" applyFont="1" applyFill="1" applyBorder="1" applyAlignment="1">
      <alignment vertical="center"/>
    </xf>
    <xf numFmtId="176" fontId="391" fillId="2" borderId="415" xfId="0" applyNumberFormat="1" applyFont="1" applyFill="1" applyBorder="1" applyAlignment="1">
      <alignment vertical="center"/>
    </xf>
    <xf numFmtId="176" fontId="391" fillId="0" borderId="47" xfId="0" applyNumberFormat="1" applyFont="1" applyFill="1" applyBorder="1" applyAlignment="1">
      <alignment vertical="center"/>
    </xf>
    <xf numFmtId="176" fontId="391" fillId="16" borderId="1" xfId="0" applyNumberFormat="1" applyFont="1" applyFill="1" applyBorder="1" applyAlignment="1">
      <alignment vertical="center"/>
    </xf>
    <xf numFmtId="176" fontId="391" fillId="0" borderId="84" xfId="0" applyNumberFormat="1" applyFont="1" applyFill="1" applyBorder="1" applyAlignment="1">
      <alignment vertical="center"/>
    </xf>
    <xf numFmtId="176" fontId="391" fillId="0" borderId="16" xfId="0" applyNumberFormat="1" applyFont="1" applyFill="1" applyBorder="1" applyAlignment="1">
      <alignment vertical="center"/>
    </xf>
    <xf numFmtId="176" fontId="391" fillId="114" borderId="233" xfId="0" applyNumberFormat="1" applyFont="1" applyFill="1" applyBorder="1" applyAlignment="1">
      <alignment vertical="center"/>
    </xf>
    <xf numFmtId="176" fontId="391" fillId="114" borderId="121" xfId="0" applyNumberFormat="1" applyFont="1" applyFill="1" applyBorder="1" applyAlignment="1">
      <alignment vertical="center"/>
    </xf>
    <xf numFmtId="176" fontId="391" fillId="114" borderId="232" xfId="0" applyNumberFormat="1" applyFont="1" applyFill="1" applyBorder="1" applyAlignment="1">
      <alignment vertical="center"/>
    </xf>
    <xf numFmtId="176" fontId="391" fillId="114" borderId="415" xfId="0" applyNumberFormat="1" applyFont="1" applyFill="1" applyBorder="1" applyAlignment="1">
      <alignment vertical="center"/>
    </xf>
    <xf numFmtId="176" fontId="391" fillId="0" borderId="276" xfId="0" applyNumberFormat="1" applyFont="1" applyFill="1" applyBorder="1" applyAlignment="1">
      <alignment horizontal="center" vertical="center"/>
    </xf>
    <xf numFmtId="176" fontId="391" fillId="0" borderId="278" xfId="0" applyNumberFormat="1" applyFont="1" applyFill="1" applyBorder="1" applyAlignment="1">
      <alignment horizontal="left" vertical="center" indent="1"/>
    </xf>
    <xf numFmtId="176" fontId="391" fillId="16" borderId="260" xfId="0" applyNumberFormat="1" applyFont="1" applyFill="1" applyBorder="1" applyAlignment="1">
      <alignment vertical="center"/>
    </xf>
    <xf numFmtId="176" fontId="391" fillId="0" borderId="260" xfId="0" applyNumberFormat="1" applyFont="1" applyFill="1" applyBorder="1" applyAlignment="1">
      <alignment vertical="center"/>
    </xf>
    <xf numFmtId="176" fontId="391" fillId="0" borderId="261" xfId="0" applyNumberFormat="1" applyFont="1" applyFill="1" applyBorder="1" applyAlignment="1">
      <alignment vertical="center"/>
    </xf>
    <xf numFmtId="176" fontId="391" fillId="0" borderId="259" xfId="0" applyNumberFormat="1" applyFont="1" applyFill="1" applyBorder="1" applyAlignment="1">
      <alignment vertical="center"/>
    </xf>
    <xf numFmtId="176" fontId="391" fillId="114" borderId="264" xfId="0" applyNumberFormat="1" applyFont="1" applyFill="1" applyBorder="1" applyAlignment="1">
      <alignment vertical="center"/>
    </xf>
    <xf numFmtId="176" fontId="391" fillId="114" borderId="262" xfId="0" applyNumberFormat="1" applyFont="1" applyFill="1" applyBorder="1" applyAlignment="1">
      <alignment vertical="center"/>
    </xf>
    <xf numFmtId="176" fontId="391" fillId="114" borderId="263" xfId="0" applyNumberFormat="1" applyFont="1" applyFill="1" applyBorder="1" applyAlignment="1">
      <alignment vertical="center"/>
    </xf>
    <xf numFmtId="176" fontId="391" fillId="114" borderId="416" xfId="0" applyNumberFormat="1" applyFont="1" applyFill="1" applyBorder="1" applyAlignment="1">
      <alignment vertical="center"/>
    </xf>
    <xf numFmtId="176" fontId="391" fillId="0" borderId="269" xfId="0" applyNumberFormat="1" applyFont="1" applyBorder="1" applyAlignment="1">
      <alignment horizontal="center" vertical="center"/>
    </xf>
    <xf numFmtId="176" fontId="391" fillId="0" borderId="279" xfId="0" applyNumberFormat="1" applyFont="1" applyBorder="1" applyAlignment="1">
      <alignment horizontal="left" vertical="center" indent="1"/>
    </xf>
    <xf numFmtId="176" fontId="391" fillId="16" borderId="267" xfId="0" applyNumberFormat="1" applyFont="1" applyFill="1" applyBorder="1" applyAlignment="1">
      <alignment vertical="center"/>
    </xf>
    <xf numFmtId="176" fontId="391" fillId="0" borderId="267" xfId="0" applyNumberFormat="1" applyFont="1" applyFill="1" applyBorder="1" applyAlignment="1">
      <alignment vertical="center"/>
    </xf>
    <xf numFmtId="176" fontId="391" fillId="0" borderId="268" xfId="0" applyNumberFormat="1" applyFont="1" applyFill="1" applyBorder="1" applyAlignment="1">
      <alignment vertical="center"/>
    </xf>
    <xf numFmtId="176" fontId="391" fillId="0" borderId="265" xfId="0" applyNumberFormat="1" applyFont="1" applyFill="1" applyBorder="1" applyAlignment="1">
      <alignment vertical="center"/>
    </xf>
    <xf numFmtId="176" fontId="391" fillId="114" borderId="266" xfId="0" applyNumberFormat="1" applyFont="1" applyFill="1" applyBorder="1" applyAlignment="1">
      <alignment vertical="center"/>
    </xf>
    <xf numFmtId="176" fontId="391" fillId="114" borderId="417" xfId="0" applyNumberFormat="1" applyFont="1" applyFill="1" applyBorder="1" applyAlignment="1">
      <alignment vertical="center"/>
    </xf>
    <xf numFmtId="0" fontId="391" fillId="0" borderId="269" xfId="0" applyFont="1" applyBorder="1" applyAlignment="1">
      <alignment horizontal="center" vertical="center"/>
    </xf>
    <xf numFmtId="0" fontId="391" fillId="0" borderId="279" xfId="0" applyFont="1" applyBorder="1" applyAlignment="1">
      <alignment horizontal="left" vertical="center" indent="1"/>
    </xf>
    <xf numFmtId="176" fontId="389" fillId="0" borderId="277" xfId="0" applyNumberFormat="1" applyFont="1" applyFill="1" applyBorder="1" applyAlignment="1">
      <alignment horizontal="left" vertical="center"/>
    </xf>
    <xf numFmtId="176" fontId="391" fillId="0" borderId="280" xfId="0" applyNumberFormat="1" applyFont="1" applyFill="1" applyBorder="1" applyAlignment="1">
      <alignment horizontal="left" vertical="center" indent="1"/>
    </xf>
    <xf numFmtId="176" fontId="391" fillId="16" borderId="271" xfId="0" applyNumberFormat="1" applyFont="1" applyFill="1" applyBorder="1" applyAlignment="1">
      <alignment vertical="center"/>
    </xf>
    <xf numFmtId="176" fontId="391" fillId="0" borderId="271" xfId="0" applyNumberFormat="1" applyFont="1" applyFill="1" applyBorder="1" applyAlignment="1">
      <alignment vertical="center"/>
    </xf>
    <xf numFmtId="176" fontId="391" fillId="0" borderId="272" xfId="0" applyNumberFormat="1" applyFont="1" applyFill="1" applyBorder="1" applyAlignment="1">
      <alignment vertical="center"/>
    </xf>
    <xf numFmtId="176" fontId="391" fillId="0" borderId="270" xfId="0" applyNumberFormat="1" applyFont="1" applyFill="1" applyBorder="1" applyAlignment="1">
      <alignment vertical="center"/>
    </xf>
    <xf numFmtId="176" fontId="391" fillId="114" borderId="275" xfId="0" applyNumberFormat="1" applyFont="1" applyFill="1" applyBorder="1" applyAlignment="1">
      <alignment vertical="center"/>
    </xf>
    <xf numFmtId="176" fontId="391" fillId="114" borderId="273" xfId="0" applyNumberFormat="1" applyFont="1" applyFill="1" applyBorder="1" applyAlignment="1">
      <alignment vertical="center"/>
    </xf>
    <xf numFmtId="176" fontId="391" fillId="114" borderId="274" xfId="0" applyNumberFormat="1" applyFont="1" applyFill="1" applyBorder="1" applyAlignment="1">
      <alignment vertical="center"/>
    </xf>
    <xf numFmtId="176" fontId="391" fillId="114" borderId="418" xfId="0" applyNumberFormat="1" applyFont="1" applyFill="1" applyBorder="1" applyAlignment="1">
      <alignment vertical="center"/>
    </xf>
    <xf numFmtId="41" fontId="391" fillId="0" borderId="0" xfId="1" applyFont="1" applyFill="1" applyBorder="1" applyAlignment="1">
      <alignment vertical="center"/>
    </xf>
    <xf numFmtId="176" fontId="389" fillId="2" borderId="16" xfId="0" applyNumberFormat="1" applyFont="1" applyFill="1" applyBorder="1" applyAlignment="1">
      <alignment horizontal="left" vertical="center"/>
    </xf>
    <xf numFmtId="176" fontId="389" fillId="2" borderId="1" xfId="0" applyNumberFormat="1" applyFont="1" applyFill="1" applyBorder="1" applyAlignment="1">
      <alignment horizontal="left" vertical="center" indent="1"/>
    </xf>
    <xf numFmtId="176" fontId="389" fillId="2" borderId="1" xfId="0" applyNumberFormat="1" applyFont="1" applyFill="1" applyBorder="1" applyAlignment="1">
      <alignment vertical="center"/>
    </xf>
    <xf numFmtId="176" fontId="389" fillId="2" borderId="84" xfId="0" applyNumberFormat="1" applyFont="1" applyFill="1" applyBorder="1" applyAlignment="1">
      <alignment vertical="center"/>
    </xf>
    <xf numFmtId="176" fontId="389" fillId="2" borderId="233" xfId="0" applyNumberFormat="1" applyFont="1" applyFill="1" applyBorder="1" applyAlignment="1">
      <alignment vertical="center"/>
    </xf>
    <xf numFmtId="176" fontId="389" fillId="2" borderId="121" xfId="0" applyNumberFormat="1" applyFont="1" applyFill="1" applyBorder="1" applyAlignment="1">
      <alignment vertical="center"/>
    </xf>
    <xf numFmtId="176" fontId="389" fillId="2" borderId="232" xfId="0" applyNumberFormat="1" applyFont="1" applyFill="1" applyBorder="1" applyAlignment="1">
      <alignment vertical="center"/>
    </xf>
    <xf numFmtId="176" fontId="389" fillId="2" borderId="415" xfId="0" applyNumberFormat="1" applyFont="1" applyFill="1" applyBorder="1" applyAlignment="1">
      <alignment vertical="center"/>
    </xf>
    <xf numFmtId="176" fontId="389" fillId="0" borderId="47" xfId="0" applyNumberFormat="1" applyFont="1" applyFill="1" applyBorder="1" applyAlignment="1">
      <alignment vertical="center"/>
    </xf>
    <xf numFmtId="41" fontId="389" fillId="0" borderId="0" xfId="1" applyFont="1" applyFill="1" applyBorder="1" applyAlignment="1">
      <alignment vertical="center"/>
    </xf>
    <xf numFmtId="176" fontId="391" fillId="0" borderId="233" xfId="0" applyNumberFormat="1" applyFont="1" applyFill="1" applyBorder="1" applyAlignment="1">
      <alignment vertical="center"/>
    </xf>
    <xf numFmtId="176" fontId="391" fillId="0" borderId="121" xfId="0" applyNumberFormat="1" applyFont="1" applyFill="1" applyBorder="1" applyAlignment="1">
      <alignment vertical="center"/>
    </xf>
    <xf numFmtId="176" fontId="391" fillId="0" borderId="232" xfId="0" applyNumberFormat="1" applyFont="1" applyFill="1" applyBorder="1" applyAlignment="1">
      <alignment vertical="center"/>
    </xf>
    <xf numFmtId="176" fontId="391" fillId="0" borderId="415" xfId="0" applyNumberFormat="1" applyFont="1" applyFill="1" applyBorder="1" applyAlignment="1">
      <alignment vertical="center"/>
    </xf>
    <xf numFmtId="176" fontId="391" fillId="0" borderId="84" xfId="0" applyNumberFormat="1" applyFont="1" applyBorder="1" applyAlignment="1">
      <alignment vertical="center"/>
    </xf>
    <xf numFmtId="176" fontId="391" fillId="0" borderId="16" xfId="0" applyNumberFormat="1" applyFont="1" applyBorder="1" applyAlignment="1">
      <alignment vertical="center"/>
    </xf>
    <xf numFmtId="176" fontId="391" fillId="0" borderId="233" xfId="0" applyNumberFormat="1" applyFont="1" applyBorder="1" applyAlignment="1">
      <alignment vertical="center"/>
    </xf>
    <xf numFmtId="176" fontId="391" fillId="0" borderId="415" xfId="0" applyNumberFormat="1" applyFont="1" applyBorder="1" applyAlignment="1">
      <alignment vertical="center"/>
    </xf>
    <xf numFmtId="176" fontId="391" fillId="114" borderId="84" xfId="0" applyNumberFormat="1" applyFont="1" applyFill="1" applyBorder="1" applyAlignment="1">
      <alignment vertical="center"/>
    </xf>
    <xf numFmtId="176" fontId="391" fillId="0" borderId="18" xfId="0" applyNumberFormat="1" applyFont="1" applyFill="1" applyBorder="1" applyAlignment="1">
      <alignment horizontal="center" vertical="center"/>
    </xf>
    <xf numFmtId="176" fontId="391" fillId="0" borderId="19" xfId="0" applyNumberFormat="1" applyFont="1" applyFill="1" applyBorder="1" applyAlignment="1">
      <alignment horizontal="left" vertical="center" indent="1"/>
    </xf>
    <xf numFmtId="176" fontId="391" fillId="16" borderId="19" xfId="0" applyNumberFormat="1" applyFont="1" applyFill="1" applyBorder="1" applyAlignment="1">
      <alignment vertical="center"/>
    </xf>
    <xf numFmtId="176" fontId="391" fillId="0" borderId="19" xfId="0" applyNumberFormat="1" applyFont="1" applyFill="1" applyBorder="1" applyAlignment="1">
      <alignment vertical="center"/>
    </xf>
    <xf numFmtId="176" fontId="391" fillId="0" borderId="85" xfId="0" applyNumberFormat="1" applyFont="1" applyFill="1" applyBorder="1" applyAlignment="1">
      <alignment vertical="center"/>
    </xf>
    <xf numFmtId="176" fontId="391" fillId="0" borderId="18" xfId="0" applyNumberFormat="1" applyFont="1" applyFill="1" applyBorder="1" applyAlignment="1">
      <alignment vertical="center"/>
    </xf>
    <xf numFmtId="176" fontId="391" fillId="114" borderId="85" xfId="0" applyNumberFormat="1" applyFont="1" applyFill="1" applyBorder="1" applyAlignment="1">
      <alignment vertical="center"/>
    </xf>
    <xf numFmtId="176" fontId="391" fillId="114" borderId="234" xfId="0" applyNumberFormat="1" applyFont="1" applyFill="1" applyBorder="1" applyAlignment="1">
      <alignment vertical="center"/>
    </xf>
    <xf numFmtId="176" fontId="391" fillId="114" borderId="120" xfId="0" applyNumberFormat="1" applyFont="1" applyFill="1" applyBorder="1" applyAlignment="1">
      <alignment vertical="center"/>
    </xf>
    <xf numFmtId="176" fontId="391" fillId="114" borderId="229" xfId="0" applyNumberFormat="1" applyFont="1" applyFill="1" applyBorder="1" applyAlignment="1">
      <alignment vertical="center"/>
    </xf>
    <xf numFmtId="176" fontId="391" fillId="114" borderId="419" xfId="0" applyNumberFormat="1" applyFont="1" applyFill="1" applyBorder="1" applyAlignment="1">
      <alignment vertical="center"/>
    </xf>
    <xf numFmtId="176" fontId="391" fillId="0" borderId="48" xfId="0" applyNumberFormat="1" applyFont="1" applyFill="1" applyBorder="1" applyAlignment="1">
      <alignment vertical="center"/>
    </xf>
    <xf numFmtId="176" fontId="388" fillId="29" borderId="413" xfId="0" applyNumberFormat="1" applyFont="1" applyFill="1" applyBorder="1" applyAlignment="1">
      <alignment horizontal="center" vertical="center" wrapText="1"/>
    </xf>
    <xf numFmtId="176" fontId="388" fillId="0" borderId="0" xfId="0" applyNumberFormat="1" applyFont="1" applyFill="1" applyBorder="1" applyAlignment="1">
      <alignment horizontal="center" vertical="center" wrapText="1"/>
    </xf>
    <xf numFmtId="176" fontId="388" fillId="0" borderId="0" xfId="0" applyNumberFormat="1" applyFont="1" applyBorder="1" applyAlignment="1">
      <alignment horizontal="center" vertical="center"/>
    </xf>
    <xf numFmtId="176" fontId="391" fillId="114" borderId="0" xfId="0" applyNumberFormat="1" applyFont="1" applyFill="1" applyBorder="1" applyAlignment="1">
      <alignment vertical="center"/>
    </xf>
    <xf numFmtId="176" fontId="391" fillId="114" borderId="0" xfId="0" applyNumberFormat="1" applyFont="1" applyFill="1" applyBorder="1" applyAlignment="1">
      <alignment horizontal="right" vertical="center"/>
    </xf>
    <xf numFmtId="185" fontId="391" fillId="114" borderId="0" xfId="0" applyNumberFormat="1" applyFont="1" applyFill="1" applyBorder="1" applyAlignment="1">
      <alignment horizontal="left" vertical="center" indent="1"/>
    </xf>
    <xf numFmtId="176" fontId="389" fillId="6" borderId="245" xfId="0" applyNumberFormat="1" applyFont="1" applyFill="1" applyBorder="1" applyAlignment="1">
      <alignment horizontal="left" vertical="center"/>
    </xf>
    <xf numFmtId="176" fontId="389" fillId="6" borderId="241" xfId="0" applyNumberFormat="1" applyFont="1" applyFill="1" applyBorder="1" applyAlignment="1">
      <alignment horizontal="left" vertical="center" indent="1"/>
    </xf>
    <xf numFmtId="176" fontId="389" fillId="6" borderId="241" xfId="0" applyNumberFormat="1" applyFont="1" applyFill="1" applyBorder="1" applyAlignment="1">
      <alignment horizontal="center" vertical="center"/>
    </xf>
    <xf numFmtId="176" fontId="389" fillId="6" borderId="246" xfId="0" applyNumberFormat="1" applyFont="1" applyFill="1" applyBorder="1" applyAlignment="1">
      <alignment horizontal="center" vertical="center"/>
    </xf>
    <xf numFmtId="176" fontId="389" fillId="6" borderId="245" xfId="0" applyNumberFormat="1" applyFont="1" applyFill="1" applyBorder="1" applyAlignment="1">
      <alignment horizontal="center" vertical="center"/>
    </xf>
    <xf numFmtId="176" fontId="389" fillId="6" borderId="318" xfId="0" applyNumberFormat="1" applyFont="1" applyFill="1" applyBorder="1" applyAlignment="1">
      <alignment horizontal="center" vertical="center"/>
    </xf>
    <xf numFmtId="176" fontId="389" fillId="0" borderId="0" xfId="0" applyNumberFormat="1" applyFont="1" applyFill="1" applyBorder="1" applyAlignment="1">
      <alignment horizontal="center" vertical="center"/>
    </xf>
    <xf numFmtId="176" fontId="389" fillId="0" borderId="0" xfId="0" applyNumberFormat="1" applyFont="1" applyBorder="1" applyAlignment="1">
      <alignment horizontal="center" vertical="center"/>
    </xf>
    <xf numFmtId="176" fontId="389" fillId="114" borderId="0" xfId="0" applyNumberFormat="1" applyFont="1" applyFill="1" applyBorder="1" applyAlignment="1">
      <alignment horizontal="center" vertical="center"/>
    </xf>
    <xf numFmtId="10" fontId="391" fillId="0" borderId="241" xfId="2" applyNumberFormat="1" applyFont="1" applyBorder="1" applyAlignment="1">
      <alignment vertical="center"/>
    </xf>
    <xf numFmtId="10" fontId="391" fillId="0" borderId="246" xfId="2" applyNumberFormat="1" applyFont="1" applyBorder="1" applyAlignment="1">
      <alignment vertical="center"/>
    </xf>
    <xf numFmtId="10" fontId="391" fillId="0" borderId="245" xfId="2" applyNumberFormat="1" applyFont="1" applyBorder="1" applyAlignment="1">
      <alignment vertical="center"/>
    </xf>
    <xf numFmtId="10" fontId="391" fillId="0" borderId="318" xfId="2" applyNumberFormat="1" applyFont="1" applyBorder="1" applyAlignment="1">
      <alignment vertical="center"/>
    </xf>
    <xf numFmtId="10" fontId="391" fillId="0" borderId="0" xfId="2" applyNumberFormat="1" applyFont="1" applyFill="1" applyBorder="1" applyAlignment="1">
      <alignment vertical="center"/>
    </xf>
    <xf numFmtId="176" fontId="389" fillId="0" borderId="245" xfId="0" applyNumberFormat="1" applyFont="1" applyBorder="1" applyAlignment="1">
      <alignment vertical="center"/>
    </xf>
    <xf numFmtId="176" fontId="389" fillId="0" borderId="241" xfId="0" applyNumberFormat="1" applyFont="1" applyBorder="1" applyAlignment="1">
      <alignment vertical="center"/>
    </xf>
    <xf numFmtId="176" fontId="389" fillId="0" borderId="246" xfId="0" applyNumberFormat="1" applyFont="1" applyBorder="1" applyAlignment="1">
      <alignment vertical="center"/>
    </xf>
    <xf numFmtId="176" fontId="400" fillId="28" borderId="243" xfId="0" applyNumberFormat="1" applyFont="1" applyFill="1" applyBorder="1" applyAlignment="1">
      <alignment horizontal="center" vertical="center"/>
    </xf>
    <xf numFmtId="176" fontId="400" fillId="28" borderId="240" xfId="0" applyNumberFormat="1" applyFont="1" applyFill="1" applyBorder="1" applyAlignment="1">
      <alignment horizontal="center" vertical="center"/>
    </xf>
    <xf numFmtId="176" fontId="400" fillId="28" borderId="319" xfId="0" applyNumberFormat="1" applyFont="1" applyFill="1" applyBorder="1" applyAlignment="1">
      <alignment horizontal="center" vertical="center"/>
    </xf>
    <xf numFmtId="176" fontId="400" fillId="28" borderId="320" xfId="0" applyNumberFormat="1" applyFont="1" applyFill="1" applyBorder="1" applyAlignment="1">
      <alignment horizontal="center" vertical="center"/>
    </xf>
    <xf numFmtId="176" fontId="400" fillId="28" borderId="321" xfId="0" applyNumberFormat="1" applyFont="1" applyFill="1" applyBorder="1" applyAlignment="1">
      <alignment horizontal="center" vertical="center"/>
    </xf>
    <xf numFmtId="176" fontId="400" fillId="28" borderId="293" xfId="0" applyNumberFormat="1" applyFont="1" applyFill="1" applyBorder="1" applyAlignment="1">
      <alignment horizontal="center" vertical="center"/>
    </xf>
    <xf numFmtId="183" fontId="400" fillId="28" borderId="244" xfId="0" applyNumberFormat="1" applyFont="1" applyFill="1" applyBorder="1" applyAlignment="1">
      <alignment horizontal="center" vertical="center"/>
    </xf>
    <xf numFmtId="176" fontId="389" fillId="0" borderId="0" xfId="0" applyNumberFormat="1" applyFont="1" applyBorder="1" applyAlignment="1">
      <alignment vertical="center"/>
    </xf>
    <xf numFmtId="176" fontId="389" fillId="6" borderId="245" xfId="0" applyNumberFormat="1" applyFont="1" applyFill="1" applyBorder="1" applyAlignment="1">
      <alignment vertical="center"/>
    </xf>
    <xf numFmtId="176" fontId="389" fillId="6" borderId="241" xfId="0" applyNumberFormat="1" applyFont="1" applyFill="1" applyBorder="1" applyAlignment="1">
      <alignment vertical="center"/>
    </xf>
    <xf numFmtId="176" fontId="389" fillId="6" borderId="246" xfId="0" applyNumberFormat="1" applyFont="1" applyFill="1" applyBorder="1" applyAlignment="1">
      <alignment vertical="center"/>
    </xf>
    <xf numFmtId="176" fontId="389" fillId="6" borderId="318" xfId="0" applyNumberFormat="1" applyFont="1" applyFill="1" applyBorder="1" applyAlignment="1">
      <alignment vertical="center"/>
    </xf>
    <xf numFmtId="0" fontId="401" fillId="114" borderId="245" xfId="5" applyFont="1" applyFill="1" applyBorder="1" applyAlignment="1">
      <alignment horizontal="left" indent="1"/>
    </xf>
    <xf numFmtId="0" fontId="401" fillId="114" borderId="241" xfId="5" applyFont="1" applyFill="1" applyBorder="1" applyAlignment="1">
      <alignment horizontal="left" indent="1"/>
    </xf>
    <xf numFmtId="184" fontId="401" fillId="114" borderId="241" xfId="0" applyNumberFormat="1" applyFont="1" applyFill="1" applyBorder="1" applyAlignment="1">
      <alignment vertical="center"/>
    </xf>
    <xf numFmtId="9" fontId="401" fillId="114" borderId="318" xfId="2" applyFont="1" applyFill="1" applyBorder="1" applyAlignment="1">
      <alignment vertical="center"/>
    </xf>
    <xf numFmtId="176" fontId="401" fillId="114" borderId="316" xfId="0" applyNumberFormat="1" applyFont="1" applyFill="1" applyBorder="1" applyAlignment="1">
      <alignment vertical="center"/>
    </xf>
    <xf numFmtId="176" fontId="401" fillId="114" borderId="317" xfId="0" applyNumberFormat="1" applyFont="1" applyFill="1" applyBorder="1" applyAlignment="1">
      <alignment vertical="center"/>
    </xf>
    <xf numFmtId="176" fontId="401" fillId="114" borderId="247" xfId="0" applyNumberFormat="1" applyFont="1" applyFill="1" applyBorder="1" applyAlignment="1">
      <alignment vertical="center"/>
    </xf>
    <xf numFmtId="176" fontId="401" fillId="114" borderId="241" xfId="0" applyNumberFormat="1" applyFont="1" applyFill="1" applyBorder="1" applyAlignment="1">
      <alignment vertical="center"/>
    </xf>
    <xf numFmtId="184" fontId="401" fillId="114" borderId="246" xfId="0" applyNumberFormat="1" applyFont="1" applyFill="1" applyBorder="1" applyAlignment="1">
      <alignment vertical="center"/>
    </xf>
    <xf numFmtId="41" fontId="391" fillId="0" borderId="0" xfId="1" applyFont="1" applyBorder="1" applyAlignment="1">
      <alignment vertical="center"/>
    </xf>
    <xf numFmtId="41" fontId="401" fillId="114" borderId="246" xfId="0" applyNumberFormat="1" applyFont="1" applyFill="1" applyBorder="1" applyAlignment="1">
      <alignment vertical="center"/>
    </xf>
    <xf numFmtId="176" fontId="391" fillId="0" borderId="0" xfId="0" applyNumberFormat="1" applyFont="1" applyFill="1" applyBorder="1" applyAlignment="1">
      <alignment horizontal="left" vertical="center" indent="1"/>
    </xf>
    <xf numFmtId="176" fontId="401" fillId="114" borderId="245" xfId="0" applyNumberFormat="1" applyFont="1" applyFill="1" applyBorder="1" applyAlignment="1">
      <alignment horizontal="left" vertical="center" indent="1"/>
    </xf>
    <xf numFmtId="176" fontId="401" fillId="114" borderId="241" xfId="0" applyNumberFormat="1" applyFont="1" applyFill="1" applyBorder="1" applyAlignment="1">
      <alignment horizontal="left" vertical="center" indent="1"/>
    </xf>
    <xf numFmtId="176" fontId="401" fillId="114" borderId="246" xfId="0" applyNumberFormat="1" applyFont="1" applyFill="1" applyBorder="1" applyAlignment="1">
      <alignment vertical="center"/>
    </xf>
    <xf numFmtId="176" fontId="401" fillId="114" borderId="325" xfId="0" applyNumberFormat="1" applyFont="1" applyFill="1" applyBorder="1" applyAlignment="1">
      <alignment horizontal="left" vertical="center" indent="1"/>
    </xf>
    <xf numFmtId="9" fontId="401" fillId="114" borderId="309" xfId="2" applyFont="1" applyFill="1" applyBorder="1" applyAlignment="1">
      <alignment horizontal="left" vertical="center" indent="1"/>
    </xf>
    <xf numFmtId="176" fontId="401" fillId="114" borderId="309" xfId="0" applyNumberFormat="1" applyFont="1" applyFill="1" applyBorder="1" applyAlignment="1">
      <alignment vertical="center"/>
    </xf>
    <xf numFmtId="184" fontId="401" fillId="114" borderId="309" xfId="0" applyNumberFormat="1" applyFont="1" applyFill="1" applyBorder="1" applyAlignment="1">
      <alignment vertical="center"/>
    </xf>
    <xf numFmtId="9" fontId="401" fillId="114" borderId="421" xfId="2" applyFont="1" applyFill="1" applyBorder="1" applyAlignment="1">
      <alignment vertical="center"/>
    </xf>
    <xf numFmtId="176" fontId="401" fillId="114" borderId="422" xfId="0" applyNumberFormat="1" applyFont="1" applyFill="1" applyBorder="1" applyAlignment="1">
      <alignment vertical="center"/>
    </xf>
    <xf numFmtId="176" fontId="401" fillId="114" borderId="423" xfId="0" applyNumberFormat="1" applyFont="1" applyFill="1" applyBorder="1" applyAlignment="1">
      <alignment vertical="center"/>
    </xf>
    <xf numFmtId="176" fontId="400" fillId="114" borderId="424" xfId="0" applyNumberFormat="1" applyFont="1" applyFill="1" applyBorder="1" applyAlignment="1">
      <alignment vertical="center"/>
    </xf>
    <xf numFmtId="176" fontId="400" fillId="114" borderId="309" xfId="0" applyNumberFormat="1" applyFont="1" applyFill="1" applyBorder="1" applyAlignment="1">
      <alignment vertical="center"/>
    </xf>
    <xf numFmtId="184" fontId="401" fillId="114" borderId="326" xfId="0" applyNumberFormat="1" applyFont="1" applyFill="1" applyBorder="1" applyAlignment="1">
      <alignment vertical="center"/>
    </xf>
    <xf numFmtId="176" fontId="401" fillId="114" borderId="248" xfId="0" applyNumberFormat="1" applyFont="1" applyFill="1" applyBorder="1" applyAlignment="1">
      <alignment horizontal="left" vertical="center" indent="1"/>
    </xf>
    <xf numFmtId="9" fontId="401" fillId="114" borderId="242" xfId="2" applyFont="1" applyFill="1" applyBorder="1" applyAlignment="1">
      <alignment horizontal="left" vertical="center" indent="1"/>
    </xf>
    <xf numFmtId="176" fontId="401" fillId="114" borderId="242" xfId="0" applyNumberFormat="1" applyFont="1" applyFill="1" applyBorder="1" applyAlignment="1">
      <alignment vertical="center"/>
    </xf>
    <xf numFmtId="184" fontId="401" fillId="114" borderId="242" xfId="0" applyNumberFormat="1" applyFont="1" applyFill="1" applyBorder="1" applyAlignment="1">
      <alignment vertical="center"/>
    </xf>
    <xf numFmtId="9" fontId="401" fillId="114" borderId="322" xfId="2" applyFont="1" applyFill="1" applyBorder="1" applyAlignment="1">
      <alignment vertical="center"/>
    </xf>
    <xf numFmtId="176" fontId="401" fillId="114" borderId="323" xfId="0" applyNumberFormat="1" applyFont="1" applyFill="1" applyBorder="1" applyAlignment="1">
      <alignment vertical="center"/>
    </xf>
    <xf numFmtId="176" fontId="401" fillId="114" borderId="324" xfId="0" applyNumberFormat="1" applyFont="1" applyFill="1" applyBorder="1" applyAlignment="1">
      <alignment vertical="center"/>
    </xf>
    <xf numFmtId="176" fontId="400" fillId="114" borderId="294" xfId="0" applyNumberFormat="1" applyFont="1" applyFill="1" applyBorder="1" applyAlignment="1">
      <alignment vertical="center"/>
    </xf>
    <xf numFmtId="176" fontId="400" fillId="114" borderId="242" xfId="0" applyNumberFormat="1" applyFont="1" applyFill="1" applyBorder="1" applyAlignment="1">
      <alignment vertical="center"/>
    </xf>
    <xf numFmtId="184" fontId="401" fillId="114" borderId="249" xfId="0" applyNumberFormat="1" applyFont="1" applyFill="1" applyBorder="1" applyAlignment="1">
      <alignment vertical="center"/>
    </xf>
    <xf numFmtId="184" fontId="402" fillId="0" borderId="0" xfId="0" applyNumberFormat="1" applyFont="1" applyBorder="1" applyAlignment="1">
      <alignment vertical="center"/>
    </xf>
    <xf numFmtId="184" fontId="403" fillId="0" borderId="0" xfId="0" applyNumberFormat="1" applyFont="1" applyBorder="1" applyAlignment="1">
      <alignment vertical="center"/>
    </xf>
    <xf numFmtId="176" fontId="389" fillId="2" borderId="241" xfId="0" applyNumberFormat="1" applyFont="1" applyFill="1" applyBorder="1" applyAlignment="1">
      <alignment horizontal="left" vertical="center" indent="1"/>
    </xf>
    <xf numFmtId="176" fontId="389" fillId="2" borderId="241" xfId="0" applyNumberFormat="1" applyFont="1" applyFill="1" applyBorder="1" applyAlignment="1">
      <alignment vertical="center"/>
    </xf>
    <xf numFmtId="176" fontId="389" fillId="2" borderId="246" xfId="0" applyNumberFormat="1" applyFont="1" applyFill="1" applyBorder="1" applyAlignment="1">
      <alignment vertical="center"/>
    </xf>
    <xf numFmtId="176" fontId="389" fillId="2" borderId="318" xfId="0" applyNumberFormat="1" applyFont="1" applyFill="1" applyBorder="1" applyAlignment="1">
      <alignment vertical="center"/>
    </xf>
    <xf numFmtId="184" fontId="391" fillId="0" borderId="302" xfId="0" applyNumberFormat="1" applyFont="1" applyBorder="1" applyAlignment="1">
      <alignment horizontal="center" vertical="center"/>
    </xf>
    <xf numFmtId="184" fontId="391" fillId="0" borderId="303" xfId="0" applyNumberFormat="1" applyFont="1" applyBorder="1" applyAlignment="1">
      <alignment horizontal="center" vertical="center"/>
    </xf>
    <xf numFmtId="184" fontId="391" fillId="116" borderId="303" xfId="0" applyNumberFormat="1" applyFont="1" applyFill="1" applyBorder="1" applyAlignment="1">
      <alignment horizontal="center" vertical="center"/>
    </xf>
    <xf numFmtId="184" fontId="391" fillId="114" borderId="303" xfId="0" applyNumberFormat="1" applyFont="1" applyFill="1" applyBorder="1" applyAlignment="1">
      <alignment horizontal="center" vertical="center"/>
    </xf>
    <xf numFmtId="176" fontId="391" fillId="114" borderId="303" xfId="0" applyNumberFormat="1" applyFont="1" applyFill="1" applyBorder="1" applyAlignment="1">
      <alignment horizontal="center" vertical="center"/>
    </xf>
    <xf numFmtId="176" fontId="391" fillId="114" borderId="304" xfId="0" applyNumberFormat="1" applyFont="1" applyFill="1" applyBorder="1" applyAlignment="1">
      <alignment horizontal="center" vertical="center"/>
    </xf>
    <xf numFmtId="184" fontId="391" fillId="0" borderId="305" xfId="0" applyNumberFormat="1" applyFont="1" applyBorder="1" applyAlignment="1">
      <alignment horizontal="left" vertical="center" indent="1"/>
    </xf>
    <xf numFmtId="184" fontId="391" fillId="0" borderId="241" xfId="0" applyNumberFormat="1" applyFont="1" applyBorder="1" applyAlignment="1">
      <alignment vertical="center"/>
    </xf>
    <xf numFmtId="184" fontId="391" fillId="116" borderId="241" xfId="0" applyNumberFormat="1" applyFont="1" applyFill="1" applyBorder="1" applyAlignment="1">
      <alignment vertical="center"/>
    </xf>
    <xf numFmtId="176" fontId="392" fillId="2" borderId="241" xfId="0" applyNumberFormat="1" applyFont="1" applyFill="1" applyBorder="1" applyAlignment="1">
      <alignment horizontal="center" vertical="center" wrapText="1"/>
    </xf>
    <xf numFmtId="176" fontId="392" fillId="2" borderId="246" xfId="0" applyNumberFormat="1" applyFont="1" applyFill="1" applyBorder="1" applyAlignment="1">
      <alignment horizontal="center" vertical="center" wrapText="1"/>
    </xf>
    <xf numFmtId="176" fontId="392" fillId="2" borderId="245" xfId="0" applyNumberFormat="1" applyFont="1" applyFill="1" applyBorder="1" applyAlignment="1">
      <alignment horizontal="center" vertical="center" wrapText="1"/>
    </xf>
    <xf numFmtId="176" fontId="392" fillId="2" borderId="318" xfId="0" applyNumberFormat="1" applyFont="1" applyFill="1" applyBorder="1" applyAlignment="1">
      <alignment horizontal="center" vertical="center" wrapText="1"/>
    </xf>
    <xf numFmtId="9" fontId="392" fillId="0" borderId="0" xfId="2" applyFont="1" applyFill="1" applyBorder="1" applyAlignment="1">
      <alignment horizontal="center" vertical="center" wrapText="1"/>
    </xf>
    <xf numFmtId="176" fontId="392" fillId="0" borderId="0" xfId="0" applyNumberFormat="1" applyFont="1" applyFill="1" applyBorder="1" applyAlignment="1">
      <alignment horizontal="center" vertical="center"/>
    </xf>
    <xf numFmtId="184" fontId="391" fillId="0" borderId="366" xfId="0" applyNumberFormat="1" applyFont="1" applyBorder="1" applyAlignment="1">
      <alignment horizontal="left" vertical="center" indent="1"/>
    </xf>
    <xf numFmtId="184" fontId="391" fillId="0" borderId="367" xfId="0" applyNumberFormat="1" applyFont="1" applyBorder="1" applyAlignment="1">
      <alignment vertical="center"/>
    </xf>
    <xf numFmtId="184" fontId="391" fillId="116" borderId="367" xfId="0" applyNumberFormat="1" applyFont="1" applyFill="1" applyBorder="1" applyAlignment="1">
      <alignment vertical="center"/>
    </xf>
    <xf numFmtId="184" fontId="391" fillId="114" borderId="367" xfId="0" applyNumberFormat="1" applyFont="1" applyFill="1" applyBorder="1" applyAlignment="1">
      <alignment vertical="center"/>
    </xf>
    <xf numFmtId="176" fontId="391" fillId="114" borderId="367" xfId="0" applyNumberFormat="1" applyFont="1" applyFill="1" applyBorder="1" applyAlignment="1">
      <alignment vertical="center"/>
    </xf>
    <xf numFmtId="176" fontId="391" fillId="114" borderId="389" xfId="0" applyNumberFormat="1" applyFont="1" applyFill="1" applyBorder="1" applyAlignment="1">
      <alignment vertical="center"/>
    </xf>
    <xf numFmtId="176" fontId="392" fillId="0" borderId="0" xfId="0" applyNumberFormat="1" applyFont="1" applyFill="1" applyBorder="1" applyAlignment="1">
      <alignment horizontal="center" vertical="center" wrapText="1"/>
    </xf>
    <xf numFmtId="176" fontId="389" fillId="0" borderId="245" xfId="0" applyNumberFormat="1" applyFont="1" applyBorder="1" applyAlignment="1">
      <alignment horizontal="center" vertical="center"/>
    </xf>
    <xf numFmtId="176" fontId="389" fillId="0" borderId="241" xfId="0" applyNumberFormat="1" applyFont="1" applyBorder="1" applyAlignment="1">
      <alignment horizontal="left" vertical="center" indent="1"/>
    </xf>
    <xf numFmtId="176" fontId="389" fillId="0" borderId="318" xfId="0" applyNumberFormat="1" applyFont="1" applyBorder="1" applyAlignment="1">
      <alignment vertical="center"/>
    </xf>
    <xf numFmtId="178" fontId="391" fillId="0" borderId="0" xfId="0" applyNumberFormat="1" applyFont="1" applyAlignment="1">
      <alignment vertical="center"/>
    </xf>
    <xf numFmtId="183" fontId="391" fillId="0" borderId="0" xfId="0" applyNumberFormat="1" applyFont="1" applyAlignment="1">
      <alignment horizontal="center" vertical="center"/>
    </xf>
    <xf numFmtId="184" fontId="391" fillId="0" borderId="0" xfId="0" applyNumberFormat="1" applyFont="1" applyAlignment="1">
      <alignment vertical="center"/>
    </xf>
    <xf numFmtId="176" fontId="392" fillId="0" borderId="0" xfId="0" applyNumberFormat="1" applyFont="1" applyAlignment="1">
      <alignment horizontal="left" vertical="center"/>
    </xf>
    <xf numFmtId="176" fontId="388" fillId="5" borderId="250" xfId="0" applyNumberFormat="1" applyFont="1" applyFill="1" applyBorder="1" applyAlignment="1">
      <alignment horizontal="center" vertical="center" wrapText="1"/>
    </xf>
    <xf numFmtId="176" fontId="388" fillId="5" borderId="251" xfId="0" applyNumberFormat="1" applyFont="1" applyFill="1" applyBorder="1" applyAlignment="1">
      <alignment horizontal="center" vertical="center" wrapText="1"/>
    </xf>
    <xf numFmtId="176" fontId="388" fillId="5" borderId="252" xfId="0" applyNumberFormat="1" applyFont="1" applyFill="1" applyBorder="1" applyAlignment="1">
      <alignment horizontal="center" vertical="center" wrapText="1"/>
    </xf>
    <xf numFmtId="183" fontId="388" fillId="5" borderId="2" xfId="0" applyNumberFormat="1" applyFont="1" applyFill="1" applyBorder="1" applyAlignment="1">
      <alignment horizontal="center" vertical="center" wrapText="1"/>
    </xf>
    <xf numFmtId="176" fontId="388" fillId="5" borderId="3" xfId="0" applyNumberFormat="1" applyFont="1" applyFill="1" applyBorder="1" applyAlignment="1">
      <alignment horizontal="center" vertical="center" wrapText="1"/>
    </xf>
    <xf numFmtId="176" fontId="388" fillId="5" borderId="334" xfId="0" applyNumberFormat="1" applyFont="1" applyFill="1" applyBorder="1" applyAlignment="1">
      <alignment horizontal="center" vertical="center" wrapText="1"/>
    </xf>
    <xf numFmtId="0" fontId="404" fillId="5" borderId="32" xfId="0" applyFont="1" applyFill="1" applyBorder="1" applyAlignment="1" applyProtection="1">
      <alignment horizontal="center" vertical="center" wrapText="1"/>
    </xf>
    <xf numFmtId="0" fontId="404" fillId="5" borderId="33" xfId="0" applyFont="1" applyFill="1" applyBorder="1" applyAlignment="1" applyProtection="1">
      <alignment horizontal="center" vertical="center" wrapText="1"/>
    </xf>
    <xf numFmtId="0" fontId="404" fillId="5" borderId="34" xfId="0" applyFont="1" applyFill="1" applyBorder="1" applyAlignment="1" applyProtection="1">
      <alignment horizontal="center" vertical="center" wrapText="1"/>
    </xf>
    <xf numFmtId="0" fontId="404" fillId="5" borderId="350" xfId="0" applyFont="1" applyFill="1" applyBorder="1" applyAlignment="1">
      <alignment horizontal="center" vertical="center" wrapText="1"/>
    </xf>
    <xf numFmtId="0" fontId="404" fillId="5" borderId="351" xfId="0" applyFont="1" applyFill="1" applyBorder="1" applyAlignment="1">
      <alignment horizontal="center" vertical="center" wrapText="1"/>
    </xf>
    <xf numFmtId="184" fontId="404" fillId="5" borderId="352" xfId="0" applyNumberFormat="1" applyFont="1" applyFill="1" applyBorder="1" applyAlignment="1">
      <alignment horizontal="center" vertical="center" wrapText="1"/>
    </xf>
    <xf numFmtId="0" fontId="389" fillId="4" borderId="253" xfId="0" applyNumberFormat="1" applyFont="1" applyFill="1" applyBorder="1" applyAlignment="1">
      <alignment horizontal="center" vertical="center"/>
    </xf>
    <xf numFmtId="176" fontId="389" fillId="4" borderId="241" xfId="0" applyNumberFormat="1" applyFont="1" applyFill="1" applyBorder="1" applyAlignment="1">
      <alignment vertical="center"/>
    </xf>
    <xf numFmtId="176" fontId="389" fillId="4" borderId="254" xfId="0" applyNumberFormat="1" applyFont="1" applyFill="1" applyBorder="1" applyAlignment="1">
      <alignment vertical="center"/>
    </xf>
    <xf numFmtId="183" fontId="391" fillId="114" borderId="335" xfId="0" applyNumberFormat="1" applyFont="1" applyFill="1" applyBorder="1" applyAlignment="1">
      <alignment horizontal="center" vertical="center"/>
    </xf>
    <xf numFmtId="41" fontId="405" fillId="114" borderId="0" xfId="0" applyNumberFormat="1" applyFont="1" applyFill="1" applyBorder="1" applyAlignment="1">
      <alignment vertical="center"/>
    </xf>
    <xf numFmtId="41" fontId="406" fillId="114" borderId="0" xfId="0" applyNumberFormat="1" applyFont="1" applyFill="1" applyBorder="1" applyAlignment="1">
      <alignment vertical="center"/>
    </xf>
    <xf numFmtId="176" fontId="391" fillId="114" borderId="336" xfId="0" applyNumberFormat="1" applyFont="1" applyFill="1" applyBorder="1" applyAlignment="1">
      <alignment horizontal="left" vertical="center" indent="1"/>
    </xf>
    <xf numFmtId="0" fontId="407" fillId="114" borderId="35" xfId="5" applyFont="1" applyFill="1" applyBorder="1" applyAlignment="1" applyProtection="1">
      <alignment horizontal="left" vertical="center" indent="1"/>
    </xf>
    <xf numFmtId="0" fontId="407" fillId="114" borderId="0" xfId="5" applyFont="1" applyFill="1" applyBorder="1" applyAlignment="1" applyProtection="1">
      <alignment horizontal="left" vertical="center" indent="1"/>
    </xf>
    <xf numFmtId="41" fontId="407" fillId="114" borderId="36" xfId="5" applyNumberFormat="1" applyFont="1" applyFill="1" applyBorder="1" applyAlignment="1" applyProtection="1">
      <alignment vertical="center"/>
    </xf>
    <xf numFmtId="0" fontId="407" fillId="114" borderId="406" xfId="0" applyFont="1" applyFill="1" applyBorder="1" applyAlignment="1">
      <alignment horizontal="center" vertical="center"/>
    </xf>
    <xf numFmtId="0" fontId="407" fillId="114" borderId="407" xfId="0" applyFont="1" applyFill="1" applyBorder="1" applyAlignment="1">
      <alignment horizontal="left" vertical="center" indent="1"/>
    </xf>
    <xf numFmtId="184" fontId="407" fillId="114" borderId="408" xfId="0" applyNumberFormat="1" applyFont="1" applyFill="1" applyBorder="1" applyAlignment="1">
      <alignment vertical="center"/>
    </xf>
    <xf numFmtId="0" fontId="389" fillId="2" borderId="253" xfId="0" applyNumberFormat="1" applyFont="1" applyFill="1" applyBorder="1" applyAlignment="1">
      <alignment horizontal="center" vertical="center"/>
    </xf>
    <xf numFmtId="176" fontId="389" fillId="2" borderId="254" xfId="0" applyNumberFormat="1" applyFont="1" applyFill="1" applyBorder="1" applyAlignment="1">
      <alignment vertical="center"/>
    </xf>
    <xf numFmtId="183" fontId="391" fillId="114" borderId="337" xfId="0" applyNumberFormat="1" applyFont="1" applyFill="1" applyBorder="1" applyAlignment="1">
      <alignment horizontal="center" vertical="center"/>
    </xf>
    <xf numFmtId="176" fontId="391" fillId="114" borderId="86" xfId="0" applyNumberFormat="1" applyFont="1" applyFill="1" applyBorder="1" applyAlignment="1">
      <alignment vertical="center"/>
    </xf>
    <xf numFmtId="41" fontId="405" fillId="114" borderId="86" xfId="0" applyNumberFormat="1" applyFont="1" applyFill="1" applyBorder="1" applyAlignment="1">
      <alignment vertical="center"/>
    </xf>
    <xf numFmtId="176" fontId="391" fillId="114" borderId="338" xfId="0" applyNumberFormat="1" applyFont="1" applyFill="1" applyBorder="1" applyAlignment="1">
      <alignment horizontal="left" vertical="center" indent="1"/>
    </xf>
    <xf numFmtId="0" fontId="407" fillId="114" borderId="348" xfId="5" applyFont="1" applyFill="1" applyBorder="1" applyAlignment="1" applyProtection="1">
      <alignment horizontal="left" vertical="center" indent="1"/>
    </xf>
    <xf numFmtId="0" fontId="407" fillId="114" borderId="87" xfId="0" applyFont="1" applyFill="1" applyBorder="1" applyAlignment="1">
      <alignment horizontal="left" vertical="center" indent="1"/>
    </xf>
    <xf numFmtId="41" fontId="407" fillId="114" borderId="349" xfId="5" applyNumberFormat="1" applyFont="1" applyFill="1" applyBorder="1" applyAlignment="1" applyProtection="1">
      <alignment vertical="center"/>
    </xf>
    <xf numFmtId="0" fontId="407" fillId="114" borderId="409" xfId="0" applyFont="1" applyFill="1" applyBorder="1" applyAlignment="1">
      <alignment horizontal="center" vertical="center"/>
    </xf>
    <xf numFmtId="0" fontId="407" fillId="114" borderId="410" xfId="0" applyFont="1" applyFill="1" applyBorder="1" applyAlignment="1">
      <alignment horizontal="left" vertical="center" indent="1"/>
    </xf>
    <xf numFmtId="184" fontId="407" fillId="114" borderId="411" xfId="0" applyNumberFormat="1" applyFont="1" applyFill="1" applyBorder="1" applyAlignment="1">
      <alignment vertical="center"/>
    </xf>
    <xf numFmtId="0" fontId="389" fillId="3" borderId="253" xfId="0" applyNumberFormat="1" applyFont="1" applyFill="1" applyBorder="1" applyAlignment="1">
      <alignment horizontal="center" vertical="center"/>
    </xf>
    <xf numFmtId="176" fontId="389" fillId="3" borderId="241" xfId="0" applyNumberFormat="1" applyFont="1" applyFill="1" applyBorder="1" applyAlignment="1">
      <alignment vertical="center"/>
    </xf>
    <xf numFmtId="176" fontId="389" fillId="3" borderId="254" xfId="0" applyNumberFormat="1" applyFont="1" applyFill="1" applyBorder="1" applyAlignment="1">
      <alignment vertical="center"/>
    </xf>
    <xf numFmtId="183" fontId="391" fillId="114" borderId="339" xfId="0" applyNumberFormat="1" applyFont="1" applyFill="1" applyBorder="1" applyAlignment="1">
      <alignment horizontal="center" vertical="center"/>
    </xf>
    <xf numFmtId="176" fontId="391" fillId="114" borderId="87" xfId="0" applyNumberFormat="1" applyFont="1" applyFill="1" applyBorder="1" applyAlignment="1">
      <alignment vertical="center"/>
    </xf>
    <xf numFmtId="0" fontId="407" fillId="114" borderId="0" xfId="0" applyFont="1" applyFill="1" applyBorder="1" applyAlignment="1">
      <alignment horizontal="left" vertical="center" indent="1"/>
    </xf>
    <xf numFmtId="0" fontId="391" fillId="0" borderId="253" xfId="0" applyNumberFormat="1" applyFont="1" applyBorder="1" applyAlignment="1">
      <alignment horizontal="center" vertical="center"/>
    </xf>
    <xf numFmtId="176" fontId="391" fillId="0" borderId="254" xfId="0" applyNumberFormat="1" applyFont="1" applyBorder="1" applyAlignment="1">
      <alignment vertical="center"/>
    </xf>
    <xf numFmtId="0" fontId="407" fillId="114" borderId="372" xfId="0" applyFont="1" applyFill="1" applyBorder="1" applyAlignment="1">
      <alignment horizontal="center" vertical="center"/>
    </xf>
    <xf numFmtId="0" fontId="407" fillId="114" borderId="373" xfId="0" applyFont="1" applyFill="1" applyBorder="1" applyAlignment="1">
      <alignment horizontal="left" vertical="center" indent="1"/>
    </xf>
    <xf numFmtId="184" fontId="407" fillId="114" borderId="374" xfId="0" applyNumberFormat="1" applyFont="1" applyFill="1" applyBorder="1" applyAlignment="1">
      <alignment vertical="center"/>
    </xf>
    <xf numFmtId="41" fontId="406" fillId="114" borderId="87" xfId="0" applyNumberFormat="1" applyFont="1" applyFill="1" applyBorder="1" applyAlignment="1">
      <alignment vertical="center"/>
    </xf>
    <xf numFmtId="0" fontId="407" fillId="114" borderId="353" xfId="0" applyFont="1" applyFill="1" applyBorder="1" applyAlignment="1">
      <alignment horizontal="center" vertical="center"/>
    </xf>
    <xf numFmtId="0" fontId="407" fillId="114" borderId="354" xfId="0" applyFont="1" applyFill="1" applyBorder="1" applyAlignment="1">
      <alignment horizontal="left" vertical="center" indent="1"/>
    </xf>
    <xf numFmtId="184" fontId="407" fillId="114" borderId="355" xfId="0" applyNumberFormat="1" applyFont="1" applyFill="1" applyBorder="1" applyAlignment="1">
      <alignment vertical="center"/>
    </xf>
    <xf numFmtId="41" fontId="391" fillId="114" borderId="0" xfId="0" applyNumberFormat="1" applyFont="1" applyFill="1" applyBorder="1" applyAlignment="1">
      <alignment vertical="center"/>
    </xf>
    <xf numFmtId="0" fontId="391" fillId="114" borderId="253" xfId="0" applyNumberFormat="1" applyFont="1" applyFill="1" applyBorder="1" applyAlignment="1">
      <alignment horizontal="center" vertical="center"/>
    </xf>
    <xf numFmtId="176" fontId="391" fillId="114" borderId="254" xfId="0" applyNumberFormat="1" applyFont="1" applyFill="1" applyBorder="1" applyAlignment="1">
      <alignment vertical="center"/>
    </xf>
    <xf numFmtId="0" fontId="391" fillId="114" borderId="339" xfId="0" applyFont="1" applyFill="1" applyBorder="1" applyAlignment="1">
      <alignment horizontal="center" vertical="center"/>
    </xf>
    <xf numFmtId="0" fontId="407" fillId="114" borderId="87" xfId="0" applyFont="1" applyFill="1" applyBorder="1" applyAlignment="1">
      <alignment vertical="center"/>
    </xf>
    <xf numFmtId="41" fontId="391" fillId="114" borderId="87" xfId="0" applyNumberFormat="1" applyFont="1" applyFill="1" applyBorder="1" applyAlignment="1">
      <alignment vertical="center"/>
    </xf>
    <xf numFmtId="176" fontId="391" fillId="114" borderId="340" xfId="0" applyNumberFormat="1" applyFont="1" applyFill="1" applyBorder="1" applyAlignment="1">
      <alignment horizontal="left" vertical="center" indent="1"/>
    </xf>
    <xf numFmtId="0" fontId="391" fillId="114" borderId="335" xfId="0" applyFont="1" applyFill="1" applyBorder="1" applyAlignment="1">
      <alignment horizontal="center" vertical="center"/>
    </xf>
    <xf numFmtId="0" fontId="407" fillId="114" borderId="0" xfId="0" applyFont="1" applyFill="1" applyBorder="1" applyAlignment="1">
      <alignment vertical="center"/>
    </xf>
    <xf numFmtId="41" fontId="407" fillId="114" borderId="36" xfId="5" applyNumberFormat="1" applyFont="1" applyFill="1" applyBorder="1" applyAlignment="1">
      <alignment vertical="center"/>
    </xf>
    <xf numFmtId="0" fontId="391" fillId="114" borderId="0" xfId="0" applyFont="1" applyFill="1" applyBorder="1" applyAlignment="1">
      <alignment vertical="center"/>
    </xf>
    <xf numFmtId="0" fontId="391" fillId="114" borderId="86" xfId="0" applyFont="1" applyFill="1" applyBorder="1" applyAlignment="1">
      <alignment vertical="center"/>
    </xf>
    <xf numFmtId="41" fontId="391" fillId="114" borderId="86" xfId="0" applyNumberFormat="1" applyFont="1" applyFill="1" applyBorder="1" applyAlignment="1">
      <alignment vertical="center"/>
    </xf>
    <xf numFmtId="0" fontId="405" fillId="114" borderId="0" xfId="5" applyFont="1" applyFill="1" applyBorder="1" applyAlignment="1" applyProtection="1">
      <alignment vertical="center"/>
    </xf>
    <xf numFmtId="0" fontId="407" fillId="114" borderId="380" xfId="5" applyFont="1" applyFill="1" applyBorder="1" applyAlignment="1" applyProtection="1">
      <alignment horizontal="left" vertical="center" indent="1"/>
    </xf>
    <xf numFmtId="0" fontId="407" fillId="114" borderId="381" xfId="0" applyFont="1" applyFill="1" applyBorder="1" applyAlignment="1">
      <alignment horizontal="left" vertical="center" indent="1"/>
    </xf>
    <xf numFmtId="41" fontId="407" fillId="114" borderId="382" xfId="5" applyNumberFormat="1" applyFont="1" applyFill="1" applyBorder="1" applyAlignment="1" applyProtection="1">
      <alignment vertical="center"/>
    </xf>
    <xf numFmtId="0" fontId="391" fillId="114" borderId="337" xfId="0" applyFont="1" applyFill="1" applyBorder="1" applyAlignment="1">
      <alignment horizontal="center" vertical="center"/>
    </xf>
    <xf numFmtId="0" fontId="407" fillId="114" borderId="378" xfId="0" applyFont="1" applyFill="1" applyBorder="1" applyAlignment="1">
      <alignment horizontal="center" vertical="center"/>
    </xf>
    <xf numFmtId="0" fontId="407" fillId="114" borderId="412" xfId="0" applyFont="1" applyFill="1" applyBorder="1" applyAlignment="1">
      <alignment horizontal="left" vertical="center" indent="1"/>
    </xf>
    <xf numFmtId="184" fontId="407" fillId="114" borderId="379" xfId="0" applyNumberFormat="1" applyFont="1" applyFill="1" applyBorder="1" applyAlignment="1">
      <alignment vertical="center"/>
    </xf>
    <xf numFmtId="179" fontId="407" fillId="114" borderId="379" xfId="0" applyNumberFormat="1" applyFont="1" applyFill="1" applyBorder="1" applyAlignment="1">
      <alignment vertical="center"/>
    </xf>
    <xf numFmtId="179" fontId="407" fillId="114" borderId="355" xfId="0" applyNumberFormat="1" applyFont="1" applyFill="1" applyBorder="1" applyAlignment="1">
      <alignment vertical="center"/>
    </xf>
    <xf numFmtId="0" fontId="389" fillId="3" borderId="253" xfId="0" applyNumberFormat="1" applyFont="1" applyFill="1" applyBorder="1" applyAlignment="1">
      <alignment vertical="center"/>
    </xf>
    <xf numFmtId="176" fontId="389" fillId="3" borderId="241" xfId="0" applyNumberFormat="1" applyFont="1" applyFill="1" applyBorder="1" applyAlignment="1">
      <alignment horizontal="left" vertical="center"/>
    </xf>
    <xf numFmtId="0" fontId="407" fillId="114" borderId="0" xfId="5" applyFont="1" applyFill="1" applyBorder="1" applyAlignment="1" applyProtection="1">
      <alignment vertical="center"/>
    </xf>
    <xf numFmtId="179" fontId="407" fillId="114" borderId="0" xfId="5" applyNumberFormat="1" applyFont="1" applyFill="1" applyBorder="1" applyAlignment="1" applyProtection="1">
      <alignment vertical="center"/>
    </xf>
    <xf numFmtId="0" fontId="407" fillId="114" borderId="375" xfId="0" applyFont="1" applyFill="1" applyBorder="1" applyAlignment="1">
      <alignment horizontal="center" vertical="center"/>
    </xf>
    <xf numFmtId="0" fontId="407" fillId="114" borderId="376" xfId="0" applyFont="1" applyFill="1" applyBorder="1" applyAlignment="1">
      <alignment horizontal="left" vertical="center" indent="1"/>
    </xf>
    <xf numFmtId="184" fontId="407" fillId="114" borderId="377" xfId="0" applyNumberFormat="1" applyFont="1" applyFill="1" applyBorder="1" applyAlignment="1">
      <alignment vertical="center"/>
    </xf>
    <xf numFmtId="176" fontId="389" fillId="114" borderId="0" xfId="0" applyNumberFormat="1" applyFont="1" applyFill="1" applyAlignment="1">
      <alignment vertical="center"/>
    </xf>
    <xf numFmtId="176" fontId="391" fillId="114" borderId="0" xfId="0" applyNumberFormat="1" applyFont="1" applyFill="1" applyBorder="1" applyAlignment="1">
      <alignment horizontal="center" vertical="center"/>
    </xf>
    <xf numFmtId="179" fontId="407" fillId="114" borderId="411" xfId="0" applyNumberFormat="1" applyFont="1" applyFill="1" applyBorder="1" applyAlignment="1">
      <alignment vertical="center"/>
    </xf>
    <xf numFmtId="0" fontId="390" fillId="0" borderId="253" xfId="0" applyNumberFormat="1" applyFont="1" applyBorder="1" applyAlignment="1">
      <alignment horizontal="center" vertical="center"/>
    </xf>
    <xf numFmtId="176" fontId="391" fillId="114" borderId="0" xfId="0" applyNumberFormat="1" applyFont="1" applyFill="1" applyBorder="1" applyAlignment="1">
      <alignment horizontal="left" vertical="center" indent="1"/>
    </xf>
    <xf numFmtId="176" fontId="391" fillId="114" borderId="224" xfId="0" applyNumberFormat="1" applyFont="1" applyFill="1" applyBorder="1" applyAlignment="1">
      <alignment vertical="center"/>
    </xf>
    <xf numFmtId="176" fontId="391" fillId="114" borderId="342" xfId="0" applyNumberFormat="1" applyFont="1" applyFill="1" applyBorder="1" applyAlignment="1">
      <alignment horizontal="left" vertical="center" indent="1"/>
    </xf>
    <xf numFmtId="0" fontId="391" fillId="114" borderId="341" xfId="0" applyNumberFormat="1" applyFont="1" applyFill="1" applyBorder="1" applyAlignment="1">
      <alignment horizontal="center" vertical="center"/>
    </xf>
    <xf numFmtId="41" fontId="406" fillId="114" borderId="224" xfId="0" applyNumberFormat="1" applyFont="1" applyFill="1" applyBorder="1" applyAlignment="1">
      <alignment vertical="center"/>
    </xf>
    <xf numFmtId="41" fontId="391" fillId="114" borderId="224" xfId="0" applyNumberFormat="1" applyFont="1" applyFill="1" applyBorder="1" applyAlignment="1">
      <alignment vertical="center"/>
    </xf>
    <xf numFmtId="176" fontId="389" fillId="114" borderId="0" xfId="0" applyNumberFormat="1" applyFont="1" applyFill="1" applyBorder="1" applyAlignment="1">
      <alignment vertical="center"/>
    </xf>
    <xf numFmtId="0" fontId="407" fillId="114" borderId="426" xfId="0" applyFont="1" applyFill="1" applyBorder="1" applyAlignment="1">
      <alignment horizontal="center" vertical="center"/>
    </xf>
    <xf numFmtId="0" fontId="407" fillId="114" borderId="427" xfId="0" applyFont="1" applyFill="1" applyBorder="1" applyAlignment="1">
      <alignment horizontal="left" vertical="center" indent="1"/>
    </xf>
    <xf numFmtId="179" fontId="407" fillId="114" borderId="428" xfId="0" applyNumberFormat="1" applyFont="1" applyFill="1" applyBorder="1" applyAlignment="1">
      <alignment vertical="center"/>
    </xf>
    <xf numFmtId="0" fontId="391" fillId="114" borderId="337" xfId="0" applyNumberFormat="1" applyFont="1" applyFill="1" applyBorder="1" applyAlignment="1">
      <alignment horizontal="center" vertical="center"/>
    </xf>
    <xf numFmtId="41" fontId="405" fillId="114" borderId="87" xfId="1" applyNumberFormat="1" applyFont="1" applyFill="1" applyBorder="1" applyAlignment="1">
      <alignment vertical="center"/>
    </xf>
    <xf numFmtId="41" fontId="406" fillId="114" borderId="87" xfId="1" applyNumberFormat="1" applyFont="1" applyFill="1" applyBorder="1" applyAlignment="1">
      <alignment vertical="center"/>
    </xf>
    <xf numFmtId="0" fontId="407" fillId="114" borderId="394" xfId="0" applyFont="1" applyFill="1" applyBorder="1" applyAlignment="1">
      <alignment horizontal="center" vertical="center"/>
    </xf>
    <xf numFmtId="0" fontId="407" fillId="114" borderId="395" xfId="0" applyFont="1" applyFill="1" applyBorder="1" applyAlignment="1">
      <alignment horizontal="left" vertical="center" indent="1"/>
    </xf>
    <xf numFmtId="179" fontId="407" fillId="114" borderId="396" xfId="0" applyNumberFormat="1" applyFont="1" applyFill="1" applyBorder="1" applyAlignment="1">
      <alignment vertical="center"/>
    </xf>
    <xf numFmtId="41" fontId="405" fillId="114" borderId="0" xfId="1" applyNumberFormat="1" applyFont="1" applyFill="1" applyBorder="1" applyAlignment="1">
      <alignment vertical="center"/>
    </xf>
    <xf numFmtId="41" fontId="406" fillId="114" borderId="0" xfId="1" applyNumberFormat="1" applyFont="1" applyFill="1" applyBorder="1" applyAlignment="1">
      <alignment vertical="center"/>
    </xf>
    <xf numFmtId="184" fontId="391" fillId="114" borderId="0" xfId="0" applyNumberFormat="1" applyFont="1" applyFill="1" applyAlignment="1">
      <alignment vertical="center"/>
    </xf>
    <xf numFmtId="183" fontId="391" fillId="114" borderId="341" xfId="0" applyNumberFormat="1" applyFont="1" applyFill="1" applyBorder="1" applyAlignment="1">
      <alignment horizontal="center" vertical="center"/>
    </xf>
    <xf numFmtId="41" fontId="405" fillId="114" borderId="224" xfId="1" applyNumberFormat="1" applyFont="1" applyFill="1" applyBorder="1" applyAlignment="1">
      <alignment vertical="center"/>
    </xf>
    <xf numFmtId="41" fontId="406" fillId="114" borderId="224" xfId="1" applyNumberFormat="1" applyFont="1" applyFill="1" applyBorder="1" applyAlignment="1">
      <alignment vertical="center"/>
    </xf>
    <xf numFmtId="183" fontId="391" fillId="114" borderId="343" xfId="0" applyNumberFormat="1" applyFont="1" applyFill="1" applyBorder="1" applyAlignment="1">
      <alignment horizontal="center" vertical="center"/>
    </xf>
    <xf numFmtId="176" fontId="391" fillId="114" borderId="225" xfId="0" applyNumberFormat="1" applyFont="1" applyFill="1" applyBorder="1" applyAlignment="1">
      <alignment vertical="center"/>
    </xf>
    <xf numFmtId="41" fontId="405" fillId="114" borderId="225" xfId="1" applyNumberFormat="1" applyFont="1" applyFill="1" applyBorder="1" applyAlignment="1">
      <alignment vertical="center"/>
    </xf>
    <xf numFmtId="176" fontId="391" fillId="114" borderId="344" xfId="0" applyNumberFormat="1" applyFont="1" applyFill="1" applyBorder="1" applyAlignment="1">
      <alignment horizontal="left" vertical="center" indent="1"/>
    </xf>
    <xf numFmtId="0" fontId="391" fillId="114" borderId="224" xfId="0" applyFont="1" applyFill="1" applyBorder="1" applyAlignment="1">
      <alignment vertical="center"/>
    </xf>
    <xf numFmtId="41" fontId="405" fillId="114" borderId="86" xfId="1" applyNumberFormat="1" applyFont="1" applyFill="1" applyBorder="1" applyAlignment="1">
      <alignment vertical="center"/>
    </xf>
    <xf numFmtId="183" fontId="391" fillId="15" borderId="341" xfId="0" applyNumberFormat="1" applyFont="1" applyFill="1" applyBorder="1" applyAlignment="1">
      <alignment horizontal="center" vertical="center"/>
    </xf>
    <xf numFmtId="0" fontId="391" fillId="15" borderId="224" xfId="0" applyFont="1" applyFill="1" applyBorder="1" applyAlignment="1">
      <alignment vertical="center"/>
    </xf>
    <xf numFmtId="41" fontId="406" fillId="15" borderId="224" xfId="1" applyNumberFormat="1" applyFont="1" applyFill="1" applyBorder="1" applyAlignment="1">
      <alignment vertical="center"/>
    </xf>
    <xf numFmtId="41" fontId="405" fillId="15" borderId="224" xfId="1" applyNumberFormat="1" applyFont="1" applyFill="1" applyBorder="1" applyAlignment="1">
      <alignment vertical="center"/>
    </xf>
    <xf numFmtId="176" fontId="391" fillId="15" borderId="342" xfId="0" applyNumberFormat="1" applyFont="1" applyFill="1" applyBorder="1" applyAlignment="1">
      <alignment horizontal="left" vertical="center" indent="1"/>
    </xf>
    <xf numFmtId="183" fontId="391" fillId="15" borderId="335" xfId="0" applyNumberFormat="1" applyFont="1" applyFill="1" applyBorder="1" applyAlignment="1">
      <alignment horizontal="center" vertical="center"/>
    </xf>
    <xf numFmtId="0" fontId="391" fillId="15" borderId="0" xfId="0" applyFont="1" applyFill="1" applyBorder="1" applyAlignment="1">
      <alignment vertical="center"/>
    </xf>
    <xf numFmtId="41" fontId="405" fillId="15" borderId="0" xfId="1" applyNumberFormat="1" applyFont="1" applyFill="1" applyBorder="1" applyAlignment="1">
      <alignment vertical="center"/>
    </xf>
    <xf numFmtId="41" fontId="406" fillId="15" borderId="0" xfId="1" applyNumberFormat="1" applyFont="1" applyFill="1" applyBorder="1" applyAlignment="1">
      <alignment vertical="center"/>
    </xf>
    <xf numFmtId="176" fontId="391" fillId="15" borderId="336" xfId="0" applyNumberFormat="1" applyFont="1" applyFill="1" applyBorder="1" applyAlignment="1">
      <alignment horizontal="left" vertical="center" indent="1"/>
    </xf>
    <xf numFmtId="183" fontId="391" fillId="15" borderId="337" xfId="0" applyNumberFormat="1" applyFont="1" applyFill="1" applyBorder="1" applyAlignment="1">
      <alignment horizontal="center" vertical="center"/>
    </xf>
    <xf numFmtId="0" fontId="391" fillId="15" borderId="86" xfId="0" applyFont="1" applyFill="1" applyBorder="1" applyAlignment="1">
      <alignment vertical="center"/>
    </xf>
    <xf numFmtId="41" fontId="405" fillId="15" borderId="86" xfId="1" applyNumberFormat="1" applyFont="1" applyFill="1" applyBorder="1" applyAlignment="1">
      <alignment vertical="center"/>
    </xf>
    <xf numFmtId="41" fontId="406" fillId="15" borderId="86" xfId="1" applyNumberFormat="1" applyFont="1" applyFill="1" applyBorder="1" applyAlignment="1">
      <alignment vertical="center"/>
    </xf>
    <xf numFmtId="176" fontId="391" fillId="15" borderId="338" xfId="0" applyNumberFormat="1" applyFont="1" applyFill="1" applyBorder="1" applyAlignment="1">
      <alignment horizontal="left" vertical="center" indent="1"/>
    </xf>
    <xf numFmtId="183" fontId="391" fillId="15" borderId="339" xfId="0" applyNumberFormat="1" applyFont="1" applyFill="1" applyBorder="1" applyAlignment="1">
      <alignment horizontal="center" vertical="center"/>
    </xf>
    <xf numFmtId="176" fontId="391" fillId="15" borderId="87" xfId="0" applyNumberFormat="1" applyFont="1" applyFill="1" applyBorder="1" applyAlignment="1">
      <alignment vertical="center"/>
    </xf>
    <xf numFmtId="176" fontId="391" fillId="15" borderId="340" xfId="0" applyNumberFormat="1" applyFont="1" applyFill="1" applyBorder="1" applyAlignment="1">
      <alignment horizontal="left" vertical="center" indent="1"/>
    </xf>
    <xf numFmtId="176" fontId="391" fillId="15" borderId="0" xfId="0" applyNumberFormat="1" applyFont="1" applyFill="1" applyBorder="1" applyAlignment="1">
      <alignment vertical="center"/>
    </xf>
    <xf numFmtId="176" fontId="391" fillId="15" borderId="224" xfId="0" applyNumberFormat="1" applyFont="1" applyFill="1" applyBorder="1" applyAlignment="1">
      <alignment vertical="center"/>
    </xf>
    <xf numFmtId="183" fontId="391" fillId="15" borderId="345" xfId="0" applyNumberFormat="1" applyFont="1" applyFill="1" applyBorder="1" applyAlignment="1">
      <alignment horizontal="center" vertical="center"/>
    </xf>
    <xf numFmtId="176" fontId="391" fillId="15" borderId="346" xfId="0" applyNumberFormat="1" applyFont="1" applyFill="1" applyBorder="1" applyAlignment="1">
      <alignment vertical="center"/>
    </xf>
    <xf numFmtId="176" fontId="391" fillId="15" borderId="347" xfId="0" applyNumberFormat="1" applyFont="1" applyFill="1" applyBorder="1" applyAlignment="1">
      <alignment horizontal="left" vertical="center" indent="1"/>
    </xf>
    <xf numFmtId="0" fontId="391" fillId="0" borderId="241" xfId="0" applyFont="1" applyFill="1" applyBorder="1" applyAlignment="1">
      <alignment vertical="center"/>
    </xf>
    <xf numFmtId="0" fontId="391" fillId="0" borderId="241" xfId="0" applyFont="1" applyBorder="1" applyAlignment="1">
      <alignment vertical="center"/>
    </xf>
    <xf numFmtId="0" fontId="389" fillId="4" borderId="255" xfId="0" applyNumberFormat="1" applyFont="1" applyFill="1" applyBorder="1" applyAlignment="1">
      <alignment horizontal="center" vertical="center"/>
    </xf>
    <xf numFmtId="176" fontId="389" fillId="4" borderId="256" xfId="0" applyNumberFormat="1" applyFont="1" applyFill="1" applyBorder="1" applyAlignment="1">
      <alignment vertical="center"/>
    </xf>
    <xf numFmtId="176" fontId="389" fillId="4" borderId="257" xfId="0" applyNumberFormat="1" applyFont="1" applyFill="1" applyBorder="1" applyAlignment="1">
      <alignment vertical="center"/>
    </xf>
    <xf numFmtId="0" fontId="389" fillId="0" borderId="0" xfId="0" applyNumberFormat="1" applyFont="1" applyAlignment="1">
      <alignment vertical="center"/>
    </xf>
    <xf numFmtId="0" fontId="391" fillId="0" borderId="0" xfId="0" applyNumberFormat="1" applyFont="1" applyAlignment="1">
      <alignment vertical="center"/>
    </xf>
    <xf numFmtId="0" fontId="390" fillId="0" borderId="0" xfId="0" applyNumberFormat="1" applyFont="1" applyAlignment="1">
      <alignment vertical="center"/>
    </xf>
    <xf numFmtId="0" fontId="388" fillId="5" borderId="250" xfId="0" applyNumberFormat="1" applyFont="1" applyFill="1" applyBorder="1" applyAlignment="1">
      <alignment horizontal="center" vertical="center" wrapText="1"/>
    </xf>
    <xf numFmtId="176" fontId="389" fillId="2" borderId="241" xfId="0" applyNumberFormat="1" applyFont="1" applyFill="1" applyBorder="1" applyAlignment="1">
      <alignment horizontal="left" vertical="center"/>
    </xf>
    <xf numFmtId="176" fontId="389" fillId="2" borderId="241" xfId="0" applyNumberFormat="1" applyFont="1" applyFill="1" applyBorder="1" applyAlignment="1">
      <alignment horizontal="right" vertical="center"/>
    </xf>
    <xf numFmtId="176" fontId="389" fillId="2" borderId="254" xfId="0" applyNumberFormat="1" applyFont="1" applyFill="1" applyBorder="1" applyAlignment="1">
      <alignment horizontal="right" vertical="center"/>
    </xf>
    <xf numFmtId="176" fontId="391" fillId="0" borderId="254" xfId="0" applyNumberFormat="1" applyFont="1" applyFill="1" applyBorder="1" applyAlignment="1">
      <alignment vertical="center"/>
    </xf>
    <xf numFmtId="0" fontId="391" fillId="0" borderId="255" xfId="0" applyNumberFormat="1" applyFont="1" applyBorder="1" applyAlignment="1">
      <alignment horizontal="center" vertical="center"/>
    </xf>
    <xf numFmtId="176" fontId="391" fillId="0" borderId="256" xfId="0" applyNumberFormat="1" applyFont="1" applyBorder="1" applyAlignment="1">
      <alignment vertical="center"/>
    </xf>
    <xf numFmtId="176" fontId="391" fillId="0" borderId="257" xfId="0" applyNumberFormat="1" applyFont="1" applyBorder="1" applyAlignment="1">
      <alignment vertical="center"/>
    </xf>
    <xf numFmtId="176" fontId="392" fillId="6" borderId="16" xfId="0" applyNumberFormat="1" applyFont="1" applyFill="1" applyBorder="1" applyAlignment="1">
      <alignment horizontal="left" vertical="center"/>
    </xf>
    <xf numFmtId="176" fontId="392" fillId="6" borderId="84" xfId="0" applyNumberFormat="1" applyFont="1" applyFill="1" applyBorder="1" applyAlignment="1">
      <alignment horizontal="left" vertical="center" wrapText="1"/>
    </xf>
    <xf numFmtId="176" fontId="392" fillId="6" borderId="1" xfId="0" applyNumberFormat="1" applyFont="1" applyFill="1" applyBorder="1" applyAlignment="1">
      <alignment horizontal="center" vertical="center" wrapText="1"/>
    </xf>
    <xf numFmtId="176" fontId="392" fillId="6" borderId="17" xfId="0" applyNumberFormat="1" applyFont="1" applyFill="1" applyBorder="1" applyAlignment="1">
      <alignment horizontal="center" vertical="center" wrapText="1"/>
    </xf>
    <xf numFmtId="176" fontId="392" fillId="6" borderId="121" xfId="0" applyNumberFormat="1" applyFont="1" applyFill="1" applyBorder="1" applyAlignment="1">
      <alignment horizontal="center" vertical="center" wrapText="1"/>
    </xf>
    <xf numFmtId="176" fontId="392" fillId="6" borderId="84" xfId="0" applyNumberFormat="1" applyFont="1" applyFill="1" applyBorder="1" applyAlignment="1">
      <alignment horizontal="center" vertical="center" wrapText="1"/>
    </xf>
    <xf numFmtId="176" fontId="392" fillId="6" borderId="232" xfId="0" applyNumberFormat="1" applyFont="1" applyFill="1" applyBorder="1" applyAlignment="1">
      <alignment horizontal="center" vertical="center" wrapText="1"/>
    </xf>
    <xf numFmtId="176" fontId="392" fillId="6" borderId="233" xfId="0" applyNumberFormat="1" applyFont="1" applyFill="1" applyBorder="1" applyAlignment="1">
      <alignment horizontal="center" vertical="center" wrapText="1"/>
    </xf>
    <xf numFmtId="176" fontId="392" fillId="6" borderId="235" xfId="0" applyNumberFormat="1" applyFont="1" applyFill="1" applyBorder="1" applyAlignment="1">
      <alignment horizontal="center" vertical="center" wrapText="1"/>
    </xf>
    <xf numFmtId="176" fontId="392" fillId="6" borderId="230" xfId="0" applyNumberFormat="1" applyFont="1" applyFill="1" applyBorder="1" applyAlignment="1">
      <alignment horizontal="center" vertical="center" wrapText="1"/>
    </xf>
    <xf numFmtId="176" fontId="405" fillId="0" borderId="0" xfId="0" applyNumberFormat="1" applyFont="1" applyFill="1" applyAlignment="1">
      <alignment vertical="center"/>
    </xf>
    <xf numFmtId="176" fontId="391" fillId="0" borderId="84" xfId="0" applyNumberFormat="1" applyFont="1" applyBorder="1" applyAlignment="1">
      <alignment horizontal="left" vertical="center" indent="1"/>
    </xf>
    <xf numFmtId="176" fontId="391" fillId="0" borderId="235" xfId="0" applyNumberFormat="1" applyFont="1" applyBorder="1" applyAlignment="1">
      <alignment vertical="center"/>
    </xf>
    <xf numFmtId="176" fontId="392" fillId="6" borderId="84" xfId="0" applyNumberFormat="1" applyFont="1" applyFill="1" applyBorder="1" applyAlignment="1">
      <alignment horizontal="left" vertical="center" wrapText="1" indent="1"/>
    </xf>
    <xf numFmtId="176" fontId="391" fillId="0" borderId="84" xfId="0" applyNumberFormat="1" applyFont="1" applyFill="1" applyBorder="1" applyAlignment="1">
      <alignment horizontal="left" vertical="center" indent="1"/>
    </xf>
    <xf numFmtId="176" fontId="391" fillId="0" borderId="84" xfId="0" applyNumberFormat="1" applyFont="1" applyBorder="1" applyAlignment="1">
      <alignment horizontal="left" vertical="center"/>
    </xf>
    <xf numFmtId="176" fontId="391" fillId="0" borderId="18" xfId="0" applyNumberFormat="1" applyFont="1" applyBorder="1" applyAlignment="1">
      <alignment vertical="center"/>
    </xf>
    <xf numFmtId="176" fontId="391" fillId="0" borderId="85" xfId="0" applyNumberFormat="1" applyFont="1" applyBorder="1" applyAlignment="1">
      <alignment horizontal="left" vertical="center"/>
    </xf>
    <xf numFmtId="176" fontId="391" fillId="0" borderId="85" xfId="0" applyNumberFormat="1" applyFont="1" applyBorder="1" applyAlignment="1">
      <alignment vertical="center"/>
    </xf>
    <xf numFmtId="176" fontId="391" fillId="0" borderId="234" xfId="0" applyNumberFormat="1" applyFont="1" applyBorder="1" applyAlignment="1">
      <alignment vertical="center"/>
    </xf>
    <xf numFmtId="176" fontId="391" fillId="0" borderId="239" xfId="0" applyNumberFormat="1" applyFont="1" applyBorder="1" applyAlignment="1">
      <alignment vertical="center"/>
    </xf>
    <xf numFmtId="176" fontId="391" fillId="0" borderId="0" xfId="0" applyNumberFormat="1" applyFont="1" applyAlignment="1">
      <alignment horizontal="left" vertical="center"/>
    </xf>
    <xf numFmtId="176" fontId="389" fillId="6" borderId="16" xfId="0" applyNumberFormat="1" applyFont="1" applyFill="1" applyBorder="1" applyAlignment="1">
      <alignment vertical="center"/>
    </xf>
    <xf numFmtId="176" fontId="391" fillId="6" borderId="1" xfId="0" applyNumberFormat="1" applyFont="1" applyFill="1" applyBorder="1" applyAlignment="1">
      <alignment vertical="center"/>
    </xf>
    <xf numFmtId="176" fontId="391" fillId="6" borderId="84" xfId="0" applyNumberFormat="1" applyFont="1" applyFill="1" applyBorder="1" applyAlignment="1">
      <alignment vertical="center"/>
    </xf>
    <xf numFmtId="176" fontId="391" fillId="6" borderId="118" xfId="0" applyNumberFormat="1" applyFont="1" applyFill="1" applyBorder="1" applyAlignment="1">
      <alignment vertical="center"/>
    </xf>
    <xf numFmtId="176" fontId="391" fillId="6" borderId="17" xfId="0" applyNumberFormat="1" applyFont="1" applyFill="1" applyBorder="1" applyAlignment="1">
      <alignment vertical="center"/>
    </xf>
    <xf numFmtId="176" fontId="391" fillId="6" borderId="232" xfId="0" applyNumberFormat="1" applyFont="1" applyFill="1" applyBorder="1" applyAlignment="1">
      <alignment vertical="center"/>
    </xf>
    <xf numFmtId="176" fontId="391" fillId="6" borderId="233" xfId="0" applyNumberFormat="1" applyFont="1" applyFill="1" applyBorder="1" applyAlignment="1">
      <alignment vertical="center"/>
    </xf>
    <xf numFmtId="176" fontId="391" fillId="6" borderId="230" xfId="0" applyNumberFormat="1" applyFont="1" applyFill="1" applyBorder="1" applyAlignment="1">
      <alignment vertical="center"/>
    </xf>
    <xf numFmtId="176" fontId="391" fillId="0" borderId="118" xfId="0" applyNumberFormat="1" applyFont="1" applyBorder="1" applyAlignment="1">
      <alignment vertical="center"/>
    </xf>
    <xf numFmtId="176" fontId="391" fillId="0" borderId="16" xfId="0" quotePrefix="1" applyNumberFormat="1" applyFont="1" applyBorder="1" applyAlignment="1">
      <alignment horizontal="center" vertical="center"/>
    </xf>
    <xf numFmtId="176" fontId="391" fillId="6" borderId="1" xfId="0" applyNumberFormat="1" applyFont="1" applyFill="1" applyBorder="1" applyAlignment="1">
      <alignment horizontal="left" vertical="center" indent="1"/>
    </xf>
    <xf numFmtId="176" fontId="389" fillId="6" borderId="233" xfId="0" applyNumberFormat="1" applyFont="1" applyFill="1" applyBorder="1" applyAlignment="1">
      <alignment vertical="center"/>
    </xf>
    <xf numFmtId="176" fontId="389" fillId="6" borderId="230" xfId="0" applyNumberFormat="1" applyFont="1" applyFill="1" applyBorder="1" applyAlignment="1">
      <alignment vertical="center"/>
    </xf>
    <xf numFmtId="176" fontId="389" fillId="6" borderId="232" xfId="0" applyNumberFormat="1" applyFont="1" applyFill="1" applyBorder="1" applyAlignment="1">
      <alignment vertical="center"/>
    </xf>
    <xf numFmtId="176" fontId="389" fillId="6" borderId="16" xfId="0" applyNumberFormat="1" applyFont="1" applyFill="1" applyBorder="1" applyAlignment="1">
      <alignment horizontal="left" vertical="center"/>
    </xf>
    <xf numFmtId="176" fontId="389" fillId="6" borderId="1" xfId="0" applyNumberFormat="1" applyFont="1" applyFill="1" applyBorder="1" applyAlignment="1">
      <alignment horizontal="left" vertical="center" indent="1"/>
    </xf>
    <xf numFmtId="176" fontId="391" fillId="0" borderId="119" xfId="0" applyNumberFormat="1" applyFont="1" applyBorder="1" applyAlignment="1">
      <alignment vertical="center"/>
    </xf>
    <xf numFmtId="176" fontId="407" fillId="0" borderId="0" xfId="0" applyNumberFormat="1" applyFont="1" applyBorder="1" applyAlignment="1">
      <alignment horizontal="center" vertical="center"/>
    </xf>
    <xf numFmtId="0" fontId="407" fillId="0" borderId="0" xfId="0" applyNumberFormat="1" applyFont="1" applyBorder="1" applyAlignment="1">
      <alignment horizontal="center" vertical="center"/>
    </xf>
    <xf numFmtId="176" fontId="407" fillId="0" borderId="0" xfId="0" applyNumberFormat="1" applyFont="1" applyBorder="1" applyAlignment="1">
      <alignment horizontal="left" vertical="center"/>
    </xf>
    <xf numFmtId="176" fontId="408" fillId="0" borderId="0" xfId="0" applyNumberFormat="1" applyFont="1" applyBorder="1" applyAlignment="1">
      <alignment horizontal="center" vertical="center"/>
    </xf>
    <xf numFmtId="0" fontId="408" fillId="0" borderId="0" xfId="0" applyNumberFormat="1" applyFont="1" applyBorder="1" applyAlignment="1">
      <alignment horizontal="center" vertical="center"/>
    </xf>
    <xf numFmtId="176" fontId="408" fillId="0" borderId="0" xfId="0" applyNumberFormat="1" applyFont="1" applyBorder="1" applyAlignment="1">
      <alignment horizontal="left" vertical="center"/>
    </xf>
    <xf numFmtId="0" fontId="388" fillId="5" borderId="303" xfId="0" applyNumberFormat="1" applyFont="1" applyFill="1" applyBorder="1" applyAlignment="1">
      <alignment horizontal="center" vertical="center"/>
    </xf>
    <xf numFmtId="176" fontId="388" fillId="29" borderId="304" xfId="0" applyNumberFormat="1" applyFont="1" applyFill="1" applyBorder="1" applyAlignment="1">
      <alignment horizontal="center" vertical="center"/>
    </xf>
    <xf numFmtId="176" fontId="407" fillId="114" borderId="305" xfId="0" applyNumberFormat="1" applyFont="1" applyFill="1" applyBorder="1" applyAlignment="1">
      <alignment horizontal="center" vertical="center"/>
    </xf>
    <xf numFmtId="0" fontId="409" fillId="114" borderId="241" xfId="4" applyNumberFormat="1" applyFont="1" applyFill="1" applyBorder="1" applyAlignment="1">
      <alignment horizontal="center" vertical="center"/>
    </xf>
    <xf numFmtId="176" fontId="391" fillId="114" borderId="241" xfId="0" applyNumberFormat="1" applyFont="1" applyFill="1" applyBorder="1" applyAlignment="1">
      <alignment horizontal="center" vertical="center"/>
    </xf>
    <xf numFmtId="176" fontId="391" fillId="114" borderId="306" xfId="0" applyNumberFormat="1" applyFont="1" applyFill="1" applyBorder="1" applyAlignment="1">
      <alignment horizontal="right" vertical="center"/>
    </xf>
    <xf numFmtId="176" fontId="409" fillId="114" borderId="241" xfId="4" applyNumberFormat="1" applyFont="1" applyFill="1" applyBorder="1" applyAlignment="1">
      <alignment horizontal="left" vertical="center" indent="1"/>
    </xf>
    <xf numFmtId="0" fontId="391" fillId="114" borderId="241" xfId="0" applyFont="1" applyFill="1" applyBorder="1" applyAlignment="1">
      <alignment horizontal="center" vertical="center"/>
    </xf>
    <xf numFmtId="181" fontId="391" fillId="114" borderId="241" xfId="0" applyNumberFormat="1" applyFont="1" applyFill="1" applyBorder="1" applyAlignment="1">
      <alignment horizontal="left" vertical="center" indent="1"/>
    </xf>
    <xf numFmtId="181" fontId="391" fillId="114" borderId="241" xfId="0" applyNumberFormat="1" applyFont="1" applyFill="1" applyBorder="1" applyAlignment="1">
      <alignment horizontal="center" vertical="center"/>
    </xf>
    <xf numFmtId="176" fontId="390" fillId="114" borderId="305" xfId="0" applyNumberFormat="1" applyFont="1" applyFill="1" applyBorder="1" applyAlignment="1">
      <alignment horizontal="center" vertical="center"/>
    </xf>
    <xf numFmtId="0" fontId="390" fillId="114" borderId="241" xfId="4" applyNumberFormat="1" applyFont="1" applyFill="1" applyBorder="1" applyAlignment="1">
      <alignment horizontal="center" vertical="center"/>
    </xf>
    <xf numFmtId="0" fontId="407" fillId="114" borderId="241" xfId="0" applyNumberFormat="1" applyFont="1" applyFill="1" applyBorder="1" applyAlignment="1">
      <alignment horizontal="center" vertical="center"/>
    </xf>
    <xf numFmtId="176" fontId="407" fillId="114" borderId="241" xfId="0" applyNumberFormat="1" applyFont="1" applyFill="1" applyBorder="1" applyAlignment="1">
      <alignment horizontal="left" vertical="center" indent="1"/>
    </xf>
    <xf numFmtId="176" fontId="407" fillId="114" borderId="366" xfId="0" applyNumberFormat="1" applyFont="1" applyFill="1" applyBorder="1" applyAlignment="1">
      <alignment horizontal="center" vertical="center"/>
    </xf>
    <xf numFmtId="176" fontId="407" fillId="114" borderId="367" xfId="0" applyNumberFormat="1" applyFont="1" applyFill="1" applyBorder="1" applyAlignment="1">
      <alignment horizontal="left" vertical="center" indent="1"/>
    </xf>
    <xf numFmtId="176" fontId="391" fillId="114" borderId="367" xfId="0" applyNumberFormat="1" applyFont="1" applyFill="1" applyBorder="1" applyAlignment="1">
      <alignment horizontal="center" vertical="center"/>
    </xf>
    <xf numFmtId="176" fontId="391" fillId="114" borderId="389" xfId="0" applyNumberFormat="1" applyFont="1" applyFill="1" applyBorder="1" applyAlignment="1">
      <alignment horizontal="right" vertical="center"/>
    </xf>
    <xf numFmtId="176" fontId="407" fillId="0" borderId="0" xfId="0" applyNumberFormat="1" applyFont="1" applyBorder="1" applyAlignment="1">
      <alignment vertical="center"/>
    </xf>
    <xf numFmtId="176" fontId="407" fillId="0" borderId="0" xfId="0" applyNumberFormat="1" applyFont="1" applyBorder="1" applyAlignment="1">
      <alignment horizontal="right" vertical="center"/>
    </xf>
    <xf numFmtId="0" fontId="405" fillId="0" borderId="0" xfId="0" applyNumberFormat="1" applyFont="1" applyAlignment="1">
      <alignment horizontal="center" vertical="center"/>
    </xf>
    <xf numFmtId="176" fontId="405" fillId="0" borderId="0" xfId="0" applyNumberFormat="1" applyFont="1" applyAlignment="1">
      <alignment vertical="center"/>
    </xf>
    <xf numFmtId="343" fontId="410" fillId="0" borderId="0" xfId="7981" applyNumberFormat="1" applyFont="1" applyBorder="1" applyAlignment="1" applyProtection="1">
      <alignment vertical="center" wrapText="1"/>
    </xf>
    <xf numFmtId="0" fontId="390" fillId="0" borderId="0" xfId="0" applyNumberFormat="1" applyFont="1" applyAlignment="1">
      <alignment horizontal="center" vertical="center"/>
    </xf>
    <xf numFmtId="0" fontId="388" fillId="5" borderId="50" xfId="0" applyNumberFormat="1" applyFont="1" applyFill="1" applyBorder="1" applyAlignment="1">
      <alignment horizontal="center" vertical="center"/>
    </xf>
    <xf numFmtId="176" fontId="388" fillId="5" borderId="51" xfId="0" applyNumberFormat="1" applyFont="1" applyFill="1" applyBorder="1" applyAlignment="1">
      <alignment horizontal="center" vertical="center"/>
    </xf>
    <xf numFmtId="176" fontId="388" fillId="5" borderId="52" xfId="0" applyNumberFormat="1" applyFont="1" applyFill="1" applyBorder="1" applyAlignment="1">
      <alignment horizontal="center" vertical="center"/>
    </xf>
    <xf numFmtId="176" fontId="392" fillId="0" borderId="61" xfId="0" applyNumberFormat="1" applyFont="1" applyBorder="1" applyAlignment="1">
      <alignment horizontal="center" vertical="center"/>
    </xf>
    <xf numFmtId="176" fontId="392" fillId="0" borderId="77" xfId="0" applyNumberFormat="1" applyFont="1" applyBorder="1" applyAlignment="1">
      <alignment horizontal="center" vertical="center"/>
    </xf>
    <xf numFmtId="176" fontId="389" fillId="0" borderId="62" xfId="0" applyNumberFormat="1" applyFont="1" applyBorder="1" applyAlignment="1">
      <alignment horizontal="center" vertical="center"/>
    </xf>
    <xf numFmtId="0" fontId="392" fillId="2" borderId="53" xfId="0" applyNumberFormat="1" applyFont="1" applyFill="1" applyBorder="1" applyAlignment="1">
      <alignment horizontal="center" vertical="center"/>
    </xf>
    <xf numFmtId="176" fontId="392" fillId="2" borderId="0" xfId="0" applyNumberFormat="1" applyFont="1" applyFill="1" applyBorder="1" applyAlignment="1">
      <alignment vertical="center"/>
    </xf>
    <xf numFmtId="176" fontId="392" fillId="2" borderId="54" xfId="0" applyNumberFormat="1" applyFont="1" applyFill="1" applyBorder="1" applyAlignment="1">
      <alignment vertical="center"/>
    </xf>
    <xf numFmtId="41" fontId="392" fillId="0" borderId="53" xfId="0" applyNumberFormat="1" applyFont="1" applyBorder="1" applyAlignment="1">
      <alignment vertical="center"/>
    </xf>
    <xf numFmtId="176" fontId="405" fillId="0" borderId="0" xfId="0" applyNumberFormat="1" applyFont="1" applyBorder="1" applyAlignment="1">
      <alignment vertical="center"/>
    </xf>
    <xf numFmtId="176" fontId="391" fillId="0" borderId="54" xfId="0" applyNumberFormat="1" applyFont="1" applyBorder="1" applyAlignment="1">
      <alignment horizontal="center" vertical="center"/>
    </xf>
    <xf numFmtId="0" fontId="392" fillId="116" borderId="53" xfId="0" applyNumberFormat="1" applyFont="1" applyFill="1" applyBorder="1" applyAlignment="1">
      <alignment horizontal="center" vertical="center"/>
    </xf>
    <xf numFmtId="176" fontId="392" fillId="116" borderId="0" xfId="0" applyNumberFormat="1" applyFont="1" applyFill="1" applyBorder="1" applyAlignment="1">
      <alignment vertical="center"/>
    </xf>
    <xf numFmtId="176" fontId="392" fillId="116" borderId="54" xfId="0" applyNumberFormat="1" applyFont="1" applyFill="1" applyBorder="1" applyAlignment="1">
      <alignment vertical="center"/>
    </xf>
    <xf numFmtId="0" fontId="405" fillId="0" borderId="53" xfId="0" applyNumberFormat="1" applyFont="1" applyBorder="1" applyAlignment="1">
      <alignment horizontal="center" vertical="center"/>
    </xf>
    <xf numFmtId="176" fontId="405" fillId="0" borderId="54" xfId="0" applyNumberFormat="1" applyFont="1" applyBorder="1" applyAlignment="1">
      <alignment vertical="center"/>
    </xf>
    <xf numFmtId="0" fontId="392" fillId="6" borderId="53" xfId="0" applyNumberFormat="1" applyFont="1" applyFill="1" applyBorder="1" applyAlignment="1">
      <alignment horizontal="center" vertical="center"/>
    </xf>
    <xf numFmtId="176" fontId="392" fillId="6" borderId="0" xfId="0" applyNumberFormat="1" applyFont="1" applyFill="1" applyBorder="1" applyAlignment="1">
      <alignment vertical="center"/>
    </xf>
    <xf numFmtId="176" fontId="392" fillId="6" borderId="54" xfId="0" applyNumberFormat="1" applyFont="1" applyFill="1" applyBorder="1" applyAlignment="1">
      <alignment vertical="center"/>
    </xf>
    <xf numFmtId="0" fontId="405" fillId="114" borderId="53" xfId="0" applyNumberFormat="1" applyFont="1" applyFill="1" applyBorder="1" applyAlignment="1">
      <alignment horizontal="center" vertical="center"/>
    </xf>
    <xf numFmtId="176" fontId="405" fillId="114" borderId="0" xfId="0" applyNumberFormat="1" applyFont="1" applyFill="1" applyBorder="1" applyAlignment="1">
      <alignment vertical="center"/>
    </xf>
    <xf numFmtId="176" fontId="405" fillId="114" borderId="54" xfId="0" applyNumberFormat="1" applyFont="1" applyFill="1" applyBorder="1" applyAlignment="1">
      <alignment vertical="center"/>
    </xf>
    <xf numFmtId="41" fontId="392" fillId="0" borderId="53" xfId="0" applyNumberFormat="1" applyFont="1" applyFill="1" applyBorder="1" applyAlignment="1">
      <alignment vertical="center"/>
    </xf>
    <xf numFmtId="176" fontId="391" fillId="0" borderId="54" xfId="0" applyNumberFormat="1" applyFont="1" applyFill="1" applyBorder="1" applyAlignment="1">
      <alignment horizontal="center" vertical="center"/>
    </xf>
    <xf numFmtId="176" fontId="392" fillId="0" borderId="53" xfId="0" applyNumberFormat="1" applyFont="1" applyFill="1" applyBorder="1" applyAlignment="1">
      <alignment vertical="center"/>
    </xf>
    <xf numFmtId="0" fontId="405" fillId="114" borderId="53" xfId="0" applyFont="1" applyFill="1" applyBorder="1" applyAlignment="1">
      <alignment horizontal="center" vertical="center"/>
    </xf>
    <xf numFmtId="0" fontId="405" fillId="114" borderId="0" xfId="0" applyFont="1" applyFill="1" applyBorder="1" applyAlignment="1">
      <alignment vertical="center"/>
    </xf>
    <xf numFmtId="176" fontId="405" fillId="0" borderId="0" xfId="0" applyNumberFormat="1" applyFont="1" applyFill="1" applyBorder="1" applyAlignment="1">
      <alignment vertical="center"/>
    </xf>
    <xf numFmtId="0" fontId="405" fillId="0" borderId="53" xfId="0" applyNumberFormat="1" applyFont="1" applyFill="1" applyBorder="1" applyAlignment="1">
      <alignment horizontal="center" vertical="center"/>
    </xf>
    <xf numFmtId="176" fontId="405" fillId="0" borderId="54" xfId="0" applyNumberFormat="1" applyFont="1" applyFill="1" applyBorder="1" applyAlignment="1">
      <alignment vertical="center"/>
    </xf>
    <xf numFmtId="41" fontId="392" fillId="114" borderId="53" xfId="0" applyNumberFormat="1" applyFont="1" applyFill="1" applyBorder="1" applyAlignment="1">
      <alignment vertical="center"/>
    </xf>
    <xf numFmtId="176" fontId="391" fillId="114" borderId="54" xfId="0" applyNumberFormat="1" applyFont="1" applyFill="1" applyBorder="1" applyAlignment="1">
      <alignment horizontal="center" vertical="center"/>
    </xf>
    <xf numFmtId="0" fontId="405" fillId="6" borderId="53" xfId="0" applyNumberFormat="1" applyFont="1" applyFill="1" applyBorder="1" applyAlignment="1">
      <alignment horizontal="center" vertical="center"/>
    </xf>
    <xf numFmtId="176" fontId="405" fillId="6" borderId="0" xfId="0" applyNumberFormat="1" applyFont="1" applyFill="1" applyBorder="1" applyAlignment="1">
      <alignment vertical="center"/>
    </xf>
    <xf numFmtId="176" fontId="405" fillId="6" borderId="54" xfId="0" applyNumberFormat="1" applyFont="1" applyFill="1" applyBorder="1" applyAlignment="1">
      <alignment vertical="center"/>
    </xf>
    <xf numFmtId="0" fontId="405" fillId="0" borderId="55" xfId="0" applyNumberFormat="1" applyFont="1" applyBorder="1" applyAlignment="1">
      <alignment horizontal="center" vertical="center"/>
    </xf>
    <xf numFmtId="176" fontId="405" fillId="0" borderId="56" xfId="0" applyNumberFormat="1" applyFont="1" applyBorder="1" applyAlignment="1">
      <alignment vertical="center"/>
    </xf>
    <xf numFmtId="349" fontId="405" fillId="0" borderId="0" xfId="0" applyNumberFormat="1" applyFont="1" applyBorder="1" applyAlignment="1">
      <alignment vertical="center"/>
    </xf>
    <xf numFmtId="176" fontId="405" fillId="0" borderId="57" xfId="0" applyNumberFormat="1" applyFont="1" applyBorder="1" applyAlignment="1">
      <alignment vertical="center"/>
    </xf>
    <xf numFmtId="41" fontId="392" fillId="0" borderId="55" xfId="0" applyNumberFormat="1" applyFont="1" applyBorder="1" applyAlignment="1">
      <alignment vertical="center"/>
    </xf>
    <xf numFmtId="176" fontId="405" fillId="0" borderId="222" xfId="0" applyNumberFormat="1" applyFont="1" applyBorder="1" applyAlignment="1">
      <alignment vertical="center"/>
    </xf>
    <xf numFmtId="176" fontId="391" fillId="0" borderId="57" xfId="0" applyNumberFormat="1" applyFont="1" applyBorder="1" applyAlignment="1">
      <alignment horizontal="center" vertical="center"/>
    </xf>
    <xf numFmtId="0" fontId="405" fillId="0" borderId="61" xfId="0" applyNumberFormat="1" applyFont="1" applyBorder="1" applyAlignment="1">
      <alignment horizontal="center" vertical="center"/>
    </xf>
    <xf numFmtId="176" fontId="405" fillId="0" borderId="77" xfId="0" applyNumberFormat="1" applyFont="1" applyBorder="1" applyAlignment="1">
      <alignment vertical="center"/>
    </xf>
    <xf numFmtId="176" fontId="405" fillId="0" borderId="62" xfId="0" applyNumberFormat="1" applyFont="1" applyBorder="1" applyAlignment="1">
      <alignment vertical="center"/>
    </xf>
    <xf numFmtId="176" fontId="388" fillId="29" borderId="303" xfId="0" applyNumberFormat="1" applyFont="1" applyFill="1" applyBorder="1" applyAlignment="1">
      <alignment horizontal="center" vertical="center" wrapText="1"/>
    </xf>
    <xf numFmtId="176" fontId="397" fillId="2" borderId="305" xfId="0" applyNumberFormat="1" applyFont="1" applyFill="1" applyBorder="1" applyAlignment="1">
      <alignment horizontal="left" vertical="center" wrapText="1" indent="1"/>
    </xf>
    <xf numFmtId="176" fontId="397" fillId="2" borderId="241" xfId="0" applyNumberFormat="1" applyFont="1" applyFill="1" applyBorder="1" applyAlignment="1">
      <alignment horizontal="left" vertical="center" wrapText="1" indent="1"/>
    </xf>
    <xf numFmtId="176" fontId="397" fillId="2" borderId="241" xfId="0" applyNumberFormat="1" applyFont="1" applyFill="1" applyBorder="1" applyAlignment="1">
      <alignment horizontal="right" vertical="center" wrapText="1"/>
    </xf>
    <xf numFmtId="176" fontId="397" fillId="2" borderId="306" xfId="0" applyNumberFormat="1" applyFont="1" applyFill="1" applyBorder="1" applyAlignment="1">
      <alignment horizontal="right" vertical="center" wrapText="1"/>
    </xf>
    <xf numFmtId="176" fontId="397" fillId="6" borderId="305" xfId="0" applyNumberFormat="1" applyFont="1" applyFill="1" applyBorder="1" applyAlignment="1">
      <alignment horizontal="left" vertical="center" wrapText="1" indent="1"/>
    </xf>
    <xf numFmtId="176" fontId="397" fillId="6" borderId="241" xfId="0" applyNumberFormat="1" applyFont="1" applyFill="1" applyBorder="1" applyAlignment="1">
      <alignment horizontal="left" vertical="center" wrapText="1" indent="1"/>
    </xf>
    <xf numFmtId="176" fontId="397" fillId="6" borderId="241" xfId="0" applyNumberFormat="1" applyFont="1" applyFill="1" applyBorder="1" applyAlignment="1">
      <alignment horizontal="right" vertical="center" wrapText="1"/>
    </xf>
    <xf numFmtId="176" fontId="397" fillId="6" borderId="306" xfId="0" applyNumberFormat="1" applyFont="1" applyFill="1" applyBorder="1" applyAlignment="1">
      <alignment horizontal="right" vertical="center" wrapText="1"/>
    </xf>
    <xf numFmtId="176" fontId="397" fillId="3" borderId="305" xfId="0" applyNumberFormat="1" applyFont="1" applyFill="1" applyBorder="1" applyAlignment="1">
      <alignment horizontal="left" vertical="center" wrapText="1" indent="1"/>
    </xf>
    <xf numFmtId="0" fontId="397" fillId="3" borderId="241" xfId="0" applyFont="1" applyFill="1" applyBorder="1" applyAlignment="1">
      <alignment horizontal="left" vertical="center" wrapText="1" indent="1"/>
    </xf>
    <xf numFmtId="176" fontId="397" fillId="3" borderId="241" xfId="0" applyNumberFormat="1" applyFont="1" applyFill="1" applyBorder="1" applyAlignment="1">
      <alignment horizontal="right" vertical="center" wrapText="1"/>
    </xf>
    <xf numFmtId="176" fontId="397" fillId="3" borderId="241" xfId="0" applyNumberFormat="1" applyFont="1" applyFill="1" applyBorder="1" applyAlignment="1">
      <alignment horizontal="left" vertical="center" wrapText="1" indent="1"/>
    </xf>
    <xf numFmtId="176" fontId="398" fillId="0" borderId="305" xfId="0" applyNumberFormat="1" applyFont="1" applyBorder="1" applyAlignment="1">
      <alignment horizontal="left" vertical="center" wrapText="1" indent="1"/>
    </xf>
    <xf numFmtId="176" fontId="398" fillId="0" borderId="241" xfId="0" applyNumberFormat="1" applyFont="1" applyBorder="1" applyAlignment="1">
      <alignment horizontal="left" vertical="center" wrapText="1" indent="1"/>
    </xf>
    <xf numFmtId="176" fontId="398" fillId="0" borderId="241" xfId="0" applyNumberFormat="1" applyFont="1" applyBorder="1" applyAlignment="1">
      <alignment horizontal="right" vertical="center" wrapText="1"/>
    </xf>
    <xf numFmtId="176" fontId="398" fillId="114" borderId="305" xfId="0" applyNumberFormat="1" applyFont="1" applyFill="1" applyBorder="1" applyAlignment="1">
      <alignment horizontal="left" vertical="center" wrapText="1" indent="1"/>
    </xf>
    <xf numFmtId="176" fontId="398" fillId="114" borderId="241" xfId="0" applyNumberFormat="1" applyFont="1" applyFill="1" applyBorder="1" applyAlignment="1">
      <alignment horizontal="left" vertical="center" wrapText="1" indent="1"/>
    </xf>
    <xf numFmtId="176" fontId="398" fillId="114" borderId="241" xfId="0" applyNumberFormat="1" applyFont="1" applyFill="1" applyBorder="1" applyAlignment="1">
      <alignment horizontal="right" vertical="center" wrapText="1"/>
    </xf>
    <xf numFmtId="176" fontId="398" fillId="114" borderId="305" xfId="0" applyNumberFormat="1" applyFont="1" applyFill="1" applyBorder="1" applyAlignment="1">
      <alignment horizontal="left" vertical="center" wrapText="1" indent="2"/>
    </xf>
    <xf numFmtId="181" fontId="405" fillId="0" borderId="241" xfId="0" applyNumberFormat="1" applyFont="1" applyBorder="1" applyAlignment="1">
      <alignment horizontal="left" vertical="center" indent="1"/>
    </xf>
    <xf numFmtId="181" fontId="398" fillId="0" borderId="305" xfId="0" applyNumberFormat="1" applyFont="1" applyBorder="1" applyAlignment="1">
      <alignment horizontal="left" vertical="center" wrapText="1" indent="2"/>
    </xf>
    <xf numFmtId="181" fontId="398" fillId="0" borderId="241" xfId="0" applyNumberFormat="1" applyFont="1" applyBorder="1" applyAlignment="1">
      <alignment horizontal="left" vertical="center" wrapText="1" indent="1"/>
    </xf>
    <xf numFmtId="176" fontId="398" fillId="0" borderId="305" xfId="0" applyNumberFormat="1" applyFont="1" applyBorder="1" applyAlignment="1">
      <alignment horizontal="left" vertical="center" wrapText="1" indent="2"/>
    </xf>
    <xf numFmtId="0" fontId="405" fillId="0" borderId="241" xfId="0" applyFont="1" applyBorder="1" applyAlignment="1">
      <alignment horizontal="left" vertical="center" indent="1"/>
    </xf>
    <xf numFmtId="176" fontId="397" fillId="3" borderId="306" xfId="0" applyNumberFormat="1" applyFont="1" applyFill="1" applyBorder="1" applyAlignment="1">
      <alignment horizontal="right" vertical="center" wrapText="1"/>
    </xf>
    <xf numFmtId="176" fontId="398" fillId="0" borderId="241" xfId="0" applyNumberFormat="1" applyFont="1" applyFill="1" applyBorder="1" applyAlignment="1">
      <alignment horizontal="left" vertical="center" wrapText="1" indent="1"/>
    </xf>
    <xf numFmtId="0" fontId="389" fillId="114" borderId="0" xfId="0" applyFont="1" applyFill="1" applyBorder="1" applyAlignment="1">
      <alignment vertical="center"/>
    </xf>
    <xf numFmtId="176" fontId="397" fillId="2" borderId="241" xfId="0" applyNumberFormat="1" applyFont="1" applyFill="1" applyBorder="1" applyAlignment="1">
      <alignment horizontal="left" vertical="center" indent="1"/>
    </xf>
    <xf numFmtId="176" fontId="397" fillId="2" borderId="366" xfId="0" applyNumberFormat="1" applyFont="1" applyFill="1" applyBorder="1" applyAlignment="1">
      <alignment horizontal="left" vertical="center" wrapText="1" indent="1"/>
    </xf>
    <xf numFmtId="176" fontId="397" fillId="2" borderId="367" xfId="0" applyNumberFormat="1" applyFont="1" applyFill="1" applyBorder="1" applyAlignment="1">
      <alignment horizontal="left" vertical="center" wrapText="1" indent="1"/>
    </xf>
    <xf numFmtId="176" fontId="397" fillId="2" borderId="367" xfId="0" applyNumberFormat="1" applyFont="1" applyFill="1" applyBorder="1" applyAlignment="1">
      <alignment horizontal="right" vertical="center" wrapText="1"/>
    </xf>
    <xf numFmtId="176" fontId="397" fillId="2" borderId="389" xfId="0" applyNumberFormat="1" applyFont="1" applyFill="1" applyBorder="1" applyAlignment="1">
      <alignment horizontal="right" vertical="center" wrapText="1"/>
    </xf>
    <xf numFmtId="176" fontId="388" fillId="5" borderId="43" xfId="0" applyNumberFormat="1" applyFont="1" applyFill="1" applyBorder="1" applyAlignment="1">
      <alignment horizontal="center" vertical="center"/>
    </xf>
    <xf numFmtId="176" fontId="389" fillId="20" borderId="42" xfId="0" applyNumberFormat="1" applyFont="1" applyFill="1" applyBorder="1" applyAlignment="1">
      <alignment vertical="center"/>
    </xf>
    <xf numFmtId="41" fontId="397" fillId="20" borderId="43" xfId="0" applyNumberFormat="1" applyFont="1" applyFill="1" applyBorder="1" applyAlignment="1">
      <alignment horizontal="right" vertical="center"/>
    </xf>
    <xf numFmtId="184" fontId="397" fillId="20" borderId="43" xfId="0" applyNumberFormat="1" applyFont="1" applyFill="1" applyBorder="1" applyAlignment="1">
      <alignment horizontal="right" vertical="center"/>
    </xf>
    <xf numFmtId="41" fontId="389" fillId="20" borderId="43" xfId="0" applyNumberFormat="1" applyFont="1" applyFill="1" applyBorder="1" applyAlignment="1">
      <alignment vertical="center"/>
    </xf>
    <xf numFmtId="41" fontId="389" fillId="20" borderId="79" xfId="0" applyNumberFormat="1" applyFont="1" applyFill="1" applyBorder="1" applyAlignment="1">
      <alignment vertical="center"/>
    </xf>
    <xf numFmtId="176" fontId="398" fillId="3" borderId="42" xfId="0" applyNumberFormat="1" applyFont="1" applyFill="1" applyBorder="1" applyAlignment="1">
      <alignment vertical="center"/>
    </xf>
    <xf numFmtId="41" fontId="398" fillId="3" borderId="43" xfId="0" applyNumberFormat="1" applyFont="1" applyFill="1" applyBorder="1" applyAlignment="1">
      <alignment horizontal="right" vertical="center"/>
    </xf>
    <xf numFmtId="184" fontId="398" fillId="3" borderId="43" xfId="0" applyNumberFormat="1" applyFont="1" applyFill="1" applyBorder="1" applyAlignment="1">
      <alignment horizontal="right" vertical="center"/>
    </xf>
    <xf numFmtId="184" fontId="391" fillId="3" borderId="43" xfId="0" applyNumberFormat="1" applyFont="1" applyFill="1" applyBorder="1" applyAlignment="1">
      <alignment vertical="center"/>
    </xf>
    <xf numFmtId="184" fontId="391" fillId="3" borderId="79" xfId="0" applyNumberFormat="1" applyFont="1" applyFill="1" applyBorder="1" applyAlignment="1">
      <alignment vertical="center"/>
    </xf>
    <xf numFmtId="41" fontId="398" fillId="0" borderId="43" xfId="0" applyNumberFormat="1" applyFont="1" applyBorder="1" applyAlignment="1">
      <alignment horizontal="right" vertical="center"/>
    </xf>
    <xf numFmtId="184" fontId="398" fillId="0" borderId="43" xfId="0" applyNumberFormat="1" applyFont="1" applyBorder="1" applyAlignment="1">
      <alignment horizontal="right" vertical="center"/>
    </xf>
    <xf numFmtId="184" fontId="391" fillId="0" borderId="43" xfId="0" applyNumberFormat="1" applyFont="1" applyBorder="1" applyAlignment="1">
      <alignment vertical="center"/>
    </xf>
    <xf numFmtId="184" fontId="391" fillId="0" borderId="79" xfId="0" applyNumberFormat="1" applyFont="1" applyBorder="1" applyAlignment="1">
      <alignment vertical="center"/>
    </xf>
    <xf numFmtId="41" fontId="391" fillId="0" borderId="43" xfId="0" applyNumberFormat="1" applyFont="1" applyBorder="1" applyAlignment="1">
      <alignment vertical="center"/>
    </xf>
    <xf numFmtId="41" fontId="391" fillId="0" borderId="79" xfId="0" applyNumberFormat="1" applyFont="1" applyBorder="1" applyAlignment="1">
      <alignment vertical="center"/>
    </xf>
    <xf numFmtId="176" fontId="389" fillId="20" borderId="44" xfId="0" applyNumberFormat="1" applyFont="1" applyFill="1" applyBorder="1" applyAlignment="1">
      <alignment vertical="center"/>
    </xf>
    <xf numFmtId="41" fontId="397" fillId="20" borderId="143" xfId="0" applyNumberFormat="1" applyFont="1" applyFill="1" applyBorder="1" applyAlignment="1">
      <alignment horizontal="right" vertical="center"/>
    </xf>
    <xf numFmtId="184" fontId="397" fillId="20" borderId="143" xfId="0" applyNumberFormat="1" applyFont="1" applyFill="1" applyBorder="1" applyAlignment="1">
      <alignment horizontal="right" vertical="center"/>
    </xf>
    <xf numFmtId="41" fontId="389" fillId="20" borderId="143" xfId="0" applyNumberFormat="1" applyFont="1" applyFill="1" applyBorder="1" applyAlignment="1">
      <alignment vertical="center"/>
    </xf>
    <xf numFmtId="41" fontId="389" fillId="20" borderId="144" xfId="0" applyNumberFormat="1" applyFont="1" applyFill="1" applyBorder="1" applyAlignment="1">
      <alignment vertical="center"/>
    </xf>
    <xf numFmtId="41" fontId="389" fillId="20" borderId="145" xfId="0" applyNumberFormat="1" applyFont="1" applyFill="1" applyBorder="1" applyAlignment="1">
      <alignment vertical="center"/>
    </xf>
    <xf numFmtId="184" fontId="389" fillId="20" borderId="145" xfId="0" applyNumberFormat="1" applyFont="1" applyFill="1" applyBorder="1" applyAlignment="1">
      <alignment vertical="center"/>
    </xf>
    <xf numFmtId="41" fontId="389" fillId="20" borderId="227" xfId="0" applyNumberFormat="1" applyFont="1" applyFill="1" applyBorder="1" applyAlignment="1">
      <alignment vertical="center"/>
    </xf>
    <xf numFmtId="41" fontId="398" fillId="3" borderId="79" xfId="0" applyNumberFormat="1" applyFont="1" applyFill="1" applyBorder="1" applyAlignment="1">
      <alignment horizontal="right" vertical="center"/>
    </xf>
    <xf numFmtId="41" fontId="391" fillId="3" borderId="43" xfId="0" applyNumberFormat="1" applyFont="1" applyFill="1" applyBorder="1" applyAlignment="1">
      <alignment vertical="center"/>
    </xf>
    <xf numFmtId="176" fontId="391" fillId="0" borderId="43" xfId="0" applyNumberFormat="1" applyFont="1" applyBorder="1" applyAlignment="1">
      <alignment vertical="center"/>
    </xf>
    <xf numFmtId="41" fontId="391" fillId="0" borderId="143" xfId="0" applyNumberFormat="1" applyFont="1" applyBorder="1" applyAlignment="1">
      <alignment vertical="center"/>
    </xf>
    <xf numFmtId="41" fontId="391" fillId="0" borderId="144" xfId="0" applyNumberFormat="1" applyFont="1" applyBorder="1" applyAlignment="1">
      <alignment vertical="center"/>
    </xf>
    <xf numFmtId="41" fontId="389" fillId="20" borderId="45" xfId="0" applyNumberFormat="1" applyFont="1" applyFill="1" applyBorder="1" applyAlignment="1">
      <alignment vertical="center"/>
    </xf>
    <xf numFmtId="184" fontId="389" fillId="20" borderId="45" xfId="0" applyNumberFormat="1" applyFont="1" applyFill="1" applyBorder="1" applyAlignment="1">
      <alignment vertical="center"/>
    </xf>
    <xf numFmtId="41" fontId="389" fillId="20" borderId="80" xfId="0" applyNumberFormat="1" applyFont="1" applyFill="1" applyBorder="1" applyAlignment="1">
      <alignment vertical="center"/>
    </xf>
    <xf numFmtId="176" fontId="391" fillId="0" borderId="0" xfId="0" applyNumberFormat="1" applyFont="1" applyBorder="1" applyAlignment="1">
      <alignment horizontal="right" vertical="center"/>
    </xf>
    <xf numFmtId="41" fontId="391" fillId="0" borderId="0" xfId="0" applyNumberFormat="1" applyFont="1" applyBorder="1" applyAlignment="1">
      <alignment vertical="center"/>
    </xf>
    <xf numFmtId="184" fontId="391" fillId="0" borderId="0" xfId="0" applyNumberFormat="1" applyFont="1" applyBorder="1" applyAlignment="1">
      <alignment vertical="center"/>
    </xf>
    <xf numFmtId="0" fontId="391" fillId="0" borderId="0" xfId="0" applyFont="1" applyBorder="1" applyAlignment="1">
      <alignment vertical="center"/>
    </xf>
    <xf numFmtId="181" fontId="391" fillId="0" borderId="0" xfId="0" applyNumberFormat="1" applyFont="1" applyBorder="1" applyAlignment="1">
      <alignment vertical="center"/>
    </xf>
    <xf numFmtId="0" fontId="391" fillId="0" borderId="0" xfId="0" applyFont="1" applyBorder="1" applyAlignment="1">
      <alignment horizontal="center" vertical="center"/>
    </xf>
    <xf numFmtId="0" fontId="390" fillId="0" borderId="0" xfId="0" applyFont="1" applyBorder="1" applyAlignment="1">
      <alignment vertical="center"/>
    </xf>
    <xf numFmtId="181" fontId="398" fillId="24" borderId="401" xfId="0" applyNumberFormat="1" applyFont="1" applyFill="1" applyBorder="1" applyAlignment="1">
      <alignment horizontal="center" vertical="center" wrapText="1"/>
    </xf>
    <xf numFmtId="181" fontId="398" fillId="24" borderId="402" xfId="0" applyNumberFormat="1" applyFont="1" applyFill="1" applyBorder="1" applyAlignment="1">
      <alignment horizontal="center" vertical="center" wrapText="1"/>
    </xf>
    <xf numFmtId="0" fontId="398" fillId="0" borderId="241" xfId="0" applyFont="1" applyBorder="1" applyAlignment="1">
      <alignment horizontal="left" vertical="center" wrapText="1"/>
    </xf>
    <xf numFmtId="0" fontId="398" fillId="0" borderId="318" xfId="0" applyFont="1" applyBorder="1" applyAlignment="1">
      <alignment horizontal="center" vertical="center" wrapText="1"/>
    </xf>
    <xf numFmtId="184" fontId="398" fillId="0" borderId="241" xfId="1" applyNumberFormat="1" applyFont="1" applyBorder="1" applyAlignment="1">
      <alignment horizontal="right" vertical="center" wrapText="1"/>
    </xf>
    <xf numFmtId="181" fontId="398" fillId="0" borderId="241" xfId="0" applyNumberFormat="1" applyFont="1" applyBorder="1" applyAlignment="1">
      <alignment vertical="center" wrapText="1"/>
    </xf>
    <xf numFmtId="181" fontId="398" fillId="0" borderId="247" xfId="0" applyNumberFormat="1" applyFont="1" applyBorder="1" applyAlignment="1">
      <alignment vertical="center" wrapText="1"/>
    </xf>
    <xf numFmtId="181" fontId="398" fillId="0" borderId="306" xfId="0" applyNumberFormat="1" applyFont="1" applyBorder="1" applyAlignment="1">
      <alignment horizontal="right" vertical="center" wrapText="1"/>
    </xf>
    <xf numFmtId="41" fontId="390" fillId="0" borderId="0" xfId="1" applyFont="1" applyBorder="1" applyAlignment="1">
      <alignment vertical="center"/>
    </xf>
    <xf numFmtId="41" fontId="398" fillId="0" borderId="400" xfId="0" applyNumberFormat="1" applyFont="1" applyBorder="1" applyAlignment="1">
      <alignment vertical="center" wrapText="1"/>
    </xf>
    <xf numFmtId="41" fontId="398" fillId="0" borderId="401" xfId="0" applyNumberFormat="1" applyFont="1" applyBorder="1" applyAlignment="1">
      <alignment horizontal="center" vertical="center" wrapText="1"/>
    </xf>
    <xf numFmtId="41" fontId="398" fillId="0" borderId="401" xfId="0" applyNumberFormat="1" applyFont="1" applyBorder="1" applyAlignment="1">
      <alignment horizontal="right" vertical="center" wrapText="1"/>
    </xf>
    <xf numFmtId="41" fontId="398" fillId="0" borderId="429" xfId="0" applyNumberFormat="1" applyFont="1" applyBorder="1" applyAlignment="1">
      <alignment horizontal="right" vertical="center" wrapText="1"/>
    </xf>
    <xf numFmtId="41" fontId="398" fillId="0" borderId="402" xfId="0" applyNumberFormat="1" applyFont="1" applyBorder="1" applyAlignment="1">
      <alignment horizontal="right" vertical="center" wrapText="1"/>
    </xf>
    <xf numFmtId="0" fontId="389" fillId="2" borderId="241" xfId="0" applyFont="1" applyFill="1" applyBorder="1" applyAlignment="1">
      <alignment horizontal="left" vertical="center"/>
    </xf>
    <xf numFmtId="0" fontId="389" fillId="2" borderId="318" xfId="0" applyFont="1" applyFill="1" applyBorder="1" applyAlignment="1">
      <alignment horizontal="center" vertical="center"/>
    </xf>
    <xf numFmtId="184" fontId="389" fillId="2" borderId="241" xfId="1" applyNumberFormat="1" applyFont="1" applyFill="1" applyBorder="1" applyAlignment="1">
      <alignment horizontal="right" vertical="center"/>
    </xf>
    <xf numFmtId="181" fontId="389" fillId="2" borderId="241" xfId="0" applyNumberFormat="1" applyFont="1" applyFill="1" applyBorder="1" applyAlignment="1">
      <alignment vertical="center"/>
    </xf>
    <xf numFmtId="181" fontId="389" fillId="2" borderId="247" xfId="0" applyNumberFormat="1" applyFont="1" applyFill="1" applyBorder="1" applyAlignment="1">
      <alignment vertical="center"/>
    </xf>
    <xf numFmtId="181" fontId="389" fillId="2" borderId="306" xfId="0" applyNumberFormat="1" applyFont="1" applyFill="1" applyBorder="1" applyAlignment="1">
      <alignment vertical="center"/>
    </xf>
    <xf numFmtId="41" fontId="397" fillId="2" borderId="400" xfId="0" applyNumberFormat="1" applyFont="1" applyFill="1" applyBorder="1" applyAlignment="1">
      <alignment vertical="center" wrapText="1"/>
    </xf>
    <xf numFmtId="41" fontId="397" fillId="2" borderId="401" xfId="0" applyNumberFormat="1" applyFont="1" applyFill="1" applyBorder="1" applyAlignment="1">
      <alignment horizontal="center" vertical="center" wrapText="1"/>
    </xf>
    <xf numFmtId="41" fontId="397" fillId="2" borderId="401" xfId="0" applyNumberFormat="1" applyFont="1" applyFill="1" applyBorder="1" applyAlignment="1">
      <alignment horizontal="right" vertical="center" wrapText="1"/>
    </xf>
    <xf numFmtId="41" fontId="397" fillId="2" borderId="402" xfId="0" applyNumberFormat="1" applyFont="1" applyFill="1" applyBorder="1" applyAlignment="1">
      <alignment horizontal="right" vertical="center" wrapText="1"/>
    </xf>
    <xf numFmtId="184" fontId="397" fillId="2" borderId="401" xfId="0" applyNumberFormat="1" applyFont="1" applyFill="1" applyBorder="1" applyAlignment="1">
      <alignment horizontal="right" vertical="center" wrapText="1"/>
    </xf>
    <xf numFmtId="184" fontId="397" fillId="2" borderId="402" xfId="0" applyNumberFormat="1" applyFont="1" applyFill="1" applyBorder="1" applyAlignment="1">
      <alignment horizontal="right" vertical="center" wrapText="1"/>
    </xf>
    <xf numFmtId="41" fontId="398" fillId="0" borderId="241" xfId="1" applyFont="1" applyBorder="1" applyAlignment="1">
      <alignment horizontal="right" vertical="center" wrapText="1"/>
    </xf>
    <xf numFmtId="181" fontId="390" fillId="0" borderId="0" xfId="0" applyNumberFormat="1" applyFont="1" applyBorder="1" applyAlignment="1">
      <alignment vertical="center"/>
    </xf>
    <xf numFmtId="184" fontId="398" fillId="0" borderId="401" xfId="0" applyNumberFormat="1" applyFont="1" applyBorder="1" applyAlignment="1">
      <alignment horizontal="right" vertical="center" wrapText="1"/>
    </xf>
    <xf numFmtId="184" fontId="398" fillId="0" borderId="402" xfId="0" applyNumberFormat="1" applyFont="1" applyBorder="1" applyAlignment="1">
      <alignment horizontal="right" vertical="center" wrapText="1"/>
    </xf>
    <xf numFmtId="0" fontId="389" fillId="3" borderId="318" xfId="0" applyFont="1" applyFill="1" applyBorder="1" applyAlignment="1">
      <alignment horizontal="center" vertical="center"/>
    </xf>
    <xf numFmtId="41" fontId="389" fillId="3" borderId="241" xfId="1" applyFont="1" applyFill="1" applyBorder="1" applyAlignment="1">
      <alignment horizontal="right" vertical="center"/>
    </xf>
    <xf numFmtId="181" fontId="389" fillId="3" borderId="241" xfId="0" applyNumberFormat="1" applyFont="1" applyFill="1" applyBorder="1" applyAlignment="1">
      <alignment vertical="center"/>
    </xf>
    <xf numFmtId="181" fontId="389" fillId="3" borderId="247" xfId="0" applyNumberFormat="1" applyFont="1" applyFill="1" applyBorder="1" applyAlignment="1">
      <alignment vertical="center"/>
    </xf>
    <xf numFmtId="181" fontId="389" fillId="3" borderId="306" xfId="0" applyNumberFormat="1" applyFont="1" applyFill="1" applyBorder="1" applyAlignment="1">
      <alignment vertical="center"/>
    </xf>
    <xf numFmtId="41" fontId="389" fillId="2" borderId="241" xfId="1" applyFont="1" applyFill="1" applyBorder="1" applyAlignment="1">
      <alignment horizontal="right" vertical="center"/>
    </xf>
    <xf numFmtId="181" fontId="398" fillId="0" borderId="241" xfId="0" applyNumberFormat="1" applyFont="1" applyFill="1" applyBorder="1" applyAlignment="1">
      <alignment vertical="center" wrapText="1"/>
    </xf>
    <xf numFmtId="181" fontId="398" fillId="0" borderId="247" xfId="0" applyNumberFormat="1" applyFont="1" applyFill="1" applyBorder="1" applyAlignment="1">
      <alignment vertical="center" wrapText="1"/>
    </xf>
    <xf numFmtId="181" fontId="398" fillId="0" borderId="306" xfId="0" applyNumberFormat="1" applyFont="1" applyBorder="1" applyAlignment="1">
      <alignment vertical="center" wrapText="1"/>
    </xf>
    <xf numFmtId="0" fontId="398" fillId="0" borderId="391" xfId="0" applyFont="1" applyBorder="1" applyAlignment="1">
      <alignment horizontal="center" vertical="center" wrapText="1"/>
    </xf>
    <xf numFmtId="181" fontId="398" fillId="0" borderId="367" xfId="0" applyNumberFormat="1" applyFont="1" applyFill="1" applyBorder="1" applyAlignment="1">
      <alignment vertical="center" wrapText="1"/>
    </xf>
    <xf numFmtId="181" fontId="398" fillId="0" borderId="393" xfId="0" applyNumberFormat="1" applyFont="1" applyFill="1" applyBorder="1" applyAlignment="1">
      <alignment vertical="center" wrapText="1"/>
    </xf>
    <xf numFmtId="181" fontId="398" fillId="0" borderId="389" xfId="0" applyNumberFormat="1" applyFont="1" applyBorder="1" applyAlignment="1">
      <alignment vertical="center" wrapText="1"/>
    </xf>
    <xf numFmtId="41" fontId="398" fillId="0" borderId="403" xfId="0" applyNumberFormat="1" applyFont="1" applyBorder="1" applyAlignment="1">
      <alignment vertical="center" wrapText="1"/>
    </xf>
    <xf numFmtId="41" fontId="398" fillId="0" borderId="404" xfId="0" applyNumberFormat="1" applyFont="1" applyBorder="1" applyAlignment="1">
      <alignment horizontal="right" vertical="center" wrapText="1"/>
    </xf>
    <xf numFmtId="184" fontId="398" fillId="0" borderId="404" xfId="0" applyNumberFormat="1" applyFont="1" applyBorder="1" applyAlignment="1">
      <alignment horizontal="right" vertical="center" wrapText="1"/>
    </xf>
    <xf numFmtId="184" fontId="398" fillId="0" borderId="405" xfId="0" applyNumberFormat="1" applyFont="1" applyBorder="1" applyAlignment="1">
      <alignment horizontal="right" vertical="center" wrapText="1"/>
    </xf>
    <xf numFmtId="181" fontId="391" fillId="0" borderId="0" xfId="0" applyNumberFormat="1" applyFont="1" applyAlignment="1">
      <alignment horizontal="right" vertical="center"/>
    </xf>
    <xf numFmtId="0" fontId="391" fillId="0" borderId="0" xfId="0" applyFont="1" applyBorder="1" applyAlignment="1">
      <alignment horizontal="right" vertical="center"/>
    </xf>
    <xf numFmtId="0" fontId="390" fillId="0" borderId="0" xfId="0" applyFont="1" applyAlignment="1">
      <alignment vertical="center"/>
    </xf>
    <xf numFmtId="0" fontId="398" fillId="0" borderId="0" xfId="0" applyFont="1" applyAlignment="1">
      <alignment horizontal="center" vertical="center" wrapText="1"/>
    </xf>
    <xf numFmtId="0" fontId="388" fillId="31" borderId="14" xfId="0" applyFont="1" applyFill="1" applyBorder="1" applyAlignment="1">
      <alignment horizontal="centerContinuous" vertical="center"/>
    </xf>
    <xf numFmtId="0" fontId="388" fillId="5" borderId="14" xfId="0" applyFont="1" applyFill="1" applyBorder="1" applyAlignment="1">
      <alignment horizontal="centerContinuous" vertical="center"/>
    </xf>
    <xf numFmtId="181" fontId="389" fillId="0" borderId="0" xfId="0" applyNumberFormat="1" applyFont="1" applyAlignment="1">
      <alignment vertical="center"/>
    </xf>
    <xf numFmtId="0" fontId="388" fillId="5" borderId="16" xfId="0" applyFont="1" applyFill="1" applyBorder="1" applyAlignment="1">
      <alignment horizontal="center" vertical="center" wrapText="1"/>
    </xf>
    <xf numFmtId="0" fontId="388" fillId="5" borderId="1" xfId="0" applyFont="1" applyFill="1" applyBorder="1" applyAlignment="1">
      <alignment horizontal="center" vertical="center" wrapText="1"/>
    </xf>
    <xf numFmtId="0" fontId="388" fillId="31" borderId="1" xfId="0" applyFont="1" applyFill="1" applyBorder="1" applyAlignment="1">
      <alignment horizontal="centerContinuous" vertical="center" wrapText="1"/>
    </xf>
    <xf numFmtId="0" fontId="388" fillId="5" borderId="1" xfId="0" applyFont="1" applyFill="1" applyBorder="1" applyAlignment="1">
      <alignment horizontal="centerContinuous" vertical="center" wrapText="1"/>
    </xf>
    <xf numFmtId="0" fontId="388" fillId="5" borderId="17" xfId="0" applyFont="1" applyFill="1" applyBorder="1" applyAlignment="1">
      <alignment horizontal="centerContinuous" vertical="center" wrapText="1"/>
    </xf>
    <xf numFmtId="0" fontId="398" fillId="24" borderId="96" xfId="0" applyFont="1" applyFill="1" applyBorder="1" applyAlignment="1">
      <alignment horizontal="center" vertical="center" wrapText="1"/>
    </xf>
    <xf numFmtId="0" fontId="398" fillId="24" borderId="97" xfId="0" applyFont="1" applyFill="1" applyBorder="1" applyAlignment="1">
      <alignment horizontal="center" vertical="center" wrapText="1"/>
    </xf>
    <xf numFmtId="181" fontId="389" fillId="2" borderId="1" xfId="0" applyNumberFormat="1" applyFont="1" applyFill="1" applyBorder="1" applyAlignment="1">
      <alignment horizontal="left" vertical="center"/>
    </xf>
    <xf numFmtId="181" fontId="389" fillId="2" borderId="1" xfId="0" applyNumberFormat="1" applyFont="1" applyFill="1" applyBorder="1" applyAlignment="1">
      <alignment vertical="center"/>
    </xf>
    <xf numFmtId="181" fontId="389" fillId="2" borderId="17" xfId="0" applyNumberFormat="1" applyFont="1" applyFill="1" applyBorder="1" applyAlignment="1">
      <alignment vertical="center"/>
    </xf>
    <xf numFmtId="181" fontId="391" fillId="0" borderId="0" xfId="0" applyNumberFormat="1" applyFont="1" applyAlignment="1">
      <alignment vertical="center"/>
    </xf>
    <xf numFmtId="181" fontId="389" fillId="0" borderId="0" xfId="0" applyNumberFormat="1" applyFont="1" applyAlignment="1">
      <alignment horizontal="center" vertical="center"/>
    </xf>
    <xf numFmtId="181" fontId="391" fillId="0" borderId="0" xfId="0" applyNumberFormat="1" applyFont="1" applyAlignment="1">
      <alignment horizontal="center" vertical="center"/>
    </xf>
    <xf numFmtId="0" fontId="398" fillId="0" borderId="101" xfId="0" applyFont="1" applyBorder="1" applyAlignment="1">
      <alignment vertical="center" wrapText="1"/>
    </xf>
    <xf numFmtId="0" fontId="398" fillId="0" borderId="95" xfId="0" applyFont="1" applyBorder="1" applyAlignment="1">
      <alignment horizontal="center" vertical="center" wrapText="1"/>
    </xf>
    <xf numFmtId="0" fontId="398" fillId="0" borderId="95" xfId="0" applyFont="1" applyBorder="1" applyAlignment="1">
      <alignment horizontal="right" vertical="center" wrapText="1"/>
    </xf>
    <xf numFmtId="0" fontId="398" fillId="0" borderId="102" xfId="0" applyFont="1" applyBorder="1" applyAlignment="1">
      <alignment horizontal="right" vertical="center" wrapText="1"/>
    </xf>
    <xf numFmtId="181" fontId="389" fillId="3" borderId="1" xfId="0" applyNumberFormat="1" applyFont="1" applyFill="1" applyBorder="1" applyAlignment="1">
      <alignment horizontal="left" vertical="center"/>
    </xf>
    <xf numFmtId="181" fontId="389" fillId="3" borderId="1" xfId="0" applyNumberFormat="1" applyFont="1" applyFill="1" applyBorder="1" applyAlignment="1">
      <alignment vertical="center"/>
    </xf>
    <xf numFmtId="181" fontId="389" fillId="3" borderId="17" xfId="0" applyNumberFormat="1" applyFont="1" applyFill="1" applyBorder="1" applyAlignment="1">
      <alignment vertical="center"/>
    </xf>
    <xf numFmtId="181" fontId="390" fillId="0" borderId="0" xfId="0" applyNumberFormat="1" applyFont="1" applyAlignment="1">
      <alignment horizontal="center" vertical="center"/>
    </xf>
    <xf numFmtId="3" fontId="398" fillId="0" borderId="95" xfId="0" applyNumberFormat="1" applyFont="1" applyBorder="1" applyAlignment="1">
      <alignment horizontal="right" vertical="center" wrapText="1"/>
    </xf>
    <xf numFmtId="3" fontId="398" fillId="0" borderId="102" xfId="0" applyNumberFormat="1" applyFont="1" applyBorder="1" applyAlignment="1">
      <alignment horizontal="right" vertical="center" wrapText="1"/>
    </xf>
    <xf numFmtId="181" fontId="398" fillId="0" borderId="1" xfId="0" applyNumberFormat="1" applyFont="1" applyBorder="1" applyAlignment="1">
      <alignment horizontal="left" vertical="center" wrapText="1"/>
    </xf>
    <xf numFmtId="181" fontId="398" fillId="0" borderId="1" xfId="0" applyNumberFormat="1" applyFont="1" applyBorder="1" applyAlignment="1">
      <alignment horizontal="center" vertical="center" wrapText="1"/>
    </xf>
    <xf numFmtId="181" fontId="398" fillId="0" borderId="1" xfId="0" applyNumberFormat="1" applyFont="1" applyBorder="1" applyAlignment="1">
      <alignment horizontal="right" vertical="center" wrapText="1"/>
    </xf>
    <xf numFmtId="181" fontId="398" fillId="0" borderId="17" xfId="0" applyNumberFormat="1" applyFont="1" applyBorder="1" applyAlignment="1">
      <alignment horizontal="right" vertical="center" wrapText="1"/>
    </xf>
    <xf numFmtId="181" fontId="398" fillId="114" borderId="1" xfId="0" applyNumberFormat="1" applyFont="1" applyFill="1" applyBorder="1" applyAlignment="1">
      <alignment horizontal="center" vertical="center" wrapText="1"/>
    </xf>
    <xf numFmtId="181" fontId="398" fillId="114" borderId="1" xfId="0" applyNumberFormat="1" applyFont="1" applyFill="1" applyBorder="1" applyAlignment="1">
      <alignment horizontal="right" vertical="center" wrapText="1"/>
    </xf>
    <xf numFmtId="181" fontId="398" fillId="114" borderId="17" xfId="0" applyNumberFormat="1" applyFont="1" applyFill="1" applyBorder="1" applyAlignment="1">
      <alignment horizontal="right" vertical="center" wrapText="1"/>
    </xf>
    <xf numFmtId="181" fontId="389" fillId="2" borderId="19" xfId="0" applyNumberFormat="1" applyFont="1" applyFill="1" applyBorder="1" applyAlignment="1">
      <alignment horizontal="left" vertical="center"/>
    </xf>
    <xf numFmtId="181" fontId="389" fillId="2" borderId="19" xfId="0" applyNumberFormat="1" applyFont="1" applyFill="1" applyBorder="1" applyAlignment="1">
      <alignment vertical="center"/>
    </xf>
    <xf numFmtId="181" fontId="389" fillId="2" borderId="20" xfId="0" applyNumberFormat="1" applyFont="1" applyFill="1" applyBorder="1" applyAlignment="1">
      <alignment vertical="center"/>
    </xf>
    <xf numFmtId="181" fontId="391" fillId="0" borderId="50" xfId="0" applyNumberFormat="1" applyFont="1" applyBorder="1" applyAlignment="1">
      <alignment vertical="center"/>
    </xf>
    <xf numFmtId="181" fontId="391" fillId="0" borderId="51" xfId="0" applyNumberFormat="1" applyFont="1" applyBorder="1" applyAlignment="1">
      <alignment horizontal="left" vertical="center"/>
    </xf>
    <xf numFmtId="181" fontId="391" fillId="0" borderId="51" xfId="0" applyNumberFormat="1" applyFont="1" applyBorder="1" applyAlignment="1">
      <alignment vertical="center"/>
    </xf>
    <xf numFmtId="181" fontId="390" fillId="0" borderId="51" xfId="0" applyNumberFormat="1" applyFont="1" applyBorder="1" applyAlignment="1">
      <alignment vertical="center"/>
    </xf>
    <xf numFmtId="181" fontId="390" fillId="0" borderId="52" xfId="0" applyNumberFormat="1" applyFont="1" applyBorder="1" applyAlignment="1">
      <alignment vertical="center"/>
    </xf>
    <xf numFmtId="181" fontId="391" fillId="0" borderId="55" xfId="0" applyNumberFormat="1" applyFont="1" applyBorder="1" applyAlignment="1">
      <alignment vertical="center"/>
    </xf>
    <xf numFmtId="181" fontId="391" fillId="0" borderId="222" xfId="0" applyNumberFormat="1" applyFont="1" applyBorder="1" applyAlignment="1">
      <alignment horizontal="left" vertical="center"/>
    </xf>
    <xf numFmtId="181" fontId="391" fillId="0" borderId="222" xfId="0" applyNumberFormat="1" applyFont="1" applyBorder="1" applyAlignment="1">
      <alignment vertical="center"/>
    </xf>
    <xf numFmtId="181" fontId="390" fillId="0" borderId="222" xfId="0" applyNumberFormat="1" applyFont="1" applyBorder="1" applyAlignment="1">
      <alignment vertical="center"/>
    </xf>
    <xf numFmtId="181" fontId="390" fillId="0" borderId="57" xfId="0" applyNumberFormat="1" applyFont="1" applyBorder="1" applyAlignment="1">
      <alignment vertical="center"/>
    </xf>
    <xf numFmtId="176" fontId="388" fillId="5" borderId="32" xfId="0" applyNumberFormat="1" applyFont="1" applyFill="1" applyBorder="1" applyAlignment="1">
      <alignment horizontal="center" vertical="center"/>
    </xf>
    <xf numFmtId="176" fontId="388" fillId="5" borderId="33" xfId="0" applyNumberFormat="1" applyFont="1" applyFill="1" applyBorder="1" applyAlignment="1">
      <alignment horizontal="center" vertical="center"/>
    </xf>
    <xf numFmtId="176" fontId="388" fillId="5" borderId="34" xfId="0" applyNumberFormat="1" applyFont="1" applyFill="1" applyBorder="1" applyAlignment="1">
      <alignment horizontal="center" vertical="center"/>
    </xf>
    <xf numFmtId="176" fontId="391" fillId="0" borderId="37" xfId="0" applyNumberFormat="1" applyFont="1" applyBorder="1" applyAlignment="1">
      <alignment vertical="center"/>
    </xf>
    <xf numFmtId="176" fontId="389" fillId="0" borderId="63" xfId="0" applyNumberFormat="1" applyFont="1" applyBorder="1" applyAlignment="1">
      <alignment vertical="center"/>
    </xf>
    <xf numFmtId="176" fontId="389" fillId="0" borderId="64" xfId="0" applyNumberFormat="1" applyFont="1" applyBorder="1" applyAlignment="1">
      <alignment vertical="center"/>
    </xf>
    <xf numFmtId="176" fontId="391" fillId="0" borderId="63" xfId="0" applyNumberFormat="1" applyFont="1" applyBorder="1" applyAlignment="1">
      <alignment vertical="center"/>
    </xf>
    <xf numFmtId="176" fontId="391" fillId="0" borderId="64" xfId="0" applyNumberFormat="1" applyFont="1" applyBorder="1" applyAlignment="1">
      <alignment vertical="center"/>
    </xf>
    <xf numFmtId="176" fontId="391" fillId="0" borderId="53" xfId="0" applyNumberFormat="1" applyFont="1" applyBorder="1" applyAlignment="1">
      <alignment vertical="center"/>
    </xf>
    <xf numFmtId="0" fontId="391" fillId="0" borderId="0" xfId="0" applyNumberFormat="1" applyFont="1" applyBorder="1" applyAlignment="1">
      <alignment horizontal="center" vertical="center"/>
    </xf>
    <xf numFmtId="176" fontId="391" fillId="0" borderId="54" xfId="0" applyNumberFormat="1" applyFont="1" applyBorder="1" applyAlignment="1">
      <alignment vertical="center"/>
    </xf>
    <xf numFmtId="176" fontId="391" fillId="114" borderId="54" xfId="0" applyNumberFormat="1" applyFont="1" applyFill="1" applyBorder="1" applyAlignment="1">
      <alignment vertical="center"/>
    </xf>
    <xf numFmtId="176" fontId="391" fillId="114" borderId="53" xfId="0" applyNumberFormat="1" applyFont="1" applyFill="1" applyBorder="1" applyAlignment="1">
      <alignment vertical="center"/>
    </xf>
    <xf numFmtId="0" fontId="391" fillId="114" borderId="0" xfId="0" applyNumberFormat="1" applyFont="1" applyFill="1" applyBorder="1" applyAlignment="1">
      <alignment horizontal="center" vertical="center"/>
    </xf>
    <xf numFmtId="0" fontId="405" fillId="114" borderId="53" xfId="0" applyFont="1" applyFill="1" applyBorder="1" applyAlignment="1">
      <alignment vertical="center"/>
    </xf>
    <xf numFmtId="0" fontId="389" fillId="0" borderId="0" xfId="0" applyNumberFormat="1" applyFont="1" applyBorder="1" applyAlignment="1">
      <alignment horizontal="center" vertical="center"/>
    </xf>
    <xf numFmtId="0" fontId="411" fillId="114" borderId="0" xfId="0" applyFont="1" applyFill="1" applyBorder="1" applyAlignment="1">
      <alignment horizontal="center" vertical="center"/>
    </xf>
    <xf numFmtId="0" fontId="411" fillId="114" borderId="0" xfId="0" applyFont="1" applyFill="1" applyBorder="1" applyAlignment="1">
      <alignment horizontal="centerContinuous" vertical="center"/>
    </xf>
    <xf numFmtId="0" fontId="412" fillId="114" borderId="0" xfId="0" applyFont="1" applyFill="1" applyBorder="1" applyAlignment="1">
      <alignment horizontal="centerContinuous"/>
    </xf>
    <xf numFmtId="41" fontId="411" fillId="114" borderId="0" xfId="7897" applyFont="1" applyFill="1" applyBorder="1" applyAlignment="1">
      <alignment horizontal="centerContinuous" vertical="center"/>
    </xf>
    <xf numFmtId="0" fontId="410" fillId="114" borderId="0" xfId="0" applyFont="1" applyFill="1" applyBorder="1" applyAlignment="1">
      <alignment horizontal="center"/>
    </xf>
    <xf numFmtId="0" fontId="413" fillId="114" borderId="0" xfId="0" applyFont="1" applyFill="1" applyBorder="1" applyAlignment="1">
      <alignment horizontal="center" vertical="center"/>
    </xf>
    <xf numFmtId="348" fontId="413" fillId="114" borderId="0" xfId="0" applyNumberFormat="1" applyFont="1" applyFill="1" applyBorder="1" applyAlignment="1">
      <alignment vertical="center"/>
    </xf>
    <xf numFmtId="0" fontId="413" fillId="114" borderId="0" xfId="0" applyFont="1" applyFill="1" applyBorder="1" applyAlignment="1">
      <alignment vertical="center"/>
    </xf>
    <xf numFmtId="0" fontId="403" fillId="114" borderId="0" xfId="0" applyFont="1" applyFill="1" applyBorder="1"/>
    <xf numFmtId="41" fontId="413" fillId="114" borderId="0" xfId="7897" applyFont="1" applyFill="1" applyBorder="1" applyAlignment="1">
      <alignment vertical="center"/>
    </xf>
    <xf numFmtId="0" fontId="411" fillId="114" borderId="0" xfId="0" applyFont="1" applyFill="1" applyBorder="1" applyAlignment="1">
      <alignment vertical="center"/>
    </xf>
    <xf numFmtId="182" fontId="391" fillId="114" borderId="0" xfId="0" applyNumberFormat="1" applyFont="1" applyFill="1" applyBorder="1" applyAlignment="1">
      <alignment vertical="center"/>
    </xf>
    <xf numFmtId="41" fontId="413" fillId="114" borderId="0" xfId="0" applyNumberFormat="1" applyFont="1" applyFill="1" applyBorder="1" applyAlignment="1">
      <alignment vertical="center"/>
    </xf>
    <xf numFmtId="0" fontId="410" fillId="114" borderId="0" xfId="0" applyFont="1" applyFill="1" applyBorder="1" applyAlignment="1">
      <alignment vertical="center"/>
    </xf>
    <xf numFmtId="0" fontId="413" fillId="114" borderId="0" xfId="0" applyFont="1" applyFill="1" applyBorder="1"/>
    <xf numFmtId="348" fontId="413" fillId="114" borderId="0" xfId="0" applyNumberFormat="1" applyFont="1" applyFill="1" applyBorder="1"/>
    <xf numFmtId="41" fontId="413" fillId="114" borderId="0" xfId="0" applyNumberFormat="1" applyFont="1" applyFill="1" applyBorder="1"/>
    <xf numFmtId="176" fontId="391" fillId="0" borderId="50" xfId="0" applyNumberFormat="1" applyFont="1" applyBorder="1" applyAlignment="1">
      <alignment vertical="center"/>
    </xf>
    <xf numFmtId="176" fontId="391" fillId="0" borderId="51" xfId="0" applyNumberFormat="1" applyFont="1" applyBorder="1" applyAlignment="1">
      <alignment vertical="center"/>
    </xf>
    <xf numFmtId="176" fontId="391" fillId="0" borderId="52" xfId="0" applyNumberFormat="1" applyFont="1" applyBorder="1" applyAlignment="1">
      <alignment vertical="center"/>
    </xf>
    <xf numFmtId="41" fontId="413" fillId="114" borderId="0" xfId="7897" applyFont="1" applyFill="1" applyBorder="1"/>
    <xf numFmtId="176" fontId="391" fillId="0" borderId="55" xfId="0" applyNumberFormat="1" applyFont="1" applyBorder="1" applyAlignment="1">
      <alignment vertical="center"/>
    </xf>
    <xf numFmtId="176" fontId="391" fillId="0" borderId="56" xfId="0" applyNumberFormat="1" applyFont="1" applyBorder="1" applyAlignment="1">
      <alignment vertical="center"/>
    </xf>
    <xf numFmtId="176" fontId="391" fillId="0" borderId="57" xfId="0" applyNumberFormat="1" applyFont="1" applyBorder="1" applyAlignment="1">
      <alignment vertical="center"/>
    </xf>
    <xf numFmtId="176" fontId="391" fillId="9" borderId="0" xfId="0" applyNumberFormat="1" applyFont="1" applyFill="1" applyBorder="1" applyAlignment="1">
      <alignment vertical="center"/>
    </xf>
    <xf numFmtId="0" fontId="405" fillId="0" borderId="0" xfId="0" applyFont="1" applyBorder="1" applyAlignment="1">
      <alignment vertical="center"/>
    </xf>
    <xf numFmtId="0" fontId="391" fillId="0" borderId="0" xfId="0" applyFont="1" applyBorder="1" applyAlignment="1">
      <alignment horizontal="left" vertical="center"/>
    </xf>
    <xf numFmtId="0" fontId="390" fillId="0" borderId="0" xfId="0" applyFont="1" applyBorder="1" applyAlignment="1">
      <alignment horizontal="left" vertical="center"/>
    </xf>
    <xf numFmtId="176" fontId="390" fillId="0" borderId="0" xfId="0" applyNumberFormat="1" applyFont="1" applyBorder="1" applyAlignment="1">
      <alignment horizontal="right" vertical="center"/>
    </xf>
    <xf numFmtId="176" fontId="390" fillId="114" borderId="0" xfId="0" applyNumberFormat="1" applyFont="1" applyFill="1" applyBorder="1" applyAlignment="1">
      <alignment horizontal="right" vertical="center"/>
    </xf>
    <xf numFmtId="0" fontId="389" fillId="0" borderId="0" xfId="0" applyFont="1" applyBorder="1" applyAlignment="1">
      <alignment vertical="center"/>
    </xf>
    <xf numFmtId="0" fontId="389" fillId="0" borderId="0" xfId="0" applyFont="1" applyBorder="1" applyAlignment="1">
      <alignment horizontal="center" vertical="center"/>
    </xf>
    <xf numFmtId="0" fontId="389" fillId="0" borderId="0" xfId="0" applyFont="1" applyBorder="1" applyAlignment="1">
      <alignment horizontal="left" vertical="center"/>
    </xf>
    <xf numFmtId="41" fontId="391" fillId="114" borderId="0" xfId="1" applyFont="1" applyFill="1" applyBorder="1" applyAlignment="1">
      <alignment horizontal="right" vertical="center"/>
    </xf>
    <xf numFmtId="41" fontId="391" fillId="0" borderId="0" xfId="1" applyFont="1" applyBorder="1" applyAlignment="1">
      <alignment horizontal="right" vertical="center"/>
    </xf>
    <xf numFmtId="0" fontId="391" fillId="0" borderId="0" xfId="0" applyFont="1" applyBorder="1" applyAlignment="1">
      <alignment vertical="center" wrapText="1"/>
    </xf>
    <xf numFmtId="0" fontId="388" fillId="5" borderId="32" xfId="0" applyFont="1" applyFill="1" applyBorder="1" applyAlignment="1">
      <alignment horizontal="center" vertical="center" wrapText="1"/>
    </xf>
    <xf numFmtId="0" fontId="388" fillId="5" borderId="33" xfId="0" applyFont="1" applyFill="1" applyBorder="1" applyAlignment="1">
      <alignment horizontal="center" vertical="center" wrapText="1"/>
    </xf>
    <xf numFmtId="176" fontId="388" fillId="5" borderId="69" xfId="0" applyNumberFormat="1" applyFont="1" applyFill="1" applyBorder="1" applyAlignment="1">
      <alignment horizontal="center" vertical="center" wrapText="1"/>
    </xf>
    <xf numFmtId="0" fontId="391" fillId="0" borderId="33" xfId="0" applyFont="1" applyBorder="1" applyAlignment="1">
      <alignment vertical="center" wrapText="1"/>
    </xf>
    <xf numFmtId="176" fontId="388" fillId="5" borderId="50" xfId="0" applyNumberFormat="1" applyFont="1" applyFill="1" applyBorder="1" applyAlignment="1">
      <alignment horizontal="center" vertical="center" wrapText="1"/>
    </xf>
    <xf numFmtId="176" fontId="388" fillId="5" borderId="51" xfId="0" applyNumberFormat="1" applyFont="1" applyFill="1" applyBorder="1" applyAlignment="1">
      <alignment horizontal="center" vertical="center" wrapText="1"/>
    </xf>
    <xf numFmtId="176" fontId="388" fillId="5" borderId="52" xfId="0" applyNumberFormat="1" applyFont="1" applyFill="1" applyBorder="1" applyAlignment="1">
      <alignment horizontal="center" vertical="center" wrapText="1"/>
    </xf>
    <xf numFmtId="176" fontId="388" fillId="5" borderId="66" xfId="0" applyNumberFormat="1" applyFont="1" applyFill="1" applyBorder="1" applyAlignment="1">
      <alignment horizontal="center" vertical="center" wrapText="1"/>
    </xf>
    <xf numFmtId="0" fontId="405" fillId="2" borderId="35" xfId="0" applyFont="1" applyFill="1" applyBorder="1" applyAlignment="1">
      <alignment vertical="center"/>
    </xf>
    <xf numFmtId="0" fontId="405" fillId="2" borderId="0" xfId="0" applyFont="1" applyFill="1" applyBorder="1" applyAlignment="1">
      <alignment vertical="center"/>
    </xf>
    <xf numFmtId="0" fontId="405" fillId="2" borderId="0" xfId="0" applyFont="1" applyFill="1" applyBorder="1" applyAlignment="1">
      <alignment horizontal="left" vertical="center"/>
    </xf>
    <xf numFmtId="176" fontId="405" fillId="2" borderId="0" xfId="0" applyNumberFormat="1" applyFont="1" applyFill="1" applyBorder="1" applyAlignment="1">
      <alignment horizontal="right" vertical="center"/>
    </xf>
    <xf numFmtId="176" fontId="405" fillId="2" borderId="54" xfId="0" applyNumberFormat="1" applyFont="1" applyFill="1" applyBorder="1" applyAlignment="1">
      <alignment horizontal="right" vertical="center"/>
    </xf>
    <xf numFmtId="176" fontId="405" fillId="2" borderId="53" xfId="0" applyNumberFormat="1" applyFont="1" applyFill="1" applyBorder="1" applyAlignment="1">
      <alignment horizontal="right" vertical="center"/>
    </xf>
    <xf numFmtId="176" fontId="405" fillId="2" borderId="67" xfId="0" applyNumberFormat="1" applyFont="1" applyFill="1" applyBorder="1" applyAlignment="1">
      <alignment horizontal="right" vertical="center"/>
    </xf>
    <xf numFmtId="0" fontId="405" fillId="0" borderId="35" xfId="0" applyFont="1" applyBorder="1" applyAlignment="1">
      <alignment vertical="center"/>
    </xf>
    <xf numFmtId="0" fontId="405" fillId="0" borderId="0" xfId="0" applyFont="1" applyBorder="1" applyAlignment="1">
      <alignment horizontal="left" vertical="center"/>
    </xf>
    <xf numFmtId="176" fontId="405" fillId="0" borderId="0" xfId="0" applyNumberFormat="1" applyFont="1" applyBorder="1" applyAlignment="1">
      <alignment horizontal="right" vertical="center"/>
    </xf>
    <xf numFmtId="176" fontId="405" fillId="0" borderId="54" xfId="0" applyNumberFormat="1" applyFont="1" applyBorder="1" applyAlignment="1">
      <alignment horizontal="right" vertical="center"/>
    </xf>
    <xf numFmtId="176" fontId="405" fillId="0" borderId="53" xfId="0" applyNumberFormat="1" applyFont="1" applyBorder="1" applyAlignment="1">
      <alignment horizontal="right" vertical="center"/>
    </xf>
    <xf numFmtId="176" fontId="405" fillId="0" borderId="67" xfId="0" applyNumberFormat="1" applyFont="1" applyFill="1" applyBorder="1" applyAlignment="1">
      <alignment horizontal="right" vertical="center"/>
    </xf>
    <xf numFmtId="0" fontId="405" fillId="114" borderId="35" xfId="0" applyFont="1" applyFill="1" applyBorder="1" applyAlignment="1">
      <alignment vertical="center"/>
    </xf>
    <xf numFmtId="0" fontId="405" fillId="114" borderId="0" xfId="0" applyFont="1" applyFill="1" applyBorder="1" applyAlignment="1">
      <alignment horizontal="left" vertical="center"/>
    </xf>
    <xf numFmtId="176" fontId="405" fillId="114" borderId="0" xfId="0" applyNumberFormat="1" applyFont="1" applyFill="1" applyBorder="1" applyAlignment="1">
      <alignment horizontal="right" vertical="center"/>
    </xf>
    <xf numFmtId="176" fontId="405" fillId="114" borderId="54" xfId="0" applyNumberFormat="1" applyFont="1" applyFill="1" applyBorder="1" applyAlignment="1">
      <alignment horizontal="right" vertical="center"/>
    </xf>
    <xf numFmtId="176" fontId="405" fillId="114" borderId="67" xfId="0" applyNumberFormat="1" applyFont="1" applyFill="1" applyBorder="1" applyAlignment="1">
      <alignment horizontal="right" vertical="center"/>
    </xf>
    <xf numFmtId="176" fontId="405" fillId="114" borderId="35" xfId="0" applyNumberFormat="1" applyFont="1" applyFill="1" applyBorder="1" applyAlignment="1">
      <alignment vertical="center"/>
    </xf>
    <xf numFmtId="176" fontId="405" fillId="114" borderId="0" xfId="0" applyNumberFormat="1" applyFont="1" applyFill="1" applyBorder="1" applyAlignment="1">
      <alignment horizontal="left" vertical="center"/>
    </xf>
    <xf numFmtId="181" fontId="405" fillId="0" borderId="0" xfId="0" applyNumberFormat="1" applyFont="1" applyAlignment="1">
      <alignment horizontal="left" vertical="center"/>
    </xf>
    <xf numFmtId="0" fontId="405" fillId="0" borderId="35" xfId="0" applyFont="1" applyFill="1" applyBorder="1" applyAlignment="1">
      <alignment vertical="center"/>
    </xf>
    <xf numFmtId="0" fontId="405" fillId="0" borderId="0" xfId="0" applyFont="1" applyFill="1" applyBorder="1" applyAlignment="1">
      <alignment vertical="center"/>
    </xf>
    <xf numFmtId="0" fontId="405" fillId="0" borderId="0" xfId="0" applyFont="1" applyFill="1" applyBorder="1" applyAlignment="1">
      <alignment horizontal="left" vertical="center"/>
    </xf>
    <xf numFmtId="176" fontId="405" fillId="0" borderId="54" xfId="0" applyNumberFormat="1" applyFont="1" applyFill="1" applyBorder="1" applyAlignment="1">
      <alignment horizontal="right" vertical="center"/>
    </xf>
    <xf numFmtId="176" fontId="405" fillId="0" borderId="53" xfId="0" applyNumberFormat="1" applyFont="1" applyFill="1" applyBorder="1" applyAlignment="1">
      <alignment horizontal="right" vertical="center"/>
    </xf>
    <xf numFmtId="176" fontId="405" fillId="0" borderId="0" xfId="0" applyNumberFormat="1" applyFont="1" applyFill="1" applyBorder="1" applyAlignment="1">
      <alignment horizontal="right" vertical="center"/>
    </xf>
    <xf numFmtId="0" fontId="391" fillId="0" borderId="0" xfId="0" applyFont="1" applyFill="1" applyBorder="1" applyAlignment="1">
      <alignment vertical="center"/>
    </xf>
    <xf numFmtId="176" fontId="398" fillId="0" borderId="0" xfId="0" applyNumberFormat="1" applyFont="1" applyBorder="1" applyAlignment="1">
      <alignment horizontal="left" vertical="center" wrapText="1"/>
    </xf>
    <xf numFmtId="176" fontId="405" fillId="9" borderId="0" xfId="0" applyNumberFormat="1" applyFont="1" applyFill="1" applyBorder="1" applyAlignment="1">
      <alignment vertical="center"/>
    </xf>
    <xf numFmtId="176" fontId="405" fillId="114" borderId="53" xfId="0" applyNumberFormat="1" applyFont="1" applyFill="1" applyBorder="1" applyAlignment="1">
      <alignment horizontal="right" vertical="center"/>
    </xf>
    <xf numFmtId="176" fontId="405" fillId="0" borderId="67" xfId="0" applyNumberFormat="1" applyFont="1" applyBorder="1" applyAlignment="1">
      <alignment horizontal="right" vertical="center"/>
    </xf>
    <xf numFmtId="0" fontId="405" fillId="0" borderId="37" xfId="0" applyFont="1" applyBorder="1" applyAlignment="1">
      <alignment vertical="center"/>
    </xf>
    <xf numFmtId="0" fontId="405" fillId="0" borderId="38" xfId="0" applyFont="1" applyBorder="1" applyAlignment="1">
      <alignment vertical="center"/>
    </xf>
    <xf numFmtId="0" fontId="405" fillId="0" borderId="38" xfId="0" applyFont="1" applyBorder="1" applyAlignment="1">
      <alignment horizontal="left" vertical="center"/>
    </xf>
    <xf numFmtId="176" fontId="405" fillId="0" borderId="38" xfId="0" applyNumberFormat="1" applyFont="1" applyBorder="1" applyAlignment="1">
      <alignment horizontal="right" vertical="center"/>
    </xf>
    <xf numFmtId="0" fontId="391" fillId="0" borderId="38" xfId="0" applyFont="1" applyBorder="1" applyAlignment="1">
      <alignment vertical="center"/>
    </xf>
    <xf numFmtId="176" fontId="405" fillId="0" borderId="55" xfId="0" applyNumberFormat="1" applyFont="1" applyBorder="1" applyAlignment="1">
      <alignment horizontal="right" vertical="center"/>
    </xf>
    <xf numFmtId="176" fontId="405" fillId="0" borderId="56" xfId="0" applyNumberFormat="1" applyFont="1" applyBorder="1" applyAlignment="1">
      <alignment horizontal="right" vertical="center"/>
    </xf>
    <xf numFmtId="176" fontId="405" fillId="0" borderId="57" xfId="0" applyNumberFormat="1" applyFont="1" applyBorder="1" applyAlignment="1">
      <alignment horizontal="right" vertical="center"/>
    </xf>
    <xf numFmtId="176" fontId="405" fillId="0" borderId="68" xfId="0" applyNumberFormat="1" applyFont="1" applyBorder="1" applyAlignment="1">
      <alignment horizontal="right" vertical="center"/>
    </xf>
    <xf numFmtId="0" fontId="391" fillId="0" borderId="50" xfId="0" applyFont="1" applyBorder="1" applyAlignment="1">
      <alignment vertical="center"/>
    </xf>
    <xf numFmtId="0" fontId="391" fillId="0" borderId="51" xfId="0" applyFont="1" applyBorder="1" applyAlignment="1">
      <alignment vertical="center"/>
    </xf>
    <xf numFmtId="0" fontId="391" fillId="0" borderId="51" xfId="0" applyFont="1" applyBorder="1" applyAlignment="1">
      <alignment horizontal="left" vertical="center"/>
    </xf>
    <xf numFmtId="176" fontId="391" fillId="0" borderId="51" xfId="0" applyNumberFormat="1" applyFont="1" applyBorder="1" applyAlignment="1">
      <alignment horizontal="right" vertical="center"/>
    </xf>
    <xf numFmtId="176" fontId="391" fillId="0" borderId="52" xfId="0" applyNumberFormat="1" applyFont="1" applyBorder="1" applyAlignment="1">
      <alignment horizontal="right" vertical="center"/>
    </xf>
    <xf numFmtId="0" fontId="391" fillId="0" borderId="53" xfId="0" applyFont="1" applyBorder="1" applyAlignment="1">
      <alignment vertical="center"/>
    </xf>
    <xf numFmtId="176" fontId="391" fillId="0" borderId="54" xfId="0" applyNumberFormat="1" applyFont="1" applyBorder="1" applyAlignment="1">
      <alignment horizontal="right" vertical="center"/>
    </xf>
    <xf numFmtId="0" fontId="391" fillId="0" borderId="55" xfId="0" applyFont="1" applyBorder="1" applyAlignment="1">
      <alignment vertical="center"/>
    </xf>
    <xf numFmtId="0" fontId="391" fillId="0" borderId="56" xfId="0" applyFont="1" applyBorder="1" applyAlignment="1">
      <alignment vertical="center"/>
    </xf>
    <xf numFmtId="0" fontId="391" fillId="0" borderId="56" xfId="0" applyFont="1" applyBorder="1" applyAlignment="1">
      <alignment horizontal="left" vertical="center"/>
    </xf>
    <xf numFmtId="176" fontId="391" fillId="0" borderId="56" xfId="0" applyNumberFormat="1" applyFont="1" applyBorder="1" applyAlignment="1">
      <alignment horizontal="right" vertical="center"/>
    </xf>
    <xf numFmtId="176" fontId="391" fillId="0" borderId="57" xfId="0" applyNumberFormat="1" applyFont="1" applyBorder="1" applyAlignment="1">
      <alignment horizontal="right" vertical="center"/>
    </xf>
    <xf numFmtId="41" fontId="391" fillId="0" borderId="0" xfId="1" applyFont="1" applyBorder="1" applyAlignment="1">
      <alignment horizontal="left" vertical="center"/>
    </xf>
    <xf numFmtId="0" fontId="390" fillId="0" borderId="0" xfId="0" applyFont="1" applyBorder="1" applyAlignment="1">
      <alignment horizontal="center" vertical="center"/>
    </xf>
    <xf numFmtId="0" fontId="395" fillId="0" borderId="0" xfId="0" applyFont="1" applyBorder="1" applyAlignment="1">
      <alignment vertical="center"/>
    </xf>
    <xf numFmtId="0" fontId="388" fillId="29" borderId="33" xfId="0" applyFont="1" applyFill="1" applyBorder="1" applyAlignment="1">
      <alignment horizontal="center" vertical="center" wrapText="1"/>
    </xf>
    <xf numFmtId="0" fontId="388" fillId="5" borderId="34" xfId="0" applyFont="1" applyFill="1" applyBorder="1" applyAlignment="1">
      <alignment horizontal="center" vertical="center" wrapText="1"/>
    </xf>
    <xf numFmtId="0" fontId="389" fillId="4" borderId="35" xfId="0" applyFont="1" applyFill="1" applyBorder="1" applyAlignment="1">
      <alignment horizontal="center" vertical="center"/>
    </xf>
    <xf numFmtId="0" fontId="389" fillId="4" borderId="0" xfId="0" applyFont="1" applyFill="1" applyBorder="1" applyAlignment="1">
      <alignment vertical="center"/>
    </xf>
    <xf numFmtId="0" fontId="391" fillId="4" borderId="0" xfId="0" applyFont="1" applyFill="1" applyBorder="1" applyAlignment="1">
      <alignment horizontal="center" vertical="center"/>
    </xf>
    <xf numFmtId="0" fontId="389" fillId="4" borderId="0" xfId="0" applyFont="1" applyFill="1" applyBorder="1" applyAlignment="1">
      <alignment horizontal="left" vertical="center"/>
    </xf>
    <xf numFmtId="176" fontId="389" fillId="4" borderId="0" xfId="0" applyNumberFormat="1" applyFont="1" applyFill="1" applyBorder="1" applyAlignment="1">
      <alignment horizontal="left" vertical="center" indent="1"/>
    </xf>
    <xf numFmtId="0" fontId="389" fillId="2" borderId="35" xfId="0" applyFont="1" applyFill="1" applyBorder="1" applyAlignment="1">
      <alignment horizontal="center" vertical="center"/>
    </xf>
    <xf numFmtId="0" fontId="389" fillId="2" borderId="0" xfId="0" applyFont="1" applyFill="1" applyBorder="1" applyAlignment="1">
      <alignment vertical="center"/>
    </xf>
    <xf numFmtId="0" fontId="391" fillId="2" borderId="0" xfId="0" applyFont="1" applyFill="1" applyBorder="1" applyAlignment="1">
      <alignment horizontal="center" vertical="center"/>
    </xf>
    <xf numFmtId="0" fontId="389" fillId="2" borderId="0" xfId="0" applyFont="1" applyFill="1" applyBorder="1" applyAlignment="1">
      <alignment horizontal="left" vertical="center"/>
    </xf>
    <xf numFmtId="176" fontId="389" fillId="2" borderId="0" xfId="0" applyNumberFormat="1" applyFont="1" applyFill="1" applyBorder="1" applyAlignment="1">
      <alignment horizontal="left" vertical="center" indent="1"/>
    </xf>
    <xf numFmtId="0" fontId="389" fillId="3" borderId="35" xfId="0" applyFont="1" applyFill="1" applyBorder="1" applyAlignment="1">
      <alignment horizontal="center" vertical="center"/>
    </xf>
    <xf numFmtId="0" fontId="389" fillId="3" borderId="0" xfId="0" applyFont="1" applyFill="1" applyBorder="1" applyAlignment="1">
      <alignment vertical="center"/>
    </xf>
    <xf numFmtId="0" fontId="391" fillId="3" borderId="0" xfId="0" applyFont="1" applyFill="1" applyBorder="1" applyAlignment="1">
      <alignment horizontal="center" vertical="center"/>
    </xf>
    <xf numFmtId="0" fontId="389" fillId="3" borderId="0" xfId="0" applyFont="1" applyFill="1" applyBorder="1" applyAlignment="1">
      <alignment horizontal="left" vertical="center"/>
    </xf>
    <xf numFmtId="176" fontId="389" fillId="3" borderId="0" xfId="0" applyNumberFormat="1" applyFont="1" applyFill="1" applyBorder="1" applyAlignment="1">
      <alignment horizontal="left" vertical="center" indent="1"/>
    </xf>
    <xf numFmtId="0" fontId="391" fillId="0" borderId="35" xfId="0" applyFont="1" applyBorder="1" applyAlignment="1">
      <alignment horizontal="center" vertical="center"/>
    </xf>
    <xf numFmtId="0" fontId="390" fillId="0" borderId="35" xfId="0" applyFont="1" applyBorder="1" applyAlignment="1">
      <alignment horizontal="center" vertical="center"/>
    </xf>
    <xf numFmtId="0" fontId="389" fillId="0" borderId="38" xfId="0" applyFont="1" applyBorder="1" applyAlignment="1">
      <alignment vertical="center"/>
    </xf>
    <xf numFmtId="0" fontId="391" fillId="0" borderId="38" xfId="0" applyFont="1" applyBorder="1" applyAlignment="1">
      <alignment horizontal="center" vertical="center"/>
    </xf>
    <xf numFmtId="0" fontId="389" fillId="0" borderId="38" xfId="0" applyFont="1" applyBorder="1" applyAlignment="1">
      <alignment horizontal="left" vertical="center"/>
    </xf>
    <xf numFmtId="176" fontId="391" fillId="0" borderId="38" xfId="0" applyNumberFormat="1" applyFont="1" applyBorder="1" applyAlignment="1">
      <alignment horizontal="left" vertical="center" indent="1"/>
    </xf>
    <xf numFmtId="184" fontId="390" fillId="0" borderId="0" xfId="0" applyNumberFormat="1" applyFont="1" applyBorder="1" applyAlignment="1">
      <alignment vertical="center"/>
    </xf>
    <xf numFmtId="176" fontId="390" fillId="114" borderId="0" xfId="0" applyNumberFormat="1" applyFont="1" applyFill="1" applyBorder="1" applyAlignment="1">
      <alignment horizontal="center" vertical="center"/>
    </xf>
    <xf numFmtId="41" fontId="391" fillId="0" borderId="0" xfId="1" applyFont="1" applyBorder="1" applyAlignment="1">
      <alignment horizontal="center" vertical="center"/>
    </xf>
    <xf numFmtId="10" fontId="390" fillId="0" borderId="0" xfId="2" applyNumberFormat="1" applyFont="1" applyBorder="1" applyAlignment="1">
      <alignment horizontal="center" vertical="center"/>
    </xf>
    <xf numFmtId="41" fontId="390" fillId="0" borderId="0" xfId="1" applyFont="1" applyBorder="1" applyAlignment="1">
      <alignment horizontal="center" vertical="center"/>
    </xf>
    <xf numFmtId="0" fontId="390" fillId="0" borderId="0" xfId="0" applyFont="1" applyAlignment="1">
      <alignment horizontal="center" vertical="center"/>
    </xf>
    <xf numFmtId="176" fontId="388" fillId="29" borderId="46" xfId="0" applyNumberFormat="1" applyFont="1" applyFill="1" applyBorder="1" applyAlignment="1">
      <alignment horizontal="center" vertical="center" wrapText="1"/>
    </xf>
    <xf numFmtId="176" fontId="388" fillId="5" borderId="46" xfId="0" applyNumberFormat="1" applyFont="1" applyFill="1" applyBorder="1" applyAlignment="1">
      <alignment horizontal="center" vertical="center" wrapText="1"/>
    </xf>
    <xf numFmtId="0" fontId="388" fillId="5" borderId="46" xfId="0" applyFont="1" applyFill="1" applyBorder="1" applyAlignment="1">
      <alignment horizontal="center" vertical="center" wrapText="1"/>
    </xf>
    <xf numFmtId="0" fontId="389" fillId="2" borderId="0" xfId="0" applyFont="1" applyFill="1" applyBorder="1" applyAlignment="1">
      <alignment horizontal="center" vertical="center"/>
    </xf>
    <xf numFmtId="176" fontId="389" fillId="2" borderId="0" xfId="0" applyNumberFormat="1" applyFont="1" applyFill="1" applyAlignment="1">
      <alignment horizontal="right" vertical="center"/>
    </xf>
    <xf numFmtId="176" fontId="389" fillId="2" borderId="0" xfId="0" applyNumberFormat="1" applyFont="1" applyFill="1" applyBorder="1" applyAlignment="1">
      <alignment horizontal="right" vertical="center"/>
    </xf>
    <xf numFmtId="176" fontId="389" fillId="2" borderId="36" xfId="0" applyNumberFormat="1" applyFont="1" applyFill="1" applyBorder="1" applyAlignment="1">
      <alignment horizontal="right" vertical="center"/>
    </xf>
    <xf numFmtId="176" fontId="389" fillId="2" borderId="53" xfId="0" applyNumberFormat="1" applyFont="1" applyFill="1" applyBorder="1" applyAlignment="1">
      <alignment horizontal="right" vertical="center"/>
    </xf>
    <xf numFmtId="176" fontId="389" fillId="2" borderId="54" xfId="0" applyNumberFormat="1" applyFont="1" applyFill="1" applyBorder="1" applyAlignment="1">
      <alignment horizontal="right" vertical="center"/>
    </xf>
    <xf numFmtId="176" fontId="389" fillId="2" borderId="47" xfId="0" applyNumberFormat="1" applyFont="1" applyFill="1" applyBorder="1" applyAlignment="1">
      <alignment horizontal="right" vertical="center"/>
    </xf>
    <xf numFmtId="176" fontId="389" fillId="2" borderId="35" xfId="0" applyNumberFormat="1" applyFont="1" applyFill="1" applyBorder="1" applyAlignment="1">
      <alignment horizontal="right" vertical="center"/>
    </xf>
    <xf numFmtId="41" fontId="389" fillId="2" borderId="36" xfId="1" applyFont="1" applyFill="1" applyBorder="1" applyAlignment="1">
      <alignment horizontal="right" vertical="center"/>
    </xf>
    <xf numFmtId="176" fontId="391" fillId="0" borderId="47" xfId="0" applyNumberFormat="1" applyFont="1" applyBorder="1" applyAlignment="1">
      <alignment vertical="center"/>
    </xf>
    <xf numFmtId="41" fontId="391" fillId="0" borderId="47" xfId="1" applyFont="1" applyBorder="1" applyAlignment="1">
      <alignment vertical="center"/>
    </xf>
    <xf numFmtId="41" fontId="391" fillId="0" borderId="36" xfId="1" applyFont="1" applyBorder="1" applyAlignment="1">
      <alignment vertical="center"/>
    </xf>
    <xf numFmtId="176" fontId="389" fillId="2" borderId="0" xfId="0" applyNumberFormat="1" applyFont="1" applyFill="1" applyAlignment="1">
      <alignment vertical="center"/>
    </xf>
    <xf numFmtId="176" fontId="389" fillId="2" borderId="53" xfId="0" applyNumberFormat="1" applyFont="1" applyFill="1" applyBorder="1" applyAlignment="1">
      <alignment vertical="center"/>
    </xf>
    <xf numFmtId="176" fontId="389" fillId="2" borderId="54" xfId="0" applyNumberFormat="1" applyFont="1" applyFill="1" applyBorder="1" applyAlignment="1">
      <alignment vertical="center"/>
    </xf>
    <xf numFmtId="176" fontId="389" fillId="2" borderId="47" xfId="0" applyNumberFormat="1" applyFont="1" applyFill="1" applyBorder="1" applyAlignment="1">
      <alignment vertical="center"/>
    </xf>
    <xf numFmtId="176" fontId="389" fillId="2" borderId="35" xfId="0" applyNumberFormat="1" applyFont="1" applyFill="1" applyBorder="1" applyAlignment="1">
      <alignment vertical="center"/>
    </xf>
    <xf numFmtId="0" fontId="391" fillId="0" borderId="35" xfId="0" applyFont="1" applyFill="1" applyBorder="1" applyAlignment="1">
      <alignment horizontal="center" vertical="center"/>
    </xf>
    <xf numFmtId="0" fontId="391" fillId="0" borderId="0" xfId="0" applyFont="1" applyFill="1" applyBorder="1" applyAlignment="1">
      <alignment horizontal="center" vertical="center"/>
    </xf>
    <xf numFmtId="181" fontId="391" fillId="0" borderId="0" xfId="0" applyNumberFormat="1" applyFont="1" applyAlignment="1">
      <alignment horizontal="left" vertical="center"/>
    </xf>
    <xf numFmtId="0" fontId="389" fillId="3" borderId="0" xfId="0" applyFont="1" applyFill="1" applyBorder="1" applyAlignment="1">
      <alignment horizontal="center" vertical="center"/>
    </xf>
    <xf numFmtId="176" fontId="389" fillId="3" borderId="53" xfId="0" applyNumberFormat="1" applyFont="1" applyFill="1" applyBorder="1" applyAlignment="1">
      <alignment vertical="center"/>
    </xf>
    <xf numFmtId="176" fontId="389" fillId="3" borderId="54" xfId="0" applyNumberFormat="1" applyFont="1" applyFill="1" applyBorder="1" applyAlignment="1">
      <alignment vertical="center"/>
    </xf>
    <xf numFmtId="176" fontId="389" fillId="3" borderId="47" xfId="0" applyNumberFormat="1" applyFont="1" applyFill="1" applyBorder="1" applyAlignment="1">
      <alignment vertical="center"/>
    </xf>
    <xf numFmtId="176" fontId="389" fillId="3" borderId="35" xfId="0" applyNumberFormat="1" applyFont="1" applyFill="1" applyBorder="1" applyAlignment="1">
      <alignment vertical="center"/>
    </xf>
    <xf numFmtId="41" fontId="389" fillId="3" borderId="36" xfId="1" applyFont="1" applyFill="1" applyBorder="1" applyAlignment="1">
      <alignment vertical="center"/>
    </xf>
    <xf numFmtId="0" fontId="405" fillId="0" borderId="35" xfId="0" applyFont="1" applyBorder="1" applyAlignment="1">
      <alignment horizontal="center" vertical="center"/>
    </xf>
    <xf numFmtId="0" fontId="405" fillId="0" borderId="0" xfId="0" applyFont="1" applyBorder="1" applyAlignment="1">
      <alignment horizontal="center" vertical="center"/>
    </xf>
    <xf numFmtId="181" fontId="405" fillId="0" borderId="35" xfId="0" applyNumberFormat="1" applyFont="1" applyBorder="1" applyAlignment="1">
      <alignment horizontal="center" vertical="center"/>
    </xf>
    <xf numFmtId="176" fontId="391" fillId="114" borderId="35" xfId="0" applyNumberFormat="1" applyFont="1" applyFill="1" applyBorder="1" applyAlignment="1">
      <alignment vertical="center"/>
    </xf>
    <xf numFmtId="0" fontId="390" fillId="114" borderId="35" xfId="0" applyFont="1" applyFill="1" applyBorder="1" applyAlignment="1">
      <alignment horizontal="center" vertical="center"/>
    </xf>
    <xf numFmtId="0" fontId="390" fillId="114" borderId="0" xfId="0" applyFont="1" applyFill="1" applyBorder="1" applyAlignment="1">
      <alignment vertical="center"/>
    </xf>
    <xf numFmtId="0" fontId="390" fillId="114" borderId="0" xfId="4" applyNumberFormat="1" applyFont="1" applyFill="1" applyBorder="1" applyAlignment="1">
      <alignment horizontal="center" vertical="center"/>
    </xf>
    <xf numFmtId="176" fontId="391" fillId="114" borderId="36" xfId="0" applyNumberFormat="1" applyFont="1" applyFill="1" applyBorder="1" applyAlignment="1">
      <alignment vertical="center"/>
    </xf>
    <xf numFmtId="176" fontId="391" fillId="114" borderId="47" xfId="0" applyNumberFormat="1" applyFont="1" applyFill="1" applyBorder="1" applyAlignment="1">
      <alignment vertical="center"/>
    </xf>
    <xf numFmtId="41" fontId="391" fillId="114" borderId="47" xfId="1" applyFont="1" applyFill="1" applyBorder="1" applyAlignment="1">
      <alignment vertical="center"/>
    </xf>
    <xf numFmtId="41" fontId="391" fillId="114" borderId="36" xfId="1" applyFont="1" applyFill="1" applyBorder="1" applyAlignment="1">
      <alignment vertical="center"/>
    </xf>
    <xf numFmtId="0" fontId="405" fillId="0" borderId="35" xfId="0" applyFont="1" applyFill="1" applyBorder="1" applyAlignment="1">
      <alignment horizontal="center" vertical="center"/>
    </xf>
    <xf numFmtId="0" fontId="405" fillId="0" borderId="0" xfId="0" applyFont="1" applyFill="1" applyBorder="1" applyAlignment="1">
      <alignment horizontal="center" vertical="center"/>
    </xf>
    <xf numFmtId="0" fontId="391" fillId="0" borderId="37" xfId="0" applyFont="1" applyBorder="1" applyAlignment="1">
      <alignment horizontal="center" vertical="center"/>
    </xf>
    <xf numFmtId="176" fontId="391" fillId="0" borderId="48" xfId="0" applyNumberFormat="1" applyFont="1" applyBorder="1" applyAlignment="1">
      <alignment vertical="center"/>
    </xf>
    <xf numFmtId="41" fontId="391" fillId="0" borderId="48" xfId="1" applyFont="1" applyBorder="1" applyAlignment="1">
      <alignment vertical="center"/>
    </xf>
    <xf numFmtId="41" fontId="391" fillId="0" borderId="39" xfId="1" applyFont="1" applyBorder="1" applyAlignment="1">
      <alignment vertical="center"/>
    </xf>
    <xf numFmtId="176" fontId="395" fillId="0" borderId="0" xfId="0" applyNumberFormat="1" applyFont="1" applyBorder="1" applyAlignment="1">
      <alignment vertical="center"/>
    </xf>
    <xf numFmtId="10" fontId="391" fillId="0" borderId="0" xfId="2" applyNumberFormat="1" applyFont="1" applyBorder="1" applyAlignment="1">
      <alignment vertical="center"/>
    </xf>
    <xf numFmtId="3" fontId="391" fillId="0" borderId="0" xfId="0" applyNumberFormat="1" applyFont="1" applyBorder="1" applyAlignment="1">
      <alignment vertical="center"/>
    </xf>
    <xf numFmtId="0" fontId="391" fillId="114" borderId="0" xfId="0" applyFont="1" applyFill="1" applyAlignment="1">
      <alignment vertical="center"/>
    </xf>
    <xf numFmtId="176" fontId="390" fillId="114" borderId="0" xfId="0" applyNumberFormat="1" applyFont="1" applyFill="1" applyAlignment="1">
      <alignment vertical="center"/>
    </xf>
    <xf numFmtId="0" fontId="390" fillId="114" borderId="0" xfId="0" applyFont="1" applyFill="1" applyAlignment="1">
      <alignment vertical="center"/>
    </xf>
    <xf numFmtId="3" fontId="390" fillId="114" borderId="0" xfId="0" applyNumberFormat="1" applyFont="1" applyFill="1" applyAlignment="1">
      <alignment vertical="center"/>
    </xf>
    <xf numFmtId="41" fontId="390" fillId="0" borderId="0" xfId="1" applyFont="1" applyAlignment="1">
      <alignment vertical="center"/>
    </xf>
    <xf numFmtId="0" fontId="390" fillId="114" borderId="0" xfId="0" applyFont="1" applyFill="1" applyAlignment="1">
      <alignment horizontal="center" vertical="center"/>
    </xf>
    <xf numFmtId="10" fontId="390" fillId="114" borderId="0" xfId="2" applyNumberFormat="1" applyFont="1" applyFill="1" applyAlignment="1">
      <alignment horizontal="center" vertical="center"/>
    </xf>
    <xf numFmtId="41" fontId="390" fillId="0" borderId="0" xfId="1" applyFont="1" applyAlignment="1">
      <alignment horizontal="center" vertical="center"/>
    </xf>
    <xf numFmtId="0" fontId="389" fillId="0" borderId="0" xfId="0" applyFont="1" applyAlignment="1">
      <alignment vertical="center" wrapText="1"/>
    </xf>
    <xf numFmtId="0" fontId="389" fillId="0" borderId="0" xfId="0" applyFont="1" applyBorder="1" applyAlignment="1">
      <alignment vertical="center" wrapText="1"/>
    </xf>
    <xf numFmtId="0" fontId="389" fillId="114" borderId="0" xfId="0" applyFont="1" applyFill="1" applyAlignment="1">
      <alignment vertical="center" wrapText="1"/>
    </xf>
    <xf numFmtId="176" fontId="389" fillId="4" borderId="0" xfId="0" applyNumberFormat="1" applyFont="1" applyFill="1" applyAlignment="1">
      <alignment vertical="center"/>
    </xf>
    <xf numFmtId="176" fontId="389" fillId="4" borderId="35" xfId="0" applyNumberFormat="1" applyFont="1" applyFill="1" applyBorder="1" applyAlignment="1">
      <alignment vertical="center"/>
    </xf>
    <xf numFmtId="176" fontId="389" fillId="4" borderId="47" xfId="0" applyNumberFormat="1" applyFont="1" applyFill="1" applyBorder="1" applyAlignment="1">
      <alignment vertical="center"/>
    </xf>
    <xf numFmtId="176" fontId="391" fillId="0" borderId="35" xfId="0" applyNumberFormat="1" applyFont="1" applyFill="1" applyBorder="1" applyAlignment="1">
      <alignment vertical="center"/>
    </xf>
    <xf numFmtId="0" fontId="391" fillId="0" borderId="0" xfId="0" applyFont="1" applyFill="1" applyAlignment="1">
      <alignment vertical="center"/>
    </xf>
    <xf numFmtId="0" fontId="389" fillId="3" borderId="35" xfId="0" applyFont="1" applyFill="1" applyBorder="1" applyAlignment="1">
      <alignment vertical="center"/>
    </xf>
    <xf numFmtId="0" fontId="391" fillId="114" borderId="35" xfId="0" applyFont="1" applyFill="1" applyBorder="1" applyAlignment="1">
      <alignment horizontal="center" vertical="center"/>
    </xf>
    <xf numFmtId="0" fontId="391" fillId="114" borderId="0" xfId="0" applyFont="1" applyFill="1" applyBorder="1" applyAlignment="1">
      <alignment horizontal="center" vertical="center"/>
    </xf>
    <xf numFmtId="176" fontId="391" fillId="0" borderId="36" xfId="0" applyNumberFormat="1" applyFont="1" applyFill="1" applyBorder="1" applyAlignment="1">
      <alignment vertical="center"/>
    </xf>
    <xf numFmtId="181" fontId="391" fillId="0" borderId="53" xfId="0" applyNumberFormat="1" applyFont="1" applyBorder="1" applyAlignment="1">
      <alignment horizontal="center" vertical="center"/>
    </xf>
    <xf numFmtId="0" fontId="405" fillId="114" borderId="0" xfId="0" applyFont="1" applyFill="1" applyBorder="1" applyAlignment="1">
      <alignment horizontal="center" vertical="center"/>
    </xf>
    <xf numFmtId="0" fontId="405" fillId="114" borderId="35" xfId="0" applyFont="1" applyFill="1" applyBorder="1" applyAlignment="1">
      <alignment horizontal="center" vertical="center"/>
    </xf>
    <xf numFmtId="0" fontId="389" fillId="114" borderId="0" xfId="0" applyFont="1" applyFill="1" applyAlignment="1">
      <alignment vertical="center"/>
    </xf>
    <xf numFmtId="0" fontId="391" fillId="0" borderId="35" xfId="0" applyFont="1" applyBorder="1" applyAlignment="1">
      <alignment vertical="center"/>
    </xf>
    <xf numFmtId="176" fontId="389" fillId="4" borderId="48" xfId="0" applyNumberFormat="1" applyFont="1" applyFill="1" applyBorder="1" applyAlignment="1">
      <alignment vertical="center"/>
    </xf>
    <xf numFmtId="0" fontId="389" fillId="4" borderId="37" xfId="0" applyFont="1" applyFill="1" applyBorder="1" applyAlignment="1">
      <alignment horizontal="center" vertical="center"/>
    </xf>
    <xf numFmtId="0" fontId="389" fillId="4" borderId="38" xfId="0" applyFont="1" applyFill="1" applyBorder="1" applyAlignment="1">
      <alignment vertical="center"/>
    </xf>
    <xf numFmtId="0" fontId="391" fillId="4" borderId="38" xfId="0" applyFont="1" applyFill="1" applyBorder="1" applyAlignment="1">
      <alignment horizontal="center" vertical="center"/>
    </xf>
    <xf numFmtId="176" fontId="389" fillId="4" borderId="38" xfId="0" applyNumberFormat="1" applyFont="1" applyFill="1" applyBorder="1" applyAlignment="1">
      <alignment vertical="center"/>
    </xf>
    <xf numFmtId="176" fontId="389" fillId="4" borderId="39" xfId="0" applyNumberFormat="1" applyFont="1" applyFill="1" applyBorder="1" applyAlignment="1">
      <alignment vertical="center"/>
    </xf>
    <xf numFmtId="176" fontId="389" fillId="4" borderId="37" xfId="0" applyNumberFormat="1" applyFont="1" applyFill="1" applyBorder="1" applyAlignment="1">
      <alignment vertical="center"/>
    </xf>
    <xf numFmtId="0" fontId="389" fillId="0" borderId="0" xfId="0" applyFont="1" applyAlignment="1">
      <alignment horizontal="left" vertical="center"/>
    </xf>
    <xf numFmtId="0" fontId="391" fillId="114" borderId="0" xfId="0" applyFont="1" applyFill="1" applyAlignment="1">
      <alignment horizontal="center" vertical="center"/>
    </xf>
    <xf numFmtId="41" fontId="391" fillId="114" borderId="0" xfId="1" applyFont="1" applyFill="1" applyAlignment="1">
      <alignment horizontal="center" vertical="center"/>
    </xf>
    <xf numFmtId="41" fontId="391" fillId="0" borderId="0" xfId="1" applyFont="1" applyAlignment="1">
      <alignment horizontal="center" vertical="center"/>
    </xf>
    <xf numFmtId="0" fontId="391" fillId="0" borderId="94" xfId="0" applyFont="1" applyBorder="1" applyAlignment="1">
      <alignment horizontal="center" vertical="center"/>
    </xf>
    <xf numFmtId="184" fontId="391" fillId="0" borderId="0" xfId="0" applyNumberFormat="1" applyFont="1" applyFill="1" applyBorder="1" applyAlignment="1">
      <alignment vertical="center"/>
    </xf>
    <xf numFmtId="184" fontId="391" fillId="114" borderId="0" xfId="0" applyNumberFormat="1" applyFont="1" applyFill="1" applyBorder="1" applyAlignment="1">
      <alignment vertical="center"/>
    </xf>
    <xf numFmtId="0" fontId="405" fillId="0" borderId="94" xfId="0" applyFont="1" applyBorder="1" applyAlignment="1">
      <alignment horizontal="center" vertical="center"/>
    </xf>
    <xf numFmtId="3" fontId="391" fillId="114" borderId="0" xfId="0" applyNumberFormat="1" applyFont="1" applyFill="1" applyAlignment="1">
      <alignment horizontal="center" vertical="center"/>
    </xf>
    <xf numFmtId="0" fontId="388" fillId="0" borderId="0" xfId="0" applyFont="1" applyFill="1" applyBorder="1" applyAlignment="1">
      <alignment horizontal="center" vertical="center" wrapText="1"/>
    </xf>
    <xf numFmtId="176" fontId="388" fillId="114" borderId="0" xfId="0" applyNumberFormat="1" applyFont="1" applyFill="1" applyBorder="1" applyAlignment="1">
      <alignment horizontal="center" vertical="center" wrapText="1"/>
    </xf>
    <xf numFmtId="0" fontId="410" fillId="113" borderId="122" xfId="0" applyFont="1" applyFill="1" applyBorder="1" applyAlignment="1">
      <alignment horizontal="center"/>
    </xf>
    <xf numFmtId="0" fontId="410" fillId="9" borderId="122" xfId="0" applyFont="1" applyFill="1" applyBorder="1"/>
    <xf numFmtId="0" fontId="410" fillId="0" borderId="122" xfId="0" applyFont="1" applyBorder="1"/>
    <xf numFmtId="41" fontId="403" fillId="0" borderId="122" xfId="1" applyFont="1" applyFill="1" applyBorder="1" applyAlignment="1">
      <alignment horizontal="center" vertical="center"/>
    </xf>
    <xf numFmtId="41" fontId="412" fillId="0" borderId="122" xfId="1" applyFont="1" applyFill="1" applyBorder="1" applyAlignment="1">
      <alignment horizontal="center" vertical="center" wrapText="1"/>
    </xf>
    <xf numFmtId="181" fontId="405" fillId="0" borderId="0" xfId="0" applyNumberFormat="1" applyFont="1" applyFill="1" applyBorder="1" applyAlignment="1">
      <alignment horizontal="right" vertical="center"/>
    </xf>
    <xf numFmtId="0" fontId="400" fillId="0" borderId="0" xfId="0" applyFont="1" applyAlignment="1">
      <alignment vertical="center"/>
    </xf>
    <xf numFmtId="0" fontId="401" fillId="0" borderId="0" xfId="0" applyFont="1" applyAlignment="1">
      <alignment vertical="center"/>
    </xf>
    <xf numFmtId="0" fontId="401" fillId="0" borderId="0" xfId="0" applyFont="1" applyAlignment="1">
      <alignment horizontal="center" vertical="center"/>
    </xf>
    <xf numFmtId="184" fontId="400" fillId="0" borderId="0" xfId="0" applyNumberFormat="1" applyFont="1" applyAlignment="1">
      <alignment vertical="center"/>
    </xf>
    <xf numFmtId="0" fontId="391" fillId="0" borderId="0" xfId="0" applyFont="1" applyAlignment="1">
      <alignment horizontal="right" vertical="center"/>
    </xf>
    <xf numFmtId="0" fontId="400" fillId="18" borderId="138" xfId="172" applyFont="1" applyFill="1" applyBorder="1" applyAlignment="1">
      <alignment horizontal="centerContinuous" vertical="center"/>
    </xf>
    <xf numFmtId="0" fontId="400" fillId="18" borderId="126" xfId="172" applyFont="1" applyFill="1" applyAlignment="1">
      <alignment horizontal="centerContinuous" vertical="center"/>
    </xf>
    <xf numFmtId="0" fontId="400" fillId="18" borderId="133" xfId="172" applyFont="1" applyFill="1" applyBorder="1" applyAlignment="1">
      <alignment horizontal="centerContinuous" vertical="center"/>
    </xf>
    <xf numFmtId="0" fontId="400" fillId="18" borderId="126" xfId="172" applyFont="1" applyFill="1" applyBorder="1" applyAlignment="1">
      <alignment horizontal="centerContinuous" vertical="center"/>
    </xf>
    <xf numFmtId="0" fontId="400" fillId="18" borderId="138" xfId="172" applyFont="1" applyFill="1" applyBorder="1" applyAlignment="1">
      <alignment horizontal="center" vertical="center"/>
    </xf>
    <xf numFmtId="0" fontId="400" fillId="18" borderId="126" xfId="172" applyFont="1" applyFill="1" applyAlignment="1">
      <alignment horizontal="center" vertical="center"/>
    </xf>
    <xf numFmtId="0" fontId="400" fillId="18" borderId="133" xfId="172" applyFont="1" applyFill="1" applyBorder="1" applyAlignment="1">
      <alignment horizontal="center" vertical="center"/>
    </xf>
    <xf numFmtId="0" fontId="400" fillId="18" borderId="126" xfId="172" applyFont="1" applyFill="1" applyBorder="1" applyAlignment="1">
      <alignment horizontal="center" vertical="center"/>
    </xf>
    <xf numFmtId="0" fontId="400" fillId="3" borderId="130" xfId="172" applyFont="1" applyFill="1" applyBorder="1" applyAlignment="1">
      <alignment vertical="center"/>
    </xf>
    <xf numFmtId="186" fontId="400" fillId="3" borderId="139" xfId="172" applyNumberFormat="1" applyFont="1" applyFill="1" applyBorder="1" applyAlignment="1">
      <alignment vertical="center"/>
    </xf>
    <xf numFmtId="186" fontId="400" fillId="3" borderId="130" xfId="172" applyNumberFormat="1" applyFont="1" applyFill="1" applyBorder="1" applyAlignment="1">
      <alignment vertical="center"/>
    </xf>
    <xf numFmtId="186" fontId="400" fillId="3" borderId="134" xfId="172" applyNumberFormat="1" applyFont="1" applyFill="1" applyBorder="1" applyAlignment="1">
      <alignment vertical="center"/>
    </xf>
    <xf numFmtId="345" fontId="400" fillId="116" borderId="167" xfId="172" applyNumberFormat="1" applyFont="1" applyFill="1" applyBorder="1" applyAlignment="1">
      <alignment vertical="center"/>
    </xf>
    <xf numFmtId="345" fontId="400" fillId="3" borderId="131" xfId="172" applyNumberFormat="1" applyFont="1" applyFill="1" applyBorder="1" applyAlignment="1">
      <alignment vertical="center"/>
    </xf>
    <xf numFmtId="0" fontId="414" fillId="0" borderId="0" xfId="0" applyFont="1" applyAlignment="1">
      <alignment horizontal="center" vertical="center"/>
    </xf>
    <xf numFmtId="186" fontId="401" fillId="0" borderId="0" xfId="0" applyNumberFormat="1" applyFont="1" applyAlignment="1">
      <alignment vertical="center"/>
    </xf>
    <xf numFmtId="0" fontId="401" fillId="0" borderId="131" xfId="172" applyFont="1" applyBorder="1" applyAlignment="1">
      <alignment vertical="center"/>
    </xf>
    <xf numFmtId="186" fontId="401" fillId="0" borderId="140" xfId="172" applyNumberFormat="1" applyFont="1" applyBorder="1" applyAlignment="1">
      <alignment vertical="center"/>
    </xf>
    <xf numFmtId="186" fontId="401" fillId="0" borderId="131" xfId="172" applyNumberFormat="1" applyFont="1" applyBorder="1" applyAlignment="1">
      <alignment vertical="center"/>
    </xf>
    <xf numFmtId="345" fontId="401" fillId="0" borderId="131" xfId="172" applyNumberFormat="1" applyFont="1" applyBorder="1" applyAlignment="1">
      <alignment vertical="center"/>
    </xf>
    <xf numFmtId="186" fontId="401" fillId="0" borderId="135" xfId="172" applyNumberFormat="1" applyFont="1" applyBorder="1" applyAlignment="1">
      <alignment vertical="center"/>
    </xf>
    <xf numFmtId="0" fontId="401" fillId="0" borderId="167" xfId="172" applyFont="1" applyBorder="1" applyAlignment="1">
      <alignment vertical="center"/>
    </xf>
    <xf numFmtId="186" fontId="401" fillId="0" borderId="168" xfId="172" applyNumberFormat="1" applyFont="1" applyBorder="1" applyAlignment="1">
      <alignment vertical="center"/>
    </xf>
    <xf numFmtId="186" fontId="401" fillId="0" borderId="167" xfId="172" applyNumberFormat="1" applyFont="1" applyBorder="1" applyAlignment="1">
      <alignment vertical="center"/>
    </xf>
    <xf numFmtId="186" fontId="401" fillId="0" borderId="169" xfId="172" applyNumberFormat="1" applyFont="1" applyBorder="1" applyAlignment="1">
      <alignment vertical="center"/>
    </xf>
    <xf numFmtId="345" fontId="401" fillId="0" borderId="167" xfId="172" applyNumberFormat="1" applyFont="1" applyBorder="1" applyAlignment="1">
      <alignment vertical="center"/>
    </xf>
    <xf numFmtId="0" fontId="401" fillId="0" borderId="132" xfId="172" applyFont="1" applyBorder="1" applyAlignment="1">
      <alignment vertical="center"/>
    </xf>
    <xf numFmtId="186" fontId="401" fillId="0" borderId="141" xfId="172" applyNumberFormat="1" applyFont="1" applyBorder="1" applyAlignment="1">
      <alignment vertical="center"/>
    </xf>
    <xf numFmtId="186" fontId="401" fillId="0" borderId="132" xfId="172" applyNumberFormat="1" applyFont="1" applyBorder="1" applyAlignment="1">
      <alignment vertical="center"/>
    </xf>
    <xf numFmtId="345" fontId="401" fillId="0" borderId="132" xfId="172" applyNumberFormat="1" applyFont="1" applyBorder="1" applyAlignment="1">
      <alignment vertical="center"/>
    </xf>
    <xf numFmtId="186" fontId="401" fillId="0" borderId="136" xfId="172" applyNumberFormat="1" applyFont="1" applyBorder="1" applyAlignment="1">
      <alignment vertical="center"/>
    </xf>
    <xf numFmtId="0" fontId="401" fillId="0" borderId="127" xfId="172" applyFont="1" applyBorder="1" applyAlignment="1">
      <alignment vertical="center"/>
    </xf>
    <xf numFmtId="345" fontId="401" fillId="0" borderId="142" xfId="172" applyNumberFormat="1" applyFont="1" applyBorder="1" applyAlignment="1">
      <alignment vertical="center"/>
    </xf>
    <xf numFmtId="345" fontId="401" fillId="0" borderId="127" xfId="172" applyNumberFormat="1" applyFont="1" applyBorder="1" applyAlignment="1">
      <alignment vertical="center"/>
    </xf>
    <xf numFmtId="345" fontId="401" fillId="0" borderId="137" xfId="172" applyNumberFormat="1" applyFont="1" applyBorder="1" applyAlignment="1">
      <alignment vertical="center"/>
    </xf>
    <xf numFmtId="0" fontId="400" fillId="3" borderId="126" xfId="172" applyFont="1" applyFill="1" applyBorder="1" applyAlignment="1">
      <alignment vertical="center"/>
    </xf>
    <xf numFmtId="186" fontId="400" fillId="3" borderId="138" xfId="172" applyNumberFormat="1" applyFont="1" applyFill="1" applyBorder="1" applyAlignment="1">
      <alignment vertical="center"/>
    </xf>
    <xf numFmtId="186" fontId="400" fillId="3" borderId="126" xfId="172" applyNumberFormat="1" applyFont="1" applyFill="1" applyBorder="1" applyAlignment="1">
      <alignment vertical="center"/>
    </xf>
    <xf numFmtId="186" fontId="400" fillId="3" borderId="133" xfId="172" applyNumberFormat="1" applyFont="1" applyFill="1" applyBorder="1" applyAlignment="1">
      <alignment vertical="center"/>
    </xf>
    <xf numFmtId="345" fontId="400" fillId="116" borderId="126" xfId="172" applyNumberFormat="1" applyFont="1" applyFill="1" applyBorder="1" applyAlignment="1">
      <alignment vertical="center"/>
    </xf>
    <xf numFmtId="345" fontId="400" fillId="3" borderId="126" xfId="172" applyNumberFormat="1" applyFont="1" applyFill="1" applyBorder="1" applyAlignment="1">
      <alignment vertical="center"/>
    </xf>
    <xf numFmtId="0" fontId="400" fillId="0" borderId="150" xfId="172" applyFont="1" applyBorder="1" applyAlignment="1">
      <alignment vertical="center"/>
    </xf>
    <xf numFmtId="0" fontId="400" fillId="0" borderId="0" xfId="172" applyFont="1" applyBorder="1" applyAlignment="1">
      <alignment vertical="center"/>
    </xf>
    <xf numFmtId="9" fontId="401" fillId="0" borderId="0" xfId="2" applyFont="1" applyAlignment="1">
      <alignment vertical="center"/>
    </xf>
    <xf numFmtId="184" fontId="401" fillId="0" borderId="0" xfId="0" applyNumberFormat="1" applyFont="1" applyAlignment="1">
      <alignment vertical="center"/>
    </xf>
    <xf numFmtId="184" fontId="391" fillId="0" borderId="0" xfId="0" applyNumberFormat="1" applyFont="1" applyAlignment="1">
      <alignment horizontal="right" vertical="center"/>
    </xf>
    <xf numFmtId="184" fontId="401" fillId="0" borderId="0" xfId="0" applyNumberFormat="1" applyFont="1" applyBorder="1" applyAlignment="1">
      <alignment vertical="center"/>
    </xf>
    <xf numFmtId="184" fontId="401" fillId="0" borderId="0" xfId="0" applyNumberFormat="1" applyFont="1" applyAlignment="1">
      <alignment horizontal="center" vertical="center"/>
    </xf>
    <xf numFmtId="184" fontId="400" fillId="18" borderId="146" xfId="0" applyNumberFormat="1" applyFont="1" applyFill="1" applyBorder="1" applyAlignment="1">
      <alignment horizontal="center" vertical="center"/>
    </xf>
    <xf numFmtId="184" fontId="400" fillId="18" borderId="147" xfId="0" applyNumberFormat="1" applyFont="1" applyFill="1" applyBorder="1" applyAlignment="1">
      <alignment horizontal="center" vertical="center"/>
    </xf>
    <xf numFmtId="184" fontId="400" fillId="18" borderId="138" xfId="0" applyNumberFormat="1" applyFont="1" applyFill="1" applyBorder="1" applyAlignment="1">
      <alignment horizontal="center" vertical="center"/>
    </xf>
    <xf numFmtId="184" fontId="400" fillId="114" borderId="0" xfId="0" applyNumberFormat="1" applyFont="1" applyFill="1" applyBorder="1" applyAlignment="1">
      <alignment horizontal="center" vertical="center"/>
    </xf>
    <xf numFmtId="184" fontId="401" fillId="114" borderId="0" xfId="0" applyNumberFormat="1" applyFont="1" applyFill="1" applyAlignment="1">
      <alignment vertical="center"/>
    </xf>
    <xf numFmtId="184" fontId="401" fillId="0" borderId="151" xfId="0" applyNumberFormat="1" applyFont="1" applyBorder="1" applyAlignment="1">
      <alignment vertical="center"/>
    </xf>
    <xf numFmtId="345" fontId="401" fillId="0" borderId="152" xfId="0" applyNumberFormat="1" applyFont="1" applyBorder="1" applyAlignment="1">
      <alignment vertical="center"/>
    </xf>
    <xf numFmtId="346" fontId="401" fillId="0" borderId="152" xfId="0" applyNumberFormat="1" applyFont="1" applyBorder="1" applyAlignment="1">
      <alignment vertical="center"/>
    </xf>
    <xf numFmtId="41" fontId="401" fillId="0" borderId="139" xfId="1" applyNumberFormat="1" applyFont="1" applyBorder="1" applyAlignment="1">
      <alignment vertical="center"/>
    </xf>
    <xf numFmtId="344" fontId="401" fillId="114" borderId="0" xfId="1" applyNumberFormat="1" applyFont="1" applyFill="1" applyBorder="1" applyAlignment="1">
      <alignment vertical="center"/>
    </xf>
    <xf numFmtId="184" fontId="401" fillId="0" borderId="153" xfId="0" applyNumberFormat="1" applyFont="1" applyBorder="1" applyAlignment="1">
      <alignment vertical="center"/>
    </xf>
    <xf numFmtId="345" fontId="401" fillId="0" borderId="154" xfId="0" applyNumberFormat="1" applyFont="1" applyBorder="1" applyAlignment="1">
      <alignment vertical="center"/>
    </xf>
    <xf numFmtId="346" fontId="401" fillId="0" borderId="154" xfId="0" applyNumberFormat="1" applyFont="1" applyBorder="1" applyAlignment="1">
      <alignment vertical="center"/>
    </xf>
    <xf numFmtId="41" fontId="401" fillId="0" borderId="140" xfId="1" applyNumberFormat="1" applyFont="1" applyBorder="1" applyAlignment="1">
      <alignment vertical="center"/>
    </xf>
    <xf numFmtId="184" fontId="401" fillId="0" borderId="155" xfId="0" applyNumberFormat="1" applyFont="1" applyBorder="1" applyAlignment="1">
      <alignment vertical="center"/>
    </xf>
    <xf numFmtId="345" fontId="401" fillId="0" borderId="226" xfId="0" applyNumberFormat="1" applyFont="1" applyBorder="1" applyAlignment="1">
      <alignment vertical="center"/>
    </xf>
    <xf numFmtId="346" fontId="401" fillId="0" borderId="226" xfId="0" applyNumberFormat="1" applyFont="1" applyBorder="1" applyAlignment="1">
      <alignment vertical="center"/>
    </xf>
    <xf numFmtId="41" fontId="401" fillId="0" borderId="141" xfId="1" applyNumberFormat="1" applyFont="1" applyBorder="1" applyAlignment="1">
      <alignment vertical="center"/>
    </xf>
    <xf numFmtId="184" fontId="401" fillId="0" borderId="156" xfId="0" applyNumberFormat="1" applyFont="1" applyBorder="1" applyAlignment="1">
      <alignment vertical="center"/>
    </xf>
    <xf numFmtId="345" fontId="401" fillId="0" borderId="157" xfId="0" applyNumberFormat="1" applyFont="1" applyBorder="1" applyAlignment="1">
      <alignment vertical="center"/>
    </xf>
    <xf numFmtId="346" fontId="401" fillId="0" borderId="157" xfId="0" applyNumberFormat="1" applyFont="1" applyBorder="1" applyAlignment="1">
      <alignment vertical="center"/>
    </xf>
    <xf numFmtId="41" fontId="401" fillId="0" borderId="425" xfId="1" applyNumberFormat="1" applyFont="1" applyBorder="1" applyAlignment="1">
      <alignment vertical="center"/>
    </xf>
    <xf numFmtId="41" fontId="401" fillId="0" borderId="140" xfId="0" applyNumberFormat="1" applyFont="1" applyBorder="1" applyAlignment="1">
      <alignment vertical="center"/>
    </xf>
    <xf numFmtId="344" fontId="401" fillId="114" borderId="0" xfId="0" applyNumberFormat="1" applyFont="1" applyFill="1" applyBorder="1" applyAlignment="1">
      <alignment vertical="center"/>
    </xf>
    <xf numFmtId="184" fontId="401" fillId="0" borderId="158" xfId="0" applyNumberFormat="1" applyFont="1" applyBorder="1" applyAlignment="1">
      <alignment vertical="center"/>
    </xf>
    <xf numFmtId="346" fontId="401" fillId="0" borderId="159" xfId="0" applyNumberFormat="1" applyFont="1" applyBorder="1" applyAlignment="1">
      <alignment vertical="center"/>
    </xf>
    <xf numFmtId="41" fontId="401" fillId="0" borderId="160" xfId="0" applyNumberFormat="1" applyFont="1" applyBorder="1" applyAlignment="1">
      <alignment vertical="center"/>
    </xf>
    <xf numFmtId="345" fontId="401" fillId="114" borderId="0" xfId="0" applyNumberFormat="1" applyFont="1" applyFill="1" applyBorder="1" applyAlignment="1">
      <alignment vertical="center"/>
    </xf>
    <xf numFmtId="184" fontId="403" fillId="0" borderId="0" xfId="0" applyNumberFormat="1" applyFont="1" applyAlignment="1">
      <alignment vertical="center"/>
    </xf>
    <xf numFmtId="184" fontId="403" fillId="0" borderId="0" xfId="0" applyNumberFormat="1" applyFont="1" applyAlignment="1">
      <alignment horizontal="center" vertical="center"/>
    </xf>
    <xf numFmtId="184" fontId="400" fillId="3" borderId="148" xfId="0" applyNumberFormat="1" applyFont="1" applyFill="1" applyBorder="1" applyAlignment="1">
      <alignment horizontal="center" vertical="center"/>
    </xf>
    <xf numFmtId="184" fontId="400" fillId="3" borderId="94" xfId="0" applyNumberFormat="1" applyFont="1" applyFill="1" applyBorder="1" applyAlignment="1">
      <alignment horizontal="center" vertical="center"/>
    </xf>
    <xf numFmtId="184" fontId="400" fillId="3" borderId="149" xfId="0" applyNumberFormat="1" applyFont="1" applyFill="1" applyBorder="1" applyAlignment="1">
      <alignment horizontal="center" vertical="center"/>
    </xf>
    <xf numFmtId="184" fontId="401" fillId="0" borderId="139" xfId="0" applyNumberFormat="1" applyFont="1" applyBorder="1" applyAlignment="1">
      <alignment vertical="center"/>
    </xf>
    <xf numFmtId="184" fontId="401" fillId="0" borderId="148" xfId="0" applyNumberFormat="1" applyFont="1" applyBorder="1" applyAlignment="1">
      <alignment vertical="center"/>
    </xf>
    <xf numFmtId="184" fontId="401" fillId="9" borderId="94" xfId="0" applyNumberFormat="1" applyFont="1" applyFill="1" applyBorder="1" applyAlignment="1">
      <alignment vertical="center"/>
    </xf>
    <xf numFmtId="184" fontId="401" fillId="0" borderId="149" xfId="0" applyNumberFormat="1" applyFont="1" applyBorder="1" applyAlignment="1">
      <alignment vertical="center"/>
    </xf>
    <xf numFmtId="184" fontId="401" fillId="0" borderId="140" xfId="0" applyNumberFormat="1" applyFont="1" applyBorder="1" applyAlignment="1">
      <alignment vertical="center"/>
    </xf>
    <xf numFmtId="184" fontId="401" fillId="0" borderId="94" xfId="0" applyNumberFormat="1" applyFont="1" applyBorder="1" applyAlignment="1">
      <alignment vertical="center"/>
    </xf>
    <xf numFmtId="184" fontId="401" fillId="0" borderId="140" xfId="0" quotePrefix="1" applyNumberFormat="1" applyFont="1" applyBorder="1" applyAlignment="1">
      <alignment vertical="center"/>
    </xf>
    <xf numFmtId="184" fontId="401" fillId="0" borderId="149" xfId="0" quotePrefix="1" applyNumberFormat="1" applyFont="1" applyBorder="1" applyAlignment="1">
      <alignment vertical="center"/>
    </xf>
    <xf numFmtId="345" fontId="401" fillId="0" borderId="159" xfId="0" applyNumberFormat="1" applyFont="1" applyBorder="1" applyAlignment="1">
      <alignment vertical="center"/>
    </xf>
    <xf numFmtId="184" fontId="401" fillId="0" borderId="160" xfId="0" applyNumberFormat="1" applyFont="1" applyBorder="1" applyAlignment="1">
      <alignment vertical="center"/>
    </xf>
    <xf numFmtId="3" fontId="390" fillId="0" borderId="0" xfId="0" applyNumberFormat="1" applyFont="1" applyAlignment="1">
      <alignment horizontal="center" vertical="center"/>
    </xf>
    <xf numFmtId="3" fontId="391" fillId="0" borderId="0" xfId="0" applyNumberFormat="1" applyFont="1" applyBorder="1" applyAlignment="1">
      <alignment horizontal="center" vertical="center"/>
    </xf>
    <xf numFmtId="350" fontId="391" fillId="0" borderId="0" xfId="0" applyNumberFormat="1" applyFont="1" applyBorder="1" applyAlignment="1">
      <alignment horizontal="right" vertical="center" indent="1"/>
    </xf>
    <xf numFmtId="41" fontId="405" fillId="114" borderId="225" xfId="0" applyNumberFormat="1" applyFont="1" applyFill="1" applyBorder="1" applyAlignment="1">
      <alignment vertical="center"/>
    </xf>
    <xf numFmtId="41" fontId="391" fillId="114" borderId="225" xfId="0" applyNumberFormat="1" applyFont="1" applyFill="1" applyBorder="1" applyAlignment="1">
      <alignment vertical="center"/>
    </xf>
    <xf numFmtId="181" fontId="390" fillId="0" borderId="0" xfId="0" applyNumberFormat="1" applyFont="1" applyAlignment="1">
      <alignment vertical="center"/>
    </xf>
    <xf numFmtId="0" fontId="388" fillId="5" borderId="432" xfId="0" applyFont="1" applyFill="1" applyBorder="1" applyAlignment="1">
      <alignment vertical="center"/>
    </xf>
    <xf numFmtId="0" fontId="388" fillId="5" borderId="72" xfId="0" applyFont="1" applyFill="1" applyBorder="1" applyAlignment="1">
      <alignment vertical="center"/>
    </xf>
    <xf numFmtId="0" fontId="388" fillId="5" borderId="228" xfId="0" applyFont="1" applyFill="1" applyBorder="1" applyAlignment="1">
      <alignment vertical="center"/>
    </xf>
    <xf numFmtId="41" fontId="398" fillId="3" borderId="400" xfId="0" applyNumberFormat="1" applyFont="1" applyFill="1" applyBorder="1" applyAlignment="1">
      <alignment vertical="center" wrapText="1"/>
    </xf>
    <xf numFmtId="41" fontId="398" fillId="3" borderId="401" xfId="0" applyNumberFormat="1" applyFont="1" applyFill="1" applyBorder="1" applyAlignment="1">
      <alignment vertical="center" wrapText="1"/>
    </xf>
    <xf numFmtId="41" fontId="398" fillId="3" borderId="402" xfId="0" applyNumberFormat="1" applyFont="1" applyFill="1" applyBorder="1" applyAlignment="1">
      <alignment vertical="center" wrapText="1"/>
    </xf>
    <xf numFmtId="41" fontId="398" fillId="3" borderId="401" xfId="0" applyNumberFormat="1" applyFont="1" applyFill="1" applyBorder="1" applyAlignment="1">
      <alignment horizontal="center" vertical="center" wrapText="1"/>
    </xf>
    <xf numFmtId="0" fontId="398" fillId="0" borderId="433" xfId="0" applyFont="1" applyBorder="1" applyAlignment="1">
      <alignment horizontal="center" vertical="center" wrapText="1"/>
    </xf>
    <xf numFmtId="184" fontId="391" fillId="0" borderId="47" xfId="1" applyNumberFormat="1" applyFont="1" applyBorder="1" applyAlignment="1">
      <alignment vertical="center"/>
    </xf>
    <xf numFmtId="184" fontId="391" fillId="0" borderId="36" xfId="1" applyNumberFormat="1" applyFont="1" applyBorder="1" applyAlignment="1">
      <alignment vertical="center"/>
    </xf>
    <xf numFmtId="184" fontId="389" fillId="2" borderId="36" xfId="1" applyNumberFormat="1" applyFont="1" applyFill="1" applyBorder="1" applyAlignment="1">
      <alignment vertical="center"/>
    </xf>
    <xf numFmtId="184" fontId="389" fillId="3" borderId="36" xfId="1" applyNumberFormat="1" applyFont="1" applyFill="1" applyBorder="1" applyAlignment="1">
      <alignment vertical="center"/>
    </xf>
    <xf numFmtId="176" fontId="407" fillId="114" borderId="436" xfId="0" applyNumberFormat="1" applyFont="1" applyFill="1" applyBorder="1" applyAlignment="1">
      <alignment horizontal="center" vertical="center"/>
    </xf>
    <xf numFmtId="0" fontId="409" fillId="114" borderId="291" xfId="4" applyNumberFormat="1" applyFont="1" applyFill="1" applyBorder="1" applyAlignment="1">
      <alignment horizontal="center" vertical="center"/>
    </xf>
    <xf numFmtId="176" fontId="391" fillId="114" borderId="291" xfId="0" applyNumberFormat="1" applyFont="1" applyFill="1" applyBorder="1" applyAlignment="1">
      <alignment horizontal="left" vertical="center" indent="1"/>
    </xf>
    <xf numFmtId="176" fontId="391" fillId="114" borderId="291" xfId="0" applyNumberFormat="1" applyFont="1" applyFill="1" applyBorder="1" applyAlignment="1">
      <alignment horizontal="center" vertical="center"/>
    </xf>
    <xf numFmtId="176" fontId="391" fillId="114" borderId="291" xfId="0" applyNumberFormat="1" applyFont="1" applyFill="1" applyBorder="1" applyAlignment="1">
      <alignment vertical="center"/>
    </xf>
    <xf numFmtId="176" fontId="391" fillId="114" borderId="437" xfId="0" applyNumberFormat="1" applyFont="1" applyFill="1" applyBorder="1" applyAlignment="1">
      <alignment horizontal="right" vertical="center"/>
    </xf>
    <xf numFmtId="176" fontId="390" fillId="0" borderId="16" xfId="0" applyNumberFormat="1" applyFont="1" applyBorder="1" applyAlignment="1">
      <alignment horizontal="center" vertical="center"/>
    </xf>
    <xf numFmtId="176" fontId="398" fillId="0" borderId="430" xfId="0" applyNumberFormat="1" applyFont="1" applyBorder="1" applyAlignment="1">
      <alignment horizontal="left" vertical="center" indent="1"/>
    </xf>
    <xf numFmtId="0" fontId="390" fillId="114" borderId="367" xfId="0" applyNumberFormat="1" applyFont="1" applyFill="1" applyBorder="1" applyAlignment="1">
      <alignment horizontal="center" vertical="center"/>
    </xf>
    <xf numFmtId="176" fontId="405" fillId="2" borderId="0" xfId="0" applyNumberFormat="1" applyFont="1" applyFill="1" applyAlignment="1">
      <alignment horizontal="right" vertical="center"/>
    </xf>
    <xf numFmtId="181" fontId="405" fillId="114" borderId="0" xfId="0" applyNumberFormat="1" applyFont="1" applyFill="1" applyAlignment="1">
      <alignment horizontal="right" vertical="center"/>
    </xf>
    <xf numFmtId="181" fontId="405" fillId="0" borderId="0" xfId="0" applyNumberFormat="1" applyFont="1" applyAlignment="1">
      <alignment horizontal="right" vertical="center"/>
    </xf>
    <xf numFmtId="176" fontId="405" fillId="0" borderId="0" xfId="0" applyNumberFormat="1" applyFont="1" applyAlignment="1">
      <alignment horizontal="right" vertical="center"/>
    </xf>
    <xf numFmtId="176" fontId="405" fillId="114" borderId="0" xfId="0" applyNumberFormat="1" applyFont="1" applyFill="1" applyAlignment="1">
      <alignment horizontal="right" vertical="center"/>
    </xf>
    <xf numFmtId="184" fontId="405" fillId="0" borderId="0" xfId="0" applyNumberFormat="1" applyFont="1" applyAlignment="1">
      <alignment horizontal="right" vertical="center"/>
    </xf>
    <xf numFmtId="343" fontId="391" fillId="0" borderId="0" xfId="0" applyNumberFormat="1" applyFont="1" applyAlignment="1">
      <alignment vertical="center"/>
    </xf>
    <xf numFmtId="176" fontId="415" fillId="0" borderId="438" xfId="0" applyNumberFormat="1" applyFont="1" applyBorder="1" applyAlignment="1">
      <alignment horizontal="right" vertical="center" wrapText="1"/>
    </xf>
    <xf numFmtId="0" fontId="397" fillId="0" borderId="96" xfId="0" applyFont="1" applyBorder="1" applyAlignment="1">
      <alignment horizontal="center" vertical="center" wrapText="1"/>
    </xf>
    <xf numFmtId="0" fontId="397" fillId="0" borderId="97" xfId="0" applyFont="1" applyBorder="1" applyAlignment="1">
      <alignment horizontal="center" vertical="center" wrapText="1"/>
    </xf>
    <xf numFmtId="0" fontId="397" fillId="0" borderId="223" xfId="0" applyFont="1" applyBorder="1" applyAlignment="1">
      <alignment horizontal="center" vertical="center" wrapText="1"/>
    </xf>
    <xf numFmtId="0" fontId="398" fillId="114" borderId="101" xfId="0" applyFont="1" applyFill="1" applyBorder="1" applyAlignment="1">
      <alignment vertical="center" wrapText="1"/>
    </xf>
    <xf numFmtId="3" fontId="398" fillId="114" borderId="95" xfId="0" applyNumberFormat="1" applyFont="1" applyFill="1" applyBorder="1" applyAlignment="1">
      <alignment horizontal="right" vertical="center" wrapText="1"/>
    </xf>
    <xf numFmtId="0" fontId="398" fillId="114" borderId="95" xfId="0" applyFont="1" applyFill="1" applyBorder="1" applyAlignment="1">
      <alignment horizontal="right" vertical="center" wrapText="1"/>
    </xf>
    <xf numFmtId="0" fontId="398" fillId="0" borderId="103" xfId="0" applyFont="1" applyBorder="1" applyAlignment="1">
      <alignment vertical="center" wrapText="1"/>
    </xf>
    <xf numFmtId="3" fontId="398" fillId="0" borderId="104" xfId="0" applyNumberFormat="1" applyFont="1" applyBorder="1" applyAlignment="1">
      <alignment horizontal="right" vertical="center" wrapText="1"/>
    </xf>
    <xf numFmtId="3" fontId="398" fillId="0" borderId="105" xfId="0" applyNumberFormat="1" applyFont="1" applyBorder="1" applyAlignment="1">
      <alignment horizontal="right" vertical="center" wrapText="1"/>
    </xf>
    <xf numFmtId="176" fontId="398" fillId="0" borderId="305" xfId="0" applyNumberFormat="1" applyFont="1" applyFill="1" applyBorder="1" applyAlignment="1">
      <alignment horizontal="left" vertical="center" wrapText="1" indent="2"/>
    </xf>
    <xf numFmtId="0" fontId="405" fillId="0" borderId="37" xfId="0" applyFont="1" applyBorder="1" applyAlignment="1">
      <alignment horizontal="center" vertical="center"/>
    </xf>
    <xf numFmtId="0" fontId="391" fillId="114" borderId="0" xfId="0" applyFont="1" applyFill="1" applyBorder="1" applyAlignment="1">
      <alignment horizontal="left" vertical="center"/>
    </xf>
    <xf numFmtId="0" fontId="391" fillId="114" borderId="0" xfId="0" quotePrefix="1" applyFont="1" applyFill="1" applyBorder="1" applyAlignment="1">
      <alignment horizontal="center" vertical="center"/>
    </xf>
    <xf numFmtId="0" fontId="398" fillId="0" borderId="0" xfId="0" applyFont="1" applyBorder="1" applyAlignment="1">
      <alignment horizontal="center" vertical="center" wrapText="1"/>
    </xf>
    <xf numFmtId="0" fontId="398" fillId="0" borderId="241" xfId="0" applyFont="1" applyBorder="1" applyAlignment="1">
      <alignment horizontal="left" vertical="center" wrapText="1" indent="1"/>
    </xf>
    <xf numFmtId="0" fontId="389" fillId="3" borderId="241" xfId="0" applyFont="1" applyFill="1" applyBorder="1" applyAlignment="1">
      <alignment horizontal="left" vertical="center" indent="1"/>
    </xf>
    <xf numFmtId="0" fontId="398" fillId="0" borderId="367" xfId="0" applyFont="1" applyBorder="1" applyAlignment="1">
      <alignment horizontal="left" vertical="center" wrapText="1" indent="1"/>
    </xf>
    <xf numFmtId="0" fontId="398" fillId="0" borderId="241" xfId="0" applyFont="1" applyBorder="1" applyAlignment="1">
      <alignment horizontal="left" vertical="center" wrapText="1" indent="2"/>
    </xf>
    <xf numFmtId="181" fontId="398" fillId="114" borderId="241" xfId="0" applyNumberFormat="1" applyFont="1" applyFill="1" applyBorder="1" applyAlignment="1">
      <alignment vertical="center" wrapText="1"/>
    </xf>
    <xf numFmtId="181" fontId="398" fillId="114" borderId="367" xfId="0" applyNumberFormat="1" applyFont="1" applyFill="1" applyBorder="1" applyAlignment="1">
      <alignment vertical="center" wrapText="1"/>
    </xf>
    <xf numFmtId="181" fontId="391" fillId="114" borderId="0" xfId="0" applyNumberFormat="1" applyFont="1" applyFill="1" applyAlignment="1">
      <alignment horizontal="right" vertical="center"/>
    </xf>
    <xf numFmtId="181" fontId="398" fillId="0" borderId="1" xfId="0" applyNumberFormat="1" applyFont="1" applyBorder="1" applyAlignment="1">
      <alignment horizontal="left" vertical="center" wrapText="1" indent="1"/>
    </xf>
    <xf numFmtId="181" fontId="398" fillId="114" borderId="1" xfId="0" applyNumberFormat="1" applyFont="1" applyFill="1" applyBorder="1" applyAlignment="1">
      <alignment horizontal="left" vertical="center" wrapText="1" indent="1"/>
    </xf>
    <xf numFmtId="181" fontId="389" fillId="2" borderId="16" xfId="0" applyNumberFormat="1" applyFont="1" applyFill="1" applyBorder="1" applyAlignment="1">
      <alignment horizontal="left" vertical="center" indent="1"/>
    </xf>
    <xf numFmtId="181" fontId="389" fillId="3" borderId="16" xfId="0" applyNumberFormat="1" applyFont="1" applyFill="1" applyBorder="1" applyAlignment="1">
      <alignment horizontal="left" vertical="center" indent="1"/>
    </xf>
    <xf numFmtId="181" fontId="398" fillId="0" borderId="16" xfId="0" applyNumberFormat="1" applyFont="1" applyBorder="1" applyAlignment="1">
      <alignment horizontal="left" vertical="center" wrapText="1" indent="1"/>
    </xf>
    <xf numFmtId="181" fontId="398" fillId="114" borderId="16" xfId="0" applyNumberFormat="1" applyFont="1" applyFill="1" applyBorder="1" applyAlignment="1">
      <alignment horizontal="left" vertical="center" wrapText="1" indent="1"/>
    </xf>
    <xf numFmtId="181" fontId="389" fillId="2" borderId="18" xfId="0" applyNumberFormat="1" applyFont="1" applyFill="1" applyBorder="1" applyAlignment="1">
      <alignment horizontal="left" vertical="center" indent="1"/>
    </xf>
    <xf numFmtId="0" fontId="398" fillId="0" borderId="305" xfId="0" applyFont="1" applyBorder="1" applyAlignment="1">
      <alignment horizontal="left" vertical="center" wrapText="1" indent="1"/>
    </xf>
    <xf numFmtId="0" fontId="389" fillId="2" borderId="305" xfId="0" applyFont="1" applyFill="1" applyBorder="1" applyAlignment="1">
      <alignment horizontal="left" vertical="center" indent="1"/>
    </xf>
    <xf numFmtId="0" fontId="398" fillId="0" borderId="305" xfId="0" applyFont="1" applyBorder="1" applyAlignment="1">
      <alignment horizontal="left" vertical="center" indent="1"/>
    </xf>
    <xf numFmtId="0" fontId="389" fillId="3" borderId="305" xfId="0" applyFont="1" applyFill="1" applyBorder="1" applyAlignment="1">
      <alignment horizontal="left" vertical="center" indent="1"/>
    </xf>
    <xf numFmtId="0" fontId="398" fillId="0" borderId="366" xfId="0" applyFont="1" applyBorder="1" applyAlignment="1">
      <alignment horizontal="left" vertical="center" wrapText="1" indent="1"/>
    </xf>
    <xf numFmtId="176" fontId="398" fillId="0" borderId="42" xfId="0" applyNumberFormat="1" applyFont="1" applyBorder="1" applyAlignment="1">
      <alignment horizontal="left" vertical="center" indent="1"/>
    </xf>
    <xf numFmtId="176" fontId="391" fillId="0" borderId="42" xfId="0" applyNumberFormat="1" applyFont="1" applyBorder="1" applyAlignment="1">
      <alignment horizontal="left" vertical="center" indent="1"/>
    </xf>
    <xf numFmtId="176" fontId="391" fillId="114" borderId="55" xfId="0" applyNumberFormat="1" applyFont="1" applyFill="1" applyBorder="1" applyAlignment="1">
      <alignment vertical="center"/>
    </xf>
    <xf numFmtId="0" fontId="391" fillId="114" borderId="222" xfId="0" applyNumberFormat="1" applyFont="1" applyFill="1" applyBorder="1" applyAlignment="1">
      <alignment horizontal="center" vertical="center"/>
    </xf>
    <xf numFmtId="176" fontId="391" fillId="114" borderId="222" xfId="0" applyNumberFormat="1" applyFont="1" applyFill="1" applyBorder="1" applyAlignment="1">
      <alignment vertical="center"/>
    </xf>
    <xf numFmtId="176" fontId="391" fillId="114" borderId="57" xfId="0" applyNumberFormat="1" applyFont="1" applyFill="1" applyBorder="1" applyAlignment="1">
      <alignment vertical="center"/>
    </xf>
    <xf numFmtId="0" fontId="405" fillId="115" borderId="0" xfId="0" applyFont="1" applyFill="1" applyBorder="1" applyAlignment="1">
      <alignment vertical="center"/>
    </xf>
    <xf numFmtId="0" fontId="405" fillId="115" borderId="0" xfId="0" applyFont="1" applyFill="1" applyBorder="1" applyAlignment="1">
      <alignment horizontal="left" vertical="center"/>
    </xf>
    <xf numFmtId="176" fontId="398" fillId="115" borderId="241" xfId="0" applyNumberFormat="1" applyFont="1" applyFill="1" applyBorder="1" applyAlignment="1">
      <alignment horizontal="left" vertical="center" wrapText="1" indent="1"/>
    </xf>
    <xf numFmtId="176" fontId="398" fillId="115" borderId="241" xfId="0" applyNumberFormat="1" applyFont="1" applyFill="1" applyBorder="1" applyAlignment="1">
      <alignment horizontal="right" vertical="center" wrapText="1"/>
    </xf>
    <xf numFmtId="176" fontId="398" fillId="115" borderId="305" xfId="0" applyNumberFormat="1" applyFont="1" applyFill="1" applyBorder="1" applyAlignment="1">
      <alignment horizontal="left" vertical="center" wrapText="1" indent="1"/>
    </xf>
    <xf numFmtId="176" fontId="389" fillId="0" borderId="0" xfId="0" applyNumberFormat="1" applyFont="1" applyBorder="1" applyAlignment="1">
      <alignment horizontal="left" vertical="center"/>
    </xf>
    <xf numFmtId="0" fontId="391" fillId="0" borderId="439" xfId="0" applyFont="1" applyBorder="1" applyAlignment="1">
      <alignment vertical="center"/>
    </xf>
    <xf numFmtId="0" fontId="391" fillId="0" borderId="441" xfId="0" applyFont="1" applyBorder="1" applyAlignment="1">
      <alignment vertical="center"/>
    </xf>
    <xf numFmtId="0" fontId="389" fillId="20" borderId="443" xfId="0" applyFont="1" applyFill="1" applyBorder="1" applyAlignment="1">
      <alignment vertical="center"/>
    </xf>
    <xf numFmtId="176" fontId="398" fillId="114" borderId="306" xfId="0" applyNumberFormat="1" applyFont="1" applyFill="1" applyBorder="1" applyAlignment="1">
      <alignment horizontal="right" vertical="center" wrapText="1"/>
    </xf>
    <xf numFmtId="176" fontId="398" fillId="0" borderId="306" xfId="0" applyNumberFormat="1" applyFont="1" applyBorder="1" applyAlignment="1">
      <alignment horizontal="right" vertical="center" wrapText="1"/>
    </xf>
    <xf numFmtId="176" fontId="398" fillId="6" borderId="306" xfId="0" applyNumberFormat="1" applyFont="1" applyFill="1" applyBorder="1" applyAlignment="1">
      <alignment horizontal="right" vertical="center" wrapText="1"/>
    </xf>
    <xf numFmtId="176" fontId="398" fillId="3" borderId="306" xfId="0" applyNumberFormat="1" applyFont="1" applyFill="1" applyBorder="1" applyAlignment="1">
      <alignment horizontal="right" vertical="center" wrapText="1"/>
    </xf>
    <xf numFmtId="176" fontId="398" fillId="115" borderId="306" xfId="0" applyNumberFormat="1" applyFont="1" applyFill="1" applyBorder="1" applyAlignment="1">
      <alignment horizontal="right" vertical="center" wrapText="1"/>
    </xf>
    <xf numFmtId="184" fontId="391" fillId="0" borderId="440" xfId="1" applyNumberFormat="1" applyFont="1" applyBorder="1" applyAlignment="1">
      <alignment vertical="center"/>
    </xf>
    <xf numFmtId="184" fontId="391" fillId="0" borderId="442" xfId="1" applyNumberFormat="1" applyFont="1" applyBorder="1" applyAlignment="1">
      <alignment vertical="center"/>
    </xf>
    <xf numFmtId="184" fontId="389" fillId="20" borderId="444" xfId="1" applyNumberFormat="1" applyFont="1" applyFill="1" applyBorder="1" applyAlignment="1">
      <alignment vertical="center"/>
    </xf>
    <xf numFmtId="176" fontId="388" fillId="5" borderId="243" xfId="0" applyNumberFormat="1" applyFont="1" applyFill="1" applyBorder="1" applyAlignment="1">
      <alignment horizontal="center" vertical="center"/>
    </xf>
    <xf numFmtId="176" fontId="388" fillId="5" borderId="240" xfId="0" applyNumberFormat="1" applyFont="1" applyFill="1" applyBorder="1" applyAlignment="1">
      <alignment horizontal="center" vertical="center"/>
    </xf>
    <xf numFmtId="176" fontId="388" fillId="5" borderId="431" xfId="0" applyNumberFormat="1" applyFont="1" applyFill="1" applyBorder="1" applyAlignment="1">
      <alignment horizontal="center" vertical="center" wrapText="1"/>
    </xf>
    <xf numFmtId="176" fontId="391" fillId="2" borderId="266" xfId="0" applyNumberFormat="1" applyFont="1" applyFill="1" applyBorder="1" applyAlignment="1">
      <alignment vertical="center"/>
    </xf>
    <xf numFmtId="176" fontId="389" fillId="6" borderId="266" xfId="0" applyNumberFormat="1" applyFont="1" applyFill="1" applyBorder="1" applyAlignment="1">
      <alignment horizontal="center" vertical="center"/>
    </xf>
    <xf numFmtId="10" fontId="391" fillId="0" borderId="266" xfId="2" applyNumberFormat="1" applyFont="1" applyBorder="1" applyAlignment="1">
      <alignment vertical="center"/>
    </xf>
    <xf numFmtId="176" fontId="389" fillId="6" borderId="266" xfId="0" applyNumberFormat="1" applyFont="1" applyFill="1" applyBorder="1" applyAlignment="1">
      <alignment vertical="center"/>
    </xf>
    <xf numFmtId="176" fontId="391" fillId="0" borderId="266" xfId="0" applyNumberFormat="1" applyFont="1" applyBorder="1" applyAlignment="1">
      <alignment vertical="center"/>
    </xf>
    <xf numFmtId="176" fontId="389" fillId="2" borderId="266" xfId="0" applyNumberFormat="1" applyFont="1" applyFill="1" applyBorder="1" applyAlignment="1">
      <alignment vertical="center"/>
    </xf>
    <xf numFmtId="176" fontId="392" fillId="2" borderId="266" xfId="0" applyNumberFormat="1" applyFont="1" applyFill="1" applyBorder="1" applyAlignment="1">
      <alignment horizontal="center" vertical="center" wrapText="1"/>
    </xf>
    <xf numFmtId="176" fontId="389" fillId="0" borderId="266" xfId="0" applyNumberFormat="1" applyFont="1" applyBorder="1" applyAlignment="1">
      <alignment vertical="center"/>
    </xf>
    <xf numFmtId="176" fontId="391" fillId="0" borderId="445" xfId="0" applyNumberFormat="1" applyFont="1" applyBorder="1" applyAlignment="1">
      <alignment vertical="center"/>
    </xf>
    <xf numFmtId="176" fontId="391" fillId="2" borderId="447" xfId="0" applyNumberFormat="1" applyFont="1" applyFill="1" applyBorder="1" applyAlignment="1">
      <alignment vertical="center"/>
    </xf>
    <xf numFmtId="176" fontId="389" fillId="6" borderId="447" xfId="0" applyNumberFormat="1" applyFont="1" applyFill="1" applyBorder="1" applyAlignment="1">
      <alignment horizontal="center" vertical="center"/>
    </xf>
    <xf numFmtId="10" fontId="391" fillId="0" borderId="447" xfId="2" applyNumberFormat="1" applyFont="1" applyBorder="1" applyAlignment="1">
      <alignment vertical="center"/>
    </xf>
    <xf numFmtId="176" fontId="389" fillId="6" borderId="447" xfId="0" applyNumberFormat="1" applyFont="1" applyFill="1" applyBorder="1" applyAlignment="1">
      <alignment vertical="center"/>
    </xf>
    <xf numFmtId="176" fontId="391" fillId="114" borderId="447" xfId="0" applyNumberFormat="1" applyFont="1" applyFill="1" applyBorder="1" applyAlignment="1">
      <alignment vertical="center"/>
    </xf>
    <xf numFmtId="176" fontId="389" fillId="2" borderId="447" xfId="0" applyNumberFormat="1" applyFont="1" applyFill="1" applyBorder="1" applyAlignment="1">
      <alignment vertical="center"/>
    </xf>
    <xf numFmtId="176" fontId="392" fillId="2" borderId="447" xfId="0" applyNumberFormat="1" applyFont="1" applyFill="1" applyBorder="1" applyAlignment="1">
      <alignment horizontal="center" vertical="center" wrapText="1"/>
    </xf>
    <xf numFmtId="176" fontId="391" fillId="0" borderId="447" xfId="0" applyNumberFormat="1" applyFont="1" applyBorder="1" applyAlignment="1">
      <alignment vertical="center"/>
    </xf>
    <xf numFmtId="176" fontId="389" fillId="0" borderId="447" xfId="0" applyNumberFormat="1" applyFont="1" applyBorder="1" applyAlignment="1">
      <alignment vertical="center"/>
    </xf>
    <xf numFmtId="176" fontId="391" fillId="0" borderId="446" xfId="0" applyNumberFormat="1" applyFont="1" applyBorder="1" applyAlignment="1">
      <alignment vertical="center"/>
    </xf>
    <xf numFmtId="176" fontId="391" fillId="114" borderId="249" xfId="0" applyNumberFormat="1" applyFont="1" applyFill="1" applyBorder="1" applyAlignment="1">
      <alignment vertical="center"/>
    </xf>
    <xf numFmtId="176" fontId="391" fillId="2" borderId="300" xfId="0" applyNumberFormat="1" applyFont="1" applyFill="1" applyBorder="1" applyAlignment="1">
      <alignment vertical="center"/>
    </xf>
    <xf numFmtId="176" fontId="391" fillId="114" borderId="300" xfId="0" applyNumberFormat="1" applyFont="1" applyFill="1" applyBorder="1" applyAlignment="1">
      <alignment vertical="center"/>
    </xf>
    <xf numFmtId="176" fontId="391" fillId="114" borderId="448" xfId="0" applyNumberFormat="1" applyFont="1" applyFill="1" applyBorder="1" applyAlignment="1">
      <alignment vertical="center"/>
    </xf>
    <xf numFmtId="176" fontId="391" fillId="114" borderId="449" xfId="0" applyNumberFormat="1" applyFont="1" applyFill="1" applyBorder="1" applyAlignment="1">
      <alignment vertical="center"/>
    </xf>
    <xf numFmtId="176" fontId="391" fillId="114" borderId="450" xfId="0" applyNumberFormat="1" applyFont="1" applyFill="1" applyBorder="1" applyAlignment="1">
      <alignment vertical="center"/>
    </xf>
    <xf numFmtId="176" fontId="389" fillId="2" borderId="300" xfId="0" applyNumberFormat="1" applyFont="1" applyFill="1" applyBorder="1" applyAlignment="1">
      <alignment vertical="center"/>
    </xf>
    <xf numFmtId="176" fontId="391" fillId="0" borderId="300" xfId="0" applyNumberFormat="1" applyFont="1" applyFill="1" applyBorder="1" applyAlignment="1">
      <alignment vertical="center"/>
    </xf>
    <xf numFmtId="176" fontId="391" fillId="114" borderId="301" xfId="0" applyNumberFormat="1" applyFont="1" applyFill="1" applyBorder="1" applyAlignment="1">
      <alignment vertical="center"/>
    </xf>
    <xf numFmtId="176" fontId="391" fillId="0" borderId="266" xfId="0" applyNumberFormat="1" applyFont="1" applyFill="1" applyBorder="1" applyAlignment="1">
      <alignment vertical="center"/>
    </xf>
    <xf numFmtId="176" fontId="388" fillId="29" borderId="244" xfId="0" applyNumberFormat="1" applyFont="1" applyFill="1" applyBorder="1" applyAlignment="1">
      <alignment horizontal="center" vertical="center" wrapText="1"/>
    </xf>
    <xf numFmtId="176" fontId="388" fillId="5" borderId="72" xfId="0" applyNumberFormat="1" applyFont="1" applyFill="1" applyBorder="1" applyAlignment="1">
      <alignment horizontal="center" vertical="center" wrapText="1"/>
    </xf>
    <xf numFmtId="176" fontId="391" fillId="6" borderId="451" xfId="0" applyNumberFormat="1" applyFont="1" applyFill="1" applyBorder="1" applyAlignment="1">
      <alignment vertical="center"/>
    </xf>
    <xf numFmtId="176" fontId="391" fillId="0" borderId="451" xfId="0" applyNumberFormat="1" applyFont="1" applyBorder="1" applyAlignment="1">
      <alignment vertical="center"/>
    </xf>
    <xf numFmtId="176" fontId="389" fillId="6" borderId="452" xfId="0" applyNumberFormat="1" applyFont="1" applyFill="1" applyBorder="1" applyAlignment="1">
      <alignment vertical="center"/>
    </xf>
    <xf numFmtId="176" fontId="391" fillId="0" borderId="453" xfId="0" applyNumberFormat="1" applyFont="1" applyBorder="1" applyAlignment="1">
      <alignment vertical="center"/>
    </xf>
    <xf numFmtId="176" fontId="389" fillId="6" borderId="17" xfId="0" applyNumberFormat="1" applyFont="1" applyFill="1" applyBorder="1" applyAlignment="1">
      <alignment vertical="center"/>
    </xf>
    <xf numFmtId="176" fontId="392" fillId="6" borderId="451" xfId="0" applyNumberFormat="1" applyFont="1" applyFill="1" applyBorder="1" applyAlignment="1">
      <alignment horizontal="center" vertical="center" wrapText="1"/>
    </xf>
    <xf numFmtId="176" fontId="391" fillId="0" borderId="451" xfId="0" applyNumberFormat="1" applyFont="1" applyFill="1" applyBorder="1" applyAlignment="1">
      <alignment vertical="center"/>
    </xf>
    <xf numFmtId="176" fontId="388" fillId="5" borderId="454" xfId="0" applyNumberFormat="1" applyFont="1" applyFill="1" applyBorder="1" applyAlignment="1">
      <alignment horizontal="center" vertical="center" wrapText="1"/>
    </xf>
    <xf numFmtId="176" fontId="392" fillId="6" borderId="455" xfId="0" applyNumberFormat="1" applyFont="1" applyFill="1" applyBorder="1" applyAlignment="1">
      <alignment horizontal="center" vertical="center" wrapText="1"/>
    </xf>
    <xf numFmtId="176" fontId="391" fillId="0" borderId="455" xfId="0" applyNumberFormat="1" applyFont="1" applyBorder="1" applyAlignment="1">
      <alignment vertical="center"/>
    </xf>
    <xf numFmtId="176" fontId="391" fillId="0" borderId="455" xfId="0" applyNumberFormat="1" applyFont="1" applyFill="1" applyBorder="1" applyAlignment="1">
      <alignment vertical="center"/>
    </xf>
    <xf numFmtId="176" fontId="391" fillId="0" borderId="456" xfId="0" applyNumberFormat="1" applyFont="1" applyBorder="1" applyAlignment="1">
      <alignment vertical="center"/>
    </xf>
    <xf numFmtId="176" fontId="391" fillId="9" borderId="0" xfId="0" applyNumberFormat="1" applyFont="1" applyFill="1" applyAlignment="1">
      <alignment vertical="center"/>
    </xf>
    <xf numFmtId="176" fontId="392" fillId="6" borderId="269" xfId="0" applyNumberFormat="1" applyFont="1" applyFill="1" applyBorder="1" applyAlignment="1">
      <alignment horizontal="center" vertical="center" wrapText="1"/>
    </xf>
    <xf numFmtId="176" fontId="391" fillId="0" borderId="269" xfId="0" applyNumberFormat="1" applyFont="1" applyBorder="1" applyAlignment="1">
      <alignment vertical="center"/>
    </xf>
    <xf numFmtId="176" fontId="391" fillId="0" borderId="457" xfId="0" applyNumberFormat="1" applyFont="1" applyBorder="1" applyAlignment="1">
      <alignment vertical="center"/>
    </xf>
    <xf numFmtId="176" fontId="391" fillId="6" borderId="455" xfId="0" applyNumberFormat="1" applyFont="1" applyFill="1" applyBorder="1" applyAlignment="1">
      <alignment vertical="center"/>
    </xf>
    <xf numFmtId="176" fontId="389" fillId="6" borderId="455" xfId="0" applyNumberFormat="1" applyFont="1" applyFill="1" applyBorder="1" applyAlignment="1">
      <alignment vertical="center"/>
    </xf>
    <xf numFmtId="176" fontId="392" fillId="6" borderId="458" xfId="0" applyNumberFormat="1" applyFont="1" applyFill="1" applyBorder="1" applyAlignment="1">
      <alignment horizontal="center" vertical="center" wrapText="1"/>
    </xf>
    <xf numFmtId="176" fontId="391" fillId="0" borderId="459" xfId="0" applyNumberFormat="1" applyFont="1" applyBorder="1" applyAlignment="1">
      <alignment vertical="center"/>
    </xf>
    <xf numFmtId="176" fontId="392" fillId="6" borderId="459" xfId="0" applyNumberFormat="1" applyFont="1" applyFill="1" applyBorder="1" applyAlignment="1">
      <alignment horizontal="center" vertical="center" wrapText="1"/>
    </xf>
    <xf numFmtId="176" fontId="391" fillId="0" borderId="460" xfId="0" applyNumberFormat="1" applyFont="1" applyBorder="1" applyAlignment="1">
      <alignment vertical="center"/>
    </xf>
    <xf numFmtId="184" fontId="394" fillId="114" borderId="246" xfId="161" applyNumberFormat="1" applyFont="1" applyFill="1" applyBorder="1" applyAlignment="1" applyProtection="1">
      <alignment vertical="center"/>
    </xf>
    <xf numFmtId="350" fontId="391" fillId="0" borderId="0" xfId="0" applyNumberFormat="1" applyFont="1" applyBorder="1" applyAlignment="1">
      <alignment vertical="center"/>
    </xf>
    <xf numFmtId="181" fontId="397" fillId="0" borderId="461" xfId="0" applyNumberFormat="1" applyFont="1" applyBorder="1" applyAlignment="1">
      <alignment horizontal="center" vertical="center" wrapText="1"/>
    </xf>
    <xf numFmtId="181" fontId="397" fillId="0" borderId="462" xfId="0" applyNumberFormat="1" applyFont="1" applyBorder="1" applyAlignment="1">
      <alignment horizontal="center" vertical="center" wrapText="1"/>
    </xf>
    <xf numFmtId="181" fontId="397" fillId="2" borderId="464" xfId="0" applyNumberFormat="1" applyFont="1" applyFill="1" applyBorder="1" applyAlignment="1">
      <alignment horizontal="left" vertical="center" wrapText="1"/>
    </xf>
    <xf numFmtId="181" fontId="397" fillId="2" borderId="241" xfId="0" applyNumberFormat="1" applyFont="1" applyFill="1" applyBorder="1" applyAlignment="1">
      <alignment horizontal="center" vertical="center" wrapText="1"/>
    </xf>
    <xf numFmtId="181" fontId="397" fillId="2" borderId="241" xfId="0" applyNumberFormat="1" applyFont="1" applyFill="1" applyBorder="1" applyAlignment="1">
      <alignment horizontal="right" vertical="center" wrapText="1"/>
    </xf>
    <xf numFmtId="3" fontId="397" fillId="2" borderId="465" xfId="0" applyNumberFormat="1" applyFont="1" applyFill="1" applyBorder="1" applyAlignment="1">
      <alignment horizontal="right" vertical="center" wrapText="1"/>
    </xf>
    <xf numFmtId="181" fontId="397" fillId="3" borderId="464" xfId="0" applyNumberFormat="1" applyFont="1" applyFill="1" applyBorder="1" applyAlignment="1">
      <alignment horizontal="left" vertical="center" wrapText="1"/>
    </xf>
    <xf numFmtId="181" fontId="397" fillId="3" borderId="241" xfId="0" applyNumberFormat="1" applyFont="1" applyFill="1" applyBorder="1" applyAlignment="1">
      <alignment horizontal="center" vertical="center" wrapText="1"/>
    </xf>
    <xf numFmtId="181" fontId="397" fillId="3" borderId="241" xfId="0" applyNumberFormat="1" applyFont="1" applyFill="1" applyBorder="1" applyAlignment="1">
      <alignment horizontal="right" vertical="center" wrapText="1"/>
    </xf>
    <xf numFmtId="3" fontId="397" fillId="3" borderId="465" xfId="0" applyNumberFormat="1" applyFont="1" applyFill="1" applyBorder="1" applyAlignment="1">
      <alignment horizontal="right" vertical="center" wrapText="1"/>
    </xf>
    <xf numFmtId="181" fontId="398" fillId="0" borderId="464" xfId="0" applyNumberFormat="1" applyFont="1" applyBorder="1" applyAlignment="1">
      <alignment horizontal="left" vertical="center" wrapText="1"/>
    </xf>
    <xf numFmtId="181" fontId="398" fillId="0" borderId="241" xfId="0" applyNumberFormat="1" applyFont="1" applyBorder="1" applyAlignment="1">
      <alignment horizontal="center" vertical="center" wrapText="1"/>
    </xf>
    <xf numFmtId="181" fontId="398" fillId="0" borderId="241" xfId="0" applyNumberFormat="1" applyFont="1" applyBorder="1" applyAlignment="1">
      <alignment horizontal="right" vertical="center" wrapText="1"/>
    </xf>
    <xf numFmtId="0" fontId="398" fillId="0" borderId="465" xfId="0" applyFont="1" applyBorder="1" applyAlignment="1">
      <alignment horizontal="right" vertical="center" wrapText="1"/>
    </xf>
    <xf numFmtId="181" fontId="398" fillId="0" borderId="465" xfId="0" applyNumberFormat="1" applyFont="1" applyBorder="1" applyAlignment="1">
      <alignment horizontal="right" vertical="center" wrapText="1"/>
    </xf>
    <xf numFmtId="181" fontId="397" fillId="2" borderId="465" xfId="0" applyNumberFormat="1" applyFont="1" applyFill="1" applyBorder="1" applyAlignment="1">
      <alignment horizontal="right" vertical="center" wrapText="1"/>
    </xf>
    <xf numFmtId="41" fontId="397" fillId="3" borderId="465" xfId="0" applyNumberFormat="1" applyFont="1" applyFill="1" applyBorder="1" applyAlignment="1">
      <alignment horizontal="right" vertical="center" wrapText="1"/>
    </xf>
    <xf numFmtId="181" fontId="397" fillId="2" borderId="466" xfId="0" applyNumberFormat="1" applyFont="1" applyFill="1" applyBorder="1" applyAlignment="1">
      <alignment horizontal="left" vertical="center" wrapText="1"/>
    </xf>
    <xf numFmtId="181" fontId="397" fillId="2" borderId="467" xfId="0" applyNumberFormat="1" applyFont="1" applyFill="1" applyBorder="1" applyAlignment="1">
      <alignment horizontal="center" vertical="center" wrapText="1"/>
    </xf>
    <xf numFmtId="181" fontId="397" fillId="2" borderId="467" xfId="0" applyNumberFormat="1" applyFont="1" applyFill="1" applyBorder="1" applyAlignment="1">
      <alignment horizontal="right" vertical="center" wrapText="1"/>
    </xf>
    <xf numFmtId="3" fontId="397" fillId="2" borderId="468" xfId="0" applyNumberFormat="1" applyFont="1" applyFill="1" applyBorder="1" applyAlignment="1">
      <alignment horizontal="right" vertical="center" wrapText="1"/>
    </xf>
    <xf numFmtId="176" fontId="389" fillId="0" borderId="469" xfId="0" applyNumberFormat="1" applyFont="1" applyBorder="1" applyAlignment="1">
      <alignment vertical="center"/>
    </xf>
    <xf numFmtId="176" fontId="389" fillId="0" borderId="470" xfId="0" applyNumberFormat="1" applyFont="1" applyBorder="1" applyAlignment="1">
      <alignment vertical="center"/>
    </xf>
    <xf numFmtId="176" fontId="388" fillId="5" borderId="245" xfId="0" applyNumberFormat="1" applyFont="1" applyFill="1" applyBorder="1" applyAlignment="1">
      <alignment horizontal="center" vertical="center"/>
    </xf>
    <xf numFmtId="176" fontId="388" fillId="5" borderId="241" xfId="0" applyNumberFormat="1" applyFont="1" applyFill="1" applyBorder="1" applyAlignment="1">
      <alignment horizontal="center" vertical="center"/>
    </xf>
    <xf numFmtId="176" fontId="388" fillId="5" borderId="246" xfId="0" applyNumberFormat="1" applyFont="1" applyFill="1" applyBorder="1" applyAlignment="1">
      <alignment horizontal="center" vertical="center"/>
    </xf>
    <xf numFmtId="176" fontId="391" fillId="0" borderId="471" xfId="0" applyNumberFormat="1" applyFont="1" applyBorder="1" applyAlignment="1">
      <alignment vertical="center"/>
    </xf>
    <xf numFmtId="176" fontId="389" fillId="0" borderId="471" xfId="0" applyNumberFormat="1" applyFont="1" applyBorder="1" applyAlignment="1">
      <alignment vertical="center"/>
    </xf>
    <xf numFmtId="176" fontId="391" fillId="0" borderId="472" xfId="0" applyNumberFormat="1" applyFont="1" applyBorder="1" applyAlignment="1">
      <alignment horizontal="left" vertical="center" indent="1"/>
    </xf>
    <xf numFmtId="176" fontId="391" fillId="0" borderId="473" xfId="0" applyNumberFormat="1" applyFont="1" applyBorder="1" applyAlignment="1">
      <alignment horizontal="left" vertical="center" indent="1"/>
    </xf>
    <xf numFmtId="176" fontId="391" fillId="0" borderId="474" xfId="0" applyNumberFormat="1" applyFont="1" applyBorder="1" applyAlignment="1">
      <alignment horizontal="left" vertical="center" indent="1"/>
    </xf>
    <xf numFmtId="176" fontId="389" fillId="0" borderId="471" xfId="0" applyNumberFormat="1" applyFont="1" applyBorder="1" applyAlignment="1">
      <alignment horizontal="left" vertical="center" indent="1"/>
    </xf>
    <xf numFmtId="176" fontId="392" fillId="0" borderId="308" xfId="0" applyNumberFormat="1" applyFont="1" applyBorder="1" applyAlignment="1">
      <alignment vertical="center"/>
    </xf>
    <xf numFmtId="176" fontId="392" fillId="0" borderId="309" xfId="0" applyNumberFormat="1" applyFont="1" applyBorder="1" applyAlignment="1">
      <alignment vertical="center"/>
    </xf>
    <xf numFmtId="10" fontId="392" fillId="0" borderId="309" xfId="2" applyNumberFormat="1" applyFont="1" applyBorder="1" applyAlignment="1">
      <alignment vertical="center"/>
    </xf>
    <xf numFmtId="176" fontId="392" fillId="0" borderId="310" xfId="0" applyNumberFormat="1" applyFont="1" applyBorder="1" applyAlignment="1">
      <alignment vertical="center"/>
    </xf>
    <xf numFmtId="176" fontId="392" fillId="0" borderId="475" xfId="0" applyNumberFormat="1" applyFont="1" applyBorder="1" applyAlignment="1">
      <alignment horizontal="center" vertical="center"/>
    </xf>
    <xf numFmtId="176" fontId="392" fillId="0" borderId="476" xfId="0" applyNumberFormat="1" applyFont="1" applyBorder="1" applyAlignment="1">
      <alignment vertical="center"/>
    </xf>
    <xf numFmtId="176" fontId="392" fillId="0" borderId="477" xfId="0" applyNumberFormat="1" applyFont="1" applyBorder="1" applyAlignment="1">
      <alignment vertical="center"/>
    </xf>
    <xf numFmtId="176" fontId="392" fillId="0" borderId="478" xfId="0" applyNumberFormat="1" applyFont="1" applyBorder="1" applyAlignment="1">
      <alignment vertical="center"/>
    </xf>
    <xf numFmtId="176" fontId="392" fillId="0" borderId="479" xfId="0" applyNumberFormat="1" applyFont="1" applyBorder="1" applyAlignment="1">
      <alignment vertical="center"/>
    </xf>
    <xf numFmtId="176" fontId="389" fillId="0" borderId="37" xfId="0" applyNumberFormat="1" applyFont="1" applyBorder="1" applyAlignment="1">
      <alignment horizontal="center" vertical="center"/>
    </xf>
    <xf numFmtId="176" fontId="389" fillId="0" borderId="38" xfId="0" applyNumberFormat="1" applyFont="1" applyBorder="1" applyAlignment="1">
      <alignment horizontal="center" vertical="center"/>
    </xf>
    <xf numFmtId="176" fontId="389" fillId="0" borderId="38" xfId="0" applyNumberFormat="1" applyFont="1" applyBorder="1" applyAlignment="1">
      <alignment horizontal="left" vertical="center" indent="1"/>
    </xf>
    <xf numFmtId="176" fontId="389" fillId="0" borderId="39" xfId="0" applyNumberFormat="1" applyFont="1" applyBorder="1" applyAlignment="1">
      <alignment vertical="center"/>
    </xf>
    <xf numFmtId="176" fontId="391" fillId="0" borderId="480" xfId="0" applyNumberFormat="1" applyFont="1" applyBorder="1" applyAlignment="1">
      <alignment vertical="center"/>
    </xf>
    <xf numFmtId="176" fontId="391" fillId="0" borderId="481" xfId="0" applyNumberFormat="1" applyFont="1" applyBorder="1" applyAlignment="1">
      <alignment vertical="center"/>
    </xf>
    <xf numFmtId="176" fontId="391" fillId="0" borderId="482" xfId="0" applyNumberFormat="1" applyFont="1" applyBorder="1" applyAlignment="1">
      <alignment horizontal="center" vertical="center"/>
    </xf>
    <xf numFmtId="176" fontId="391" fillId="0" borderId="480" xfId="0" applyNumberFormat="1" applyFont="1" applyBorder="1" applyAlignment="1">
      <alignment horizontal="center" vertical="center"/>
    </xf>
    <xf numFmtId="176" fontId="391" fillId="0" borderId="480" xfId="0" applyNumberFormat="1" applyFont="1" applyBorder="1" applyAlignment="1">
      <alignment horizontal="left" vertical="center" indent="1"/>
    </xf>
    <xf numFmtId="176" fontId="391" fillId="0" borderId="482" xfId="0" applyNumberFormat="1" applyFont="1" applyBorder="1" applyAlignment="1">
      <alignment vertical="center"/>
    </xf>
    <xf numFmtId="178" fontId="391" fillId="114" borderId="0" xfId="0" applyNumberFormat="1" applyFont="1" applyFill="1" applyAlignment="1">
      <alignment vertical="center"/>
    </xf>
    <xf numFmtId="184" fontId="391" fillId="0" borderId="0" xfId="0" applyNumberFormat="1" applyFont="1" applyBorder="1" applyAlignment="1">
      <alignment horizontal="left" vertical="center" indent="1"/>
    </xf>
    <xf numFmtId="176" fontId="391" fillId="114" borderId="325" xfId="0" applyNumberFormat="1" applyFont="1" applyFill="1" applyBorder="1" applyAlignment="1">
      <alignment horizontal="center" vertical="center"/>
    </xf>
    <xf numFmtId="176" fontId="391" fillId="114" borderId="309" xfId="0" applyNumberFormat="1" applyFont="1" applyFill="1" applyBorder="1" applyAlignment="1">
      <alignment horizontal="left" vertical="center" indent="1"/>
    </xf>
    <xf numFmtId="176" fontId="391" fillId="114" borderId="326" xfId="0" applyNumberFormat="1" applyFont="1" applyFill="1" applyBorder="1" applyAlignment="1">
      <alignment vertical="center"/>
    </xf>
    <xf numFmtId="176" fontId="391" fillId="114" borderId="325" xfId="0" applyNumberFormat="1" applyFont="1" applyFill="1" applyBorder="1" applyAlignment="1">
      <alignment vertical="center"/>
    </xf>
    <xf numFmtId="176" fontId="391" fillId="114" borderId="421" xfId="0" applyNumberFormat="1" applyFont="1" applyFill="1" applyBorder="1" applyAlignment="1">
      <alignment vertical="center"/>
    </xf>
    <xf numFmtId="176" fontId="391" fillId="114" borderId="483" xfId="0" applyNumberFormat="1" applyFont="1" applyFill="1" applyBorder="1" applyAlignment="1">
      <alignment vertical="center"/>
    </xf>
    <xf numFmtId="176" fontId="391" fillId="114" borderId="484" xfId="0" applyNumberFormat="1" applyFont="1" applyFill="1" applyBorder="1" applyAlignment="1">
      <alignment vertical="center"/>
    </xf>
    <xf numFmtId="176" fontId="389" fillId="2" borderId="243" xfId="0" applyNumberFormat="1" applyFont="1" applyFill="1" applyBorder="1" applyAlignment="1">
      <alignment vertical="center"/>
    </xf>
    <xf numFmtId="176" fontId="389" fillId="2" borderId="240" xfId="0" applyNumberFormat="1" applyFont="1" applyFill="1" applyBorder="1" applyAlignment="1">
      <alignment horizontal="left" vertical="center" indent="1"/>
    </xf>
    <xf numFmtId="176" fontId="392" fillId="2" borderId="240" xfId="0" applyNumberFormat="1" applyFont="1" applyFill="1" applyBorder="1" applyAlignment="1">
      <alignment horizontal="center" vertical="center" wrapText="1"/>
    </xf>
    <xf numFmtId="176" fontId="392" fillId="2" borderId="244" xfId="0" applyNumberFormat="1" applyFont="1" applyFill="1" applyBorder="1" applyAlignment="1">
      <alignment horizontal="center" vertical="center" wrapText="1"/>
    </xf>
    <xf numFmtId="176" fontId="392" fillId="2" borderId="243" xfId="0" applyNumberFormat="1" applyFont="1" applyFill="1" applyBorder="1" applyAlignment="1">
      <alignment horizontal="center" vertical="center" wrapText="1"/>
    </xf>
    <xf numFmtId="176" fontId="392" fillId="2" borderId="319" xfId="0" applyNumberFormat="1" applyFont="1" applyFill="1" applyBorder="1" applyAlignment="1">
      <alignment horizontal="center" vertical="center" wrapText="1"/>
    </xf>
    <xf numFmtId="176" fontId="392" fillId="2" borderId="431" xfId="0" applyNumberFormat="1" applyFont="1" applyFill="1" applyBorder="1" applyAlignment="1">
      <alignment horizontal="center" vertical="center" wrapText="1"/>
    </xf>
    <xf numFmtId="176" fontId="392" fillId="2" borderId="485" xfId="0" applyNumberFormat="1" applyFont="1" applyFill="1" applyBorder="1" applyAlignment="1">
      <alignment horizontal="center" vertical="center" wrapText="1"/>
    </xf>
    <xf numFmtId="41" fontId="391" fillId="114" borderId="447" xfId="0" applyNumberFormat="1" applyFont="1" applyFill="1" applyBorder="1" applyAlignment="1">
      <alignment vertical="center"/>
    </xf>
    <xf numFmtId="184" fontId="391" fillId="114" borderId="447" xfId="0" applyNumberFormat="1" applyFont="1" applyFill="1" applyBorder="1" applyAlignment="1">
      <alignment vertical="center"/>
    </xf>
    <xf numFmtId="176" fontId="393" fillId="5" borderId="486" xfId="0" applyNumberFormat="1" applyFont="1" applyFill="1" applyBorder="1" applyAlignment="1">
      <alignment horizontal="center" vertical="center"/>
    </xf>
    <xf numFmtId="176" fontId="393" fillId="5" borderId="487" xfId="0" applyNumberFormat="1" applyFont="1" applyFill="1" applyBorder="1" applyAlignment="1">
      <alignment horizontal="center" vertical="center"/>
    </xf>
    <xf numFmtId="176" fontId="393" fillId="5" borderId="488" xfId="0" applyNumberFormat="1" applyFont="1" applyFill="1" applyBorder="1" applyAlignment="1">
      <alignment horizontal="center" vertical="center"/>
    </xf>
    <xf numFmtId="176" fontId="391" fillId="114" borderId="37" xfId="0" applyNumberFormat="1" applyFont="1" applyFill="1" applyBorder="1" applyAlignment="1">
      <alignment vertical="center"/>
    </xf>
    <xf numFmtId="176" fontId="391" fillId="114" borderId="38" xfId="0" applyNumberFormat="1" applyFont="1" applyFill="1" applyBorder="1" applyAlignment="1">
      <alignment vertical="center"/>
    </xf>
    <xf numFmtId="176" fontId="391" fillId="114" borderId="39" xfId="0" applyNumberFormat="1" applyFont="1" applyFill="1" applyBorder="1" applyAlignment="1">
      <alignment vertical="center"/>
    </xf>
    <xf numFmtId="176" fontId="391" fillId="9" borderId="222" xfId="0" applyNumberFormat="1" applyFont="1" applyFill="1" applyBorder="1" applyAlignment="1">
      <alignment vertical="center"/>
    </xf>
    <xf numFmtId="176" fontId="391" fillId="115" borderId="35" xfId="0" applyNumberFormat="1" applyFont="1" applyFill="1" applyBorder="1" applyAlignment="1">
      <alignment vertical="center"/>
    </xf>
    <xf numFmtId="176" fontId="391" fillId="115" borderId="0" xfId="0" applyNumberFormat="1" applyFont="1" applyFill="1" applyBorder="1" applyAlignment="1">
      <alignment vertical="center"/>
    </xf>
    <xf numFmtId="176" fontId="391" fillId="115" borderId="36" xfId="0" applyNumberFormat="1" applyFont="1" applyFill="1" applyBorder="1" applyAlignment="1">
      <alignment vertical="center"/>
    </xf>
    <xf numFmtId="0" fontId="405" fillId="9" borderId="53" xfId="0" applyNumberFormat="1" applyFont="1" applyFill="1" applyBorder="1" applyAlignment="1">
      <alignment horizontal="center" vertical="center"/>
    </xf>
    <xf numFmtId="176" fontId="405" fillId="9" borderId="54" xfId="0" applyNumberFormat="1" applyFont="1" applyFill="1" applyBorder="1" applyAlignment="1">
      <alignment vertical="center"/>
    </xf>
    <xf numFmtId="41" fontId="405" fillId="114" borderId="0" xfId="0" applyNumberFormat="1" applyFont="1" applyFill="1" applyAlignment="1">
      <alignment horizontal="right" vertical="center"/>
    </xf>
    <xf numFmtId="176" fontId="391" fillId="6" borderId="300" xfId="0" applyNumberFormat="1" applyFont="1" applyFill="1" applyBorder="1" applyAlignment="1">
      <alignment vertical="center"/>
    </xf>
    <xf numFmtId="176" fontId="391" fillId="6" borderId="489" xfId="0" applyNumberFormat="1" applyFont="1" applyFill="1" applyBorder="1" applyAlignment="1">
      <alignment vertical="center"/>
    </xf>
    <xf numFmtId="176" fontId="391" fillId="0" borderId="489" xfId="0" applyNumberFormat="1" applyFont="1" applyBorder="1" applyAlignment="1">
      <alignment vertical="center"/>
    </xf>
    <xf numFmtId="176" fontId="389" fillId="6" borderId="300" xfId="0" applyNumberFormat="1" applyFont="1" applyFill="1" applyBorder="1" applyAlignment="1">
      <alignment vertical="center"/>
    </xf>
    <xf numFmtId="176" fontId="389" fillId="6" borderId="489" xfId="0" applyNumberFormat="1" applyFont="1" applyFill="1" applyBorder="1" applyAlignment="1">
      <alignment vertical="center"/>
    </xf>
    <xf numFmtId="176" fontId="391" fillId="0" borderId="490" xfId="0" applyNumberFormat="1" applyFont="1" applyBorder="1" applyAlignment="1">
      <alignment vertical="center"/>
    </xf>
    <xf numFmtId="176" fontId="391" fillId="6" borderId="318" xfId="0" applyNumberFormat="1" applyFont="1" applyFill="1" applyBorder="1" applyAlignment="1">
      <alignment horizontal="center" vertical="center"/>
    </xf>
    <xf numFmtId="176" fontId="391" fillId="6" borderId="318" xfId="0" applyNumberFormat="1" applyFont="1" applyFill="1" applyBorder="1" applyAlignment="1">
      <alignment vertical="center"/>
    </xf>
    <xf numFmtId="176" fontId="405" fillId="2" borderId="319" xfId="0" applyNumberFormat="1" applyFont="1" applyFill="1" applyBorder="1" applyAlignment="1">
      <alignment horizontal="center" vertical="center" wrapText="1"/>
    </xf>
    <xf numFmtId="176" fontId="405" fillId="2" borderId="318" xfId="0" applyNumberFormat="1" applyFont="1" applyFill="1" applyBorder="1" applyAlignment="1">
      <alignment horizontal="center" vertical="center" wrapText="1"/>
    </xf>
    <xf numFmtId="176" fontId="389" fillId="0" borderId="46" xfId="0" applyNumberFormat="1" applyFont="1" applyBorder="1" applyAlignment="1">
      <alignment vertical="center"/>
    </xf>
    <xf numFmtId="176" fontId="391" fillId="2" borderId="359" xfId="0" applyNumberFormat="1" applyFont="1" applyFill="1" applyBorder="1" applyAlignment="1">
      <alignment vertical="center"/>
    </xf>
    <xf numFmtId="176" fontId="391" fillId="114" borderId="359" xfId="0" applyNumberFormat="1" applyFont="1" applyFill="1" applyBorder="1" applyAlignment="1">
      <alignment vertical="center"/>
    </xf>
    <xf numFmtId="176" fontId="391" fillId="114" borderId="491" xfId="0" applyNumberFormat="1" applyFont="1" applyFill="1" applyBorder="1" applyAlignment="1">
      <alignment vertical="center"/>
    </xf>
    <xf numFmtId="176" fontId="391" fillId="114" borderId="492" xfId="0" applyNumberFormat="1" applyFont="1" applyFill="1" applyBorder="1" applyAlignment="1">
      <alignment vertical="center"/>
    </xf>
    <xf numFmtId="176" fontId="391" fillId="114" borderId="493" xfId="0" applyNumberFormat="1" applyFont="1" applyFill="1" applyBorder="1" applyAlignment="1">
      <alignment vertical="center"/>
    </xf>
    <xf numFmtId="176" fontId="389" fillId="2" borderId="359" xfId="0" applyNumberFormat="1" applyFont="1" applyFill="1" applyBorder="1" applyAlignment="1">
      <alignment vertical="center"/>
    </xf>
    <xf numFmtId="176" fontId="391" fillId="0" borderId="359" xfId="0" applyNumberFormat="1" applyFont="1" applyFill="1" applyBorder="1" applyAlignment="1">
      <alignment vertical="center"/>
    </xf>
    <xf numFmtId="176" fontId="391" fillId="114" borderId="361" xfId="0" applyNumberFormat="1" applyFont="1" applyFill="1" applyBorder="1" applyAlignment="1">
      <alignment vertical="center"/>
    </xf>
    <xf numFmtId="176" fontId="388" fillId="29" borderId="454" xfId="0" applyNumberFormat="1" applyFont="1" applyFill="1" applyBorder="1" applyAlignment="1">
      <alignment horizontal="center" vertical="center" wrapText="1"/>
    </xf>
    <xf numFmtId="176" fontId="391" fillId="114" borderId="455" xfId="0" applyNumberFormat="1" applyFont="1" applyFill="1" applyBorder="1" applyAlignment="1">
      <alignment vertical="center"/>
    </xf>
    <xf numFmtId="176" fontId="391" fillId="114" borderId="456" xfId="0" applyNumberFormat="1" applyFont="1" applyFill="1" applyBorder="1" applyAlignment="1">
      <alignment vertical="center"/>
    </xf>
    <xf numFmtId="0" fontId="407" fillId="114" borderId="33" xfId="5" applyFont="1" applyFill="1" applyBorder="1" applyAlignment="1" applyProtection="1">
      <alignment horizontal="left" vertical="center" indent="1"/>
    </xf>
    <xf numFmtId="0" fontId="407" fillId="114" borderId="33" xfId="0" applyFont="1" applyFill="1" applyBorder="1" applyAlignment="1">
      <alignment horizontal="left" vertical="center" indent="1"/>
    </xf>
    <xf numFmtId="41" fontId="407" fillId="114" borderId="33" xfId="5" applyNumberFormat="1" applyFont="1" applyFill="1" applyBorder="1" applyAlignment="1" applyProtection="1">
      <alignment vertical="center"/>
    </xf>
    <xf numFmtId="41" fontId="407" fillId="114" borderId="0" xfId="5" applyNumberFormat="1" applyFont="1" applyFill="1" applyBorder="1" applyAlignment="1" applyProtection="1">
      <alignment vertical="center"/>
    </xf>
    <xf numFmtId="0" fontId="7" fillId="10" borderId="0" xfId="0" applyFont="1" applyFill="1" applyBorder="1" applyAlignment="1">
      <alignment horizontal="center" vertical="center"/>
    </xf>
    <xf numFmtId="0" fontId="400" fillId="18" borderId="128" xfId="172" applyFont="1" applyFill="1" applyBorder="1" applyAlignment="1">
      <alignment horizontal="center" vertical="center"/>
    </xf>
    <xf numFmtId="0" fontId="400" fillId="18" borderId="129" xfId="172" applyFont="1" applyFill="1" applyBorder="1" applyAlignment="1">
      <alignment horizontal="center" vertical="center"/>
    </xf>
    <xf numFmtId="181" fontId="397" fillId="0" borderId="462" xfId="0" applyNumberFormat="1" applyFont="1" applyBorder="1" applyAlignment="1">
      <alignment horizontal="center" vertical="center" wrapText="1"/>
    </xf>
    <xf numFmtId="181" fontId="397" fillId="0" borderId="463" xfId="0" applyNumberFormat="1" applyFont="1" applyBorder="1" applyAlignment="1">
      <alignment horizontal="center" vertical="center" wrapText="1"/>
    </xf>
    <xf numFmtId="0" fontId="398" fillId="24" borderId="98" xfId="0" applyFont="1" applyFill="1" applyBorder="1" applyAlignment="1">
      <alignment horizontal="center" vertical="center" wrapText="1"/>
    </xf>
    <xf numFmtId="0" fontId="398" fillId="24" borderId="99" xfId="0" applyFont="1" applyFill="1" applyBorder="1" applyAlignment="1">
      <alignment horizontal="center" vertical="center" wrapText="1"/>
    </xf>
    <xf numFmtId="0" fontId="398" fillId="24" borderId="100" xfId="0" applyFont="1" applyFill="1" applyBorder="1" applyAlignment="1">
      <alignment horizontal="center" vertical="center" wrapText="1"/>
    </xf>
    <xf numFmtId="0" fontId="388" fillId="5" borderId="71" xfId="0" applyFont="1" applyFill="1" applyBorder="1" applyAlignment="1">
      <alignment horizontal="center" vertical="center"/>
    </xf>
    <xf numFmtId="0" fontId="388" fillId="5" borderId="73" xfId="0" applyFont="1" applyFill="1" applyBorder="1" applyAlignment="1">
      <alignment horizontal="center" vertical="center"/>
    </xf>
    <xf numFmtId="0" fontId="388" fillId="5" borderId="303" xfId="0" applyFont="1" applyFill="1" applyBorder="1" applyAlignment="1">
      <alignment horizontal="center" vertical="center" wrapText="1"/>
    </xf>
    <xf numFmtId="0" fontId="388" fillId="5" borderId="241" xfId="0" applyFont="1" applyFill="1" applyBorder="1" applyAlignment="1">
      <alignment horizontal="center" vertical="center" wrapText="1"/>
    </xf>
    <xf numFmtId="181" fontId="398" fillId="24" borderId="398" xfId="0" applyNumberFormat="1" applyFont="1" applyFill="1" applyBorder="1" applyAlignment="1">
      <alignment horizontal="center" vertical="center" wrapText="1"/>
    </xf>
    <xf numFmtId="181" fontId="398" fillId="24" borderId="399" xfId="0" applyNumberFormat="1" applyFont="1" applyFill="1" applyBorder="1" applyAlignment="1">
      <alignment horizontal="center" vertical="center" wrapText="1"/>
    </xf>
    <xf numFmtId="0" fontId="388" fillId="5" borderId="302" xfId="0" applyFont="1" applyFill="1" applyBorder="1" applyAlignment="1">
      <alignment horizontal="center" vertical="center" wrapText="1"/>
    </xf>
    <xf numFmtId="0" fontId="388" fillId="5" borderId="305" xfId="0" applyFont="1" applyFill="1" applyBorder="1" applyAlignment="1">
      <alignment horizontal="center" vertical="center" wrapText="1"/>
    </xf>
    <xf numFmtId="0" fontId="388" fillId="5" borderId="390" xfId="0" applyFont="1" applyFill="1" applyBorder="1" applyAlignment="1">
      <alignment horizontal="center" vertical="center" wrapText="1"/>
    </xf>
    <xf numFmtId="0" fontId="388" fillId="5" borderId="318" xfId="0" applyFont="1" applyFill="1" applyBorder="1" applyAlignment="1">
      <alignment horizontal="center" vertical="center" wrapText="1"/>
    </xf>
    <xf numFmtId="181" fontId="398" fillId="24" borderId="397" xfId="0" applyNumberFormat="1" applyFont="1" applyFill="1" applyBorder="1" applyAlignment="1">
      <alignment horizontal="center" vertical="center" wrapText="1"/>
    </xf>
    <xf numFmtId="181" fontId="398" fillId="24" borderId="400" xfId="0" applyNumberFormat="1" applyFont="1" applyFill="1" applyBorder="1" applyAlignment="1">
      <alignment horizontal="center" vertical="center" wrapText="1"/>
    </xf>
    <xf numFmtId="181" fontId="398" fillId="24" borderId="434" xfId="0" applyNumberFormat="1" applyFont="1" applyFill="1" applyBorder="1" applyAlignment="1">
      <alignment horizontal="center" vertical="center" wrapText="1"/>
    </xf>
    <xf numFmtId="181" fontId="398" fillId="24" borderId="435" xfId="0" applyNumberFormat="1" applyFont="1" applyFill="1" applyBorder="1" applyAlignment="1">
      <alignment horizontal="center" vertical="center" wrapText="1"/>
    </xf>
    <xf numFmtId="0" fontId="388" fillId="31" borderId="303" xfId="0" applyFont="1" applyFill="1" applyBorder="1" applyAlignment="1">
      <alignment horizontal="center" vertical="center" wrapText="1"/>
    </xf>
    <xf numFmtId="0" fontId="388" fillId="31" borderId="241" xfId="0" applyFont="1" applyFill="1" applyBorder="1" applyAlignment="1">
      <alignment horizontal="center" vertical="center" wrapText="1"/>
    </xf>
    <xf numFmtId="0" fontId="388" fillId="5" borderId="392" xfId="0" applyFont="1" applyFill="1" applyBorder="1" applyAlignment="1">
      <alignment horizontal="center" vertical="center" wrapText="1"/>
    </xf>
    <xf numFmtId="0" fontId="388" fillId="5" borderId="247" xfId="0" applyFont="1" applyFill="1" applyBorder="1" applyAlignment="1">
      <alignment horizontal="center" vertical="center" wrapText="1"/>
    </xf>
    <xf numFmtId="0" fontId="388" fillId="5" borderId="304" xfId="0" applyFont="1" applyFill="1" applyBorder="1" applyAlignment="1">
      <alignment horizontal="center" vertical="center" wrapText="1"/>
    </xf>
    <xf numFmtId="0" fontId="388" fillId="5" borderId="306" xfId="0" applyFont="1" applyFill="1" applyBorder="1" applyAlignment="1">
      <alignment horizontal="center" vertical="center" wrapText="1"/>
    </xf>
    <xf numFmtId="176" fontId="388" fillId="5" borderId="40" xfId="0" applyNumberFormat="1" applyFont="1" applyFill="1" applyBorder="1" applyAlignment="1">
      <alignment horizontal="center" vertical="center"/>
    </xf>
    <xf numFmtId="176" fontId="388" fillId="5" borderId="42" xfId="0" applyNumberFormat="1" applyFont="1" applyFill="1" applyBorder="1" applyAlignment="1">
      <alignment horizontal="center" vertical="center"/>
    </xf>
    <xf numFmtId="176" fontId="388" fillId="5" borderId="41" xfId="0" applyNumberFormat="1" applyFont="1" applyFill="1" applyBorder="1" applyAlignment="1">
      <alignment horizontal="center" vertical="center"/>
    </xf>
    <xf numFmtId="176" fontId="388" fillId="5" borderId="43" xfId="0" applyNumberFormat="1" applyFont="1" applyFill="1" applyBorder="1" applyAlignment="1">
      <alignment horizontal="center" vertical="center"/>
    </xf>
    <xf numFmtId="176" fontId="388" fillId="5" borderId="74" xfId="0" applyNumberFormat="1" applyFont="1" applyFill="1" applyBorder="1" applyAlignment="1">
      <alignment horizontal="center" vertical="center"/>
    </xf>
    <xf numFmtId="176" fontId="388" fillId="5" borderId="79" xfId="0" applyNumberFormat="1" applyFont="1" applyFill="1" applyBorder="1" applyAlignment="1">
      <alignment horizontal="center" vertical="center"/>
    </xf>
    <xf numFmtId="176" fontId="7" fillId="5" borderId="71" xfId="0" applyNumberFormat="1" applyFont="1" applyFill="1" applyBorder="1" applyAlignment="1">
      <alignment horizontal="center" vertical="center"/>
    </xf>
    <xf numFmtId="176" fontId="7" fillId="5" borderId="72" xfId="0" applyNumberFormat="1" applyFont="1" applyFill="1" applyBorder="1" applyAlignment="1">
      <alignment horizontal="center" vertical="center"/>
    </xf>
    <xf numFmtId="176" fontId="7" fillId="5" borderId="73" xfId="0" applyNumberFormat="1" applyFont="1" applyFill="1" applyBorder="1" applyAlignment="1">
      <alignment horizontal="center" vertical="center"/>
    </xf>
    <xf numFmtId="176" fontId="14" fillId="5" borderId="63" xfId="0" applyNumberFormat="1" applyFont="1" applyFill="1" applyBorder="1" applyAlignment="1">
      <alignment horizontal="center" vertical="center"/>
    </xf>
    <xf numFmtId="176" fontId="14" fillId="5" borderId="64" xfId="0" applyNumberFormat="1" applyFont="1" applyFill="1" applyBorder="1" applyAlignment="1">
      <alignment horizontal="center" vertical="center"/>
    </xf>
    <xf numFmtId="176" fontId="14" fillId="5" borderId="65" xfId="0" applyNumberFormat="1" applyFont="1" applyFill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 wrapText="1"/>
    </xf>
    <xf numFmtId="176" fontId="24" fillId="0" borderId="26" xfId="0" applyNumberFormat="1" applyFont="1" applyBorder="1" applyAlignment="1">
      <alignment horizontal="center" vertical="center" wrapText="1"/>
    </xf>
    <xf numFmtId="176" fontId="22" fillId="0" borderId="29" xfId="0" applyNumberFormat="1" applyFont="1" applyBorder="1" applyAlignment="1">
      <alignment horizontal="center" vertical="center"/>
    </xf>
    <xf numFmtId="176" fontId="22" fillId="0" borderId="30" xfId="0" applyNumberFormat="1" applyFont="1" applyBorder="1" applyAlignment="1">
      <alignment horizontal="center" vertical="center"/>
    </xf>
    <xf numFmtId="176" fontId="24" fillId="0" borderId="24" xfId="0" applyNumberFormat="1" applyFont="1" applyBorder="1" applyAlignment="1">
      <alignment horizontal="center" vertical="center" wrapText="1"/>
    </xf>
    <xf numFmtId="176" fontId="24" fillId="0" borderId="29" xfId="0" applyNumberFormat="1" applyFont="1" applyBorder="1" applyAlignment="1">
      <alignment horizontal="center" vertical="center"/>
    </xf>
    <xf numFmtId="176" fontId="24" fillId="0" borderId="30" xfId="0" applyNumberFormat="1" applyFont="1" applyBorder="1" applyAlignment="1">
      <alignment horizontal="center" vertical="center"/>
    </xf>
    <xf numFmtId="14" fontId="7" fillId="7" borderId="21" xfId="0" applyNumberFormat="1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14" fontId="7" fillId="7" borderId="23" xfId="0" applyNumberFormat="1" applyFont="1" applyFill="1" applyBorder="1" applyAlignment="1">
      <alignment horizontal="center" vertical="center"/>
    </xf>
    <xf numFmtId="14" fontId="388" fillId="5" borderId="21" xfId="0" applyNumberFormat="1" applyFont="1" applyFill="1" applyBorder="1" applyAlignment="1">
      <alignment horizontal="center" vertical="center"/>
    </xf>
    <xf numFmtId="14" fontId="388" fillId="5" borderId="22" xfId="0" applyNumberFormat="1" applyFont="1" applyFill="1" applyBorder="1" applyAlignment="1">
      <alignment horizontal="center" vertical="center"/>
    </xf>
    <xf numFmtId="14" fontId="388" fillId="5" borderId="23" xfId="0" applyNumberFormat="1" applyFont="1" applyFill="1" applyBorder="1" applyAlignment="1">
      <alignment horizontal="center" vertical="center"/>
    </xf>
    <xf numFmtId="176" fontId="388" fillId="29" borderId="243" xfId="0" applyNumberFormat="1" applyFont="1" applyFill="1" applyBorder="1" applyAlignment="1">
      <alignment horizontal="center" vertical="center"/>
    </xf>
    <xf numFmtId="176" fontId="388" fillId="29" borderId="240" xfId="0" applyNumberFormat="1" applyFont="1" applyFill="1" applyBorder="1" applyAlignment="1">
      <alignment horizontal="center" vertical="center"/>
    </xf>
    <xf numFmtId="176" fontId="388" fillId="29" borderId="244" xfId="0" applyNumberFormat="1" applyFont="1" applyFill="1" applyBorder="1" applyAlignment="1">
      <alignment horizontal="center" vertical="center"/>
    </xf>
    <xf numFmtId="176" fontId="388" fillId="5" borderId="0" xfId="0" applyNumberFormat="1" applyFont="1" applyFill="1" applyAlignment="1">
      <alignment horizontal="center" vertical="center"/>
    </xf>
    <xf numFmtId="176" fontId="388" fillId="5" borderId="243" xfId="0" applyNumberFormat="1" applyFont="1" applyFill="1" applyBorder="1" applyAlignment="1">
      <alignment horizontal="center" vertical="center"/>
    </xf>
    <xf numFmtId="176" fontId="388" fillId="5" borderId="240" xfId="0" applyNumberFormat="1" applyFont="1" applyFill="1" applyBorder="1" applyAlignment="1">
      <alignment horizontal="center" vertical="center"/>
    </xf>
    <xf numFmtId="176" fontId="388" fillId="5" borderId="244" xfId="0" applyNumberFormat="1" applyFont="1" applyFill="1" applyBorder="1" applyAlignment="1">
      <alignment horizontal="center" vertical="center"/>
    </xf>
    <xf numFmtId="176" fontId="396" fillId="5" borderId="292" xfId="0" applyNumberFormat="1" applyFont="1" applyFill="1" applyBorder="1" applyAlignment="1">
      <alignment horizontal="center" vertical="center"/>
    </xf>
    <xf numFmtId="176" fontId="396" fillId="5" borderId="431" xfId="0" applyNumberFormat="1" applyFont="1" applyFill="1" applyBorder="1" applyAlignment="1">
      <alignment horizontal="center" vertical="center"/>
    </xf>
    <xf numFmtId="176" fontId="396" fillId="5" borderId="413" xfId="0" applyNumberFormat="1" applyFont="1" applyFill="1" applyBorder="1" applyAlignment="1">
      <alignment horizontal="center" vertical="center"/>
    </xf>
    <xf numFmtId="176" fontId="390" fillId="5" borderId="292" xfId="0" applyNumberFormat="1" applyFont="1" applyFill="1" applyBorder="1" applyAlignment="1">
      <alignment horizontal="center" vertical="center"/>
    </xf>
    <xf numFmtId="176" fontId="390" fillId="5" borderId="293" xfId="0" applyNumberFormat="1" applyFont="1" applyFill="1" applyBorder="1" applyAlignment="1">
      <alignment horizontal="center" vertical="center"/>
    </xf>
    <xf numFmtId="0" fontId="397" fillId="25" borderId="108" xfId="0" applyFont="1" applyFill="1" applyBorder="1" applyAlignment="1">
      <alignment horizontal="right" vertical="top" wrapText="1"/>
    </xf>
    <xf numFmtId="0" fontId="397" fillId="25" borderId="109" xfId="0" applyFont="1" applyFill="1" applyBorder="1" applyAlignment="1">
      <alignment horizontal="right" vertical="top" wrapText="1"/>
    </xf>
    <xf numFmtId="0" fontId="397" fillId="25" borderId="100" xfId="0" applyFont="1" applyFill="1" applyBorder="1" applyAlignment="1">
      <alignment horizontal="right" vertical="top" wrapText="1"/>
    </xf>
    <xf numFmtId="0" fontId="397" fillId="25" borderId="110" xfId="0" applyFont="1" applyFill="1" applyBorder="1" applyAlignment="1">
      <alignment horizontal="center" vertical="center" wrapText="1"/>
    </xf>
    <xf numFmtId="0" fontId="397" fillId="25" borderId="107" xfId="0" applyFont="1" applyFill="1" applyBorder="1" applyAlignment="1">
      <alignment horizontal="center" vertical="center" wrapText="1"/>
    </xf>
    <xf numFmtId="0" fontId="397" fillId="25" borderId="111" xfId="0" applyFont="1" applyFill="1" applyBorder="1" applyAlignment="1">
      <alignment horizontal="center" vertical="top" wrapText="1"/>
    </xf>
    <xf numFmtId="0" fontId="397" fillId="25" borderId="106" xfId="0" applyFont="1" applyFill="1" applyBorder="1" applyAlignment="1">
      <alignment horizontal="center" vertical="top" wrapText="1"/>
    </xf>
    <xf numFmtId="0" fontId="397" fillId="25" borderId="112" xfId="0" applyFont="1" applyFill="1" applyBorder="1" applyAlignment="1">
      <alignment horizontal="center" vertical="top" wrapText="1"/>
    </xf>
    <xf numFmtId="176" fontId="393" fillId="5" borderId="0" xfId="0" applyNumberFormat="1" applyFont="1" applyFill="1" applyAlignment="1">
      <alignment horizontal="center" vertical="center"/>
    </xf>
    <xf numFmtId="176" fontId="393" fillId="5" borderId="243" xfId="0" applyNumberFormat="1" applyFont="1" applyFill="1" applyBorder="1" applyAlignment="1">
      <alignment horizontal="center" vertical="center"/>
    </xf>
    <xf numFmtId="176" fontId="393" fillId="5" borderId="240" xfId="0" applyNumberFormat="1" applyFont="1" applyFill="1" applyBorder="1" applyAlignment="1">
      <alignment horizontal="center" vertical="center"/>
    </xf>
    <xf numFmtId="176" fontId="393" fillId="5" borderId="244" xfId="0" applyNumberFormat="1" applyFont="1" applyFill="1" applyBorder="1" applyAlignment="1">
      <alignment horizontal="center" vertical="center"/>
    </xf>
    <xf numFmtId="176" fontId="388" fillId="5" borderId="241" xfId="0" applyNumberFormat="1" applyFont="1" applyFill="1" applyBorder="1" applyAlignment="1">
      <alignment horizontal="center" vertical="center"/>
    </xf>
    <xf numFmtId="176" fontId="388" fillId="5" borderId="245" xfId="0" applyNumberFormat="1" applyFont="1" applyFill="1" applyBorder="1" applyAlignment="1">
      <alignment horizontal="center" vertical="center"/>
    </xf>
    <xf numFmtId="176" fontId="388" fillId="5" borderId="32" xfId="0" applyNumberFormat="1" applyFont="1" applyFill="1" applyBorder="1" applyAlignment="1">
      <alignment horizontal="center" vertical="center"/>
    </xf>
    <xf numFmtId="176" fontId="388" fillId="5" borderId="35" xfId="0" applyNumberFormat="1" applyFont="1" applyFill="1" applyBorder="1" applyAlignment="1">
      <alignment horizontal="center" vertical="center"/>
    </xf>
    <xf numFmtId="176" fontId="388" fillId="5" borderId="34" xfId="0" applyNumberFormat="1" applyFont="1" applyFill="1" applyBorder="1" applyAlignment="1">
      <alignment horizontal="center" vertical="center"/>
    </xf>
    <xf numFmtId="176" fontId="388" fillId="5" borderId="36" xfId="0" applyNumberFormat="1" applyFont="1" applyFill="1" applyBorder="1" applyAlignment="1">
      <alignment horizontal="center" vertical="center"/>
    </xf>
    <xf numFmtId="176" fontId="388" fillId="5" borderId="33" xfId="0" applyNumberFormat="1" applyFont="1" applyFill="1" applyBorder="1" applyAlignment="1">
      <alignment horizontal="center" vertical="center"/>
    </xf>
    <xf numFmtId="176" fontId="388" fillId="5" borderId="327" xfId="0" applyNumberFormat="1" applyFont="1" applyFill="1" applyBorder="1" applyAlignment="1">
      <alignment horizontal="center" vertical="center"/>
    </xf>
    <xf numFmtId="176" fontId="388" fillId="5" borderId="330" xfId="0" applyNumberFormat="1" applyFont="1" applyFill="1" applyBorder="1" applyAlignment="1">
      <alignment horizontal="center" vertical="center"/>
    </xf>
    <xf numFmtId="176" fontId="388" fillId="5" borderId="328" xfId="0" applyNumberFormat="1" applyFont="1" applyFill="1" applyBorder="1" applyAlignment="1">
      <alignment horizontal="center" vertical="center"/>
    </xf>
    <xf numFmtId="176" fontId="388" fillId="5" borderId="331" xfId="0" applyNumberFormat="1" applyFont="1" applyFill="1" applyBorder="1" applyAlignment="1">
      <alignment horizontal="center" vertical="center"/>
    </xf>
  </cellXfs>
  <cellStyles count="10065">
    <cellStyle name="_x0001_" xfId="182"/>
    <cellStyle name="_x0005_" xfId="183"/>
    <cellStyle name="_x0014_" xfId="184"/>
    <cellStyle name="_x0015_" xfId="185"/>
    <cellStyle name="_x001f_" xfId="186"/>
    <cellStyle name="-" xfId="187"/>
    <cellStyle name="          _x000d__x000a_386grabber=AVGA.3GR_x000d_" xfId="188"/>
    <cellStyle name="          _x000d__x000a_386grabber=KSVGA.3GR" xfId="189"/>
    <cellStyle name="          _x000d__x000a_386grabber=vga.3gr_x000d__x000a_" xfId="190"/>
    <cellStyle name="          _x000d__x000a_shell=progman.exe_x000d__x000a_m" xfId="191"/>
    <cellStyle name="_x000a_386grabber=M" xfId="192"/>
    <cellStyle name="_x0015__x000c_??" xfId="193"/>
    <cellStyle name="_x000c_????" xfId="194"/>
    <cellStyle name="#" xfId="195"/>
    <cellStyle name="-#,###" xfId="196"/>
    <cellStyle name="#,##0" xfId="197"/>
    <cellStyle name="#,##0.0" xfId="198"/>
    <cellStyle name="#,##0.00" xfId="199"/>
    <cellStyle name="#,##0.000" xfId="200"/>
    <cellStyle name="#,##0_현대자산운용 201003_중요성기준_최종" xfId="201"/>
    <cellStyle name="#_수정사항리스트_0906_현대선물" xfId="202"/>
    <cellStyle name="#_정산표-현대선물_200906_ver3" xfId="203"/>
    <cellStyle name="$" xfId="204"/>
    <cellStyle name="$_09성남" xfId="205"/>
    <cellStyle name="$_db진흥" xfId="206"/>
    <cellStyle name="$_견적2" xfId="207"/>
    <cellStyle name="$_기아" xfId="208"/>
    <cellStyle name="(△콤마)" xfId="209"/>
    <cellStyle name="(백분율)" xfId="210"/>
    <cellStyle name="(콤마)" xfId="211"/>
    <cellStyle name=",7" xfId="212"/>
    <cellStyle name="." xfId="213"/>
    <cellStyle name="_x0002_._x0011__x0002_._x001b__x0002_ _x0015_%_x0018__x0001_" xfId="10"/>
    <cellStyle name="_x0002_._x0011__x0002_._x001b__x0002_ _x0015_%_x0018__x0001_ 2" xfId="214"/>
    <cellStyle name=".000" xfId="215"/>
    <cellStyle name=".000 2" xfId="216"/>
    <cellStyle name="?" xfId="217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218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" xfId="219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 2" xfId="220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 3" xfId="221"/>
    <cellStyle name="??" xfId="222"/>
    <cellStyle name="?? [0]_??" xfId="223"/>
    <cellStyle name="??_x000c_@?_x000d_3?_x0001__x000b_" xfId="224"/>
    <cellStyle name="??_x000c_8'_x000d_+U_x0001_??_x0007__x0001__x0001_" xfId="225"/>
    <cellStyle name="??_x000c_溜_x0012__x000d_肥U_x0001_?_x0006_?_x0007__x0001__x0001_" xfId="226"/>
    <cellStyle name="??&amp;O?" xfId="227"/>
    <cellStyle name="??&amp;O?&amp;H?_x0008__x000f__x0007_?_x0007__x0001__x0001_" xfId="228"/>
    <cellStyle name="??&amp;O?&amp;H?_x000f__x0007_?_x0007__x0001__x0001_" xfId="229"/>
    <cellStyle name="??&amp;O?&amp;H?_x0008__x000f__x0007_?_x0007__x0001__x0001_ 2" xfId="230"/>
    <cellStyle name="??&amp;O?&amp;H?_x0008__x000f__x0007_?_x0007__x0001__x0001_ 3" xfId="231"/>
    <cellStyle name="??&amp;O?&amp;H?_x0008_??_x0007__x0001__x0001_" xfId="232"/>
    <cellStyle name="??&amp;O?&amp;H?_x0008_??_x0007__x0001__x0001_ 2" xfId="233"/>
    <cellStyle name="??&amp;O?&amp;H?_x0008_??_x0007__x0001__x0001_ 3" xfId="234"/>
    <cellStyle name="??&amp;O?&amp;H?_x0008_?_x000d__x0007__x0001__x0001_" xfId="235"/>
    <cellStyle name="??&amp;O?&amp;H?_x0008_K_x0007__x001f__x0008__x0007__x0001__x0001_" xfId="236"/>
    <cellStyle name="??&amp;O?&amp;H?_x0008_x_x000b_P_x000c__x0007__x0001__x0001_" xfId="237"/>
    <cellStyle name="??&amp;O?_2004 스토리지텍" xfId="238"/>
    <cellStyle name="??&amp;O?쪯?_x0008__x000f__x0007_?_x0007__x0001__x0001_" xfId="239"/>
    <cellStyle name="??&amp;쏗?뷐9_x0008__x0011__x0007_?_x0007__x0001__x0001_" xfId="240"/>
    <cellStyle name="???­ [0]_´?¿?±?" xfId="241"/>
    <cellStyle name="???? [0]_???? " xfId="242"/>
    <cellStyle name="??????????????" xfId="243"/>
    <cellStyle name="??????????????????????????????" xfId="244"/>
    <cellStyle name="??????????????????????????????????????????" xfId="245"/>
    <cellStyle name="??????????????????????????????????????????????????" xfId="246"/>
    <cellStyle name="??????????????????????????????????????????????????????" xfId="247"/>
    <cellStyle name="??????????????ㅻ?ㄷ?" xfId="248"/>
    <cellStyle name="?????_VERA" xfId="249"/>
    <cellStyle name="????_???? " xfId="250"/>
    <cellStyle name="???_?????? " xfId="251"/>
    <cellStyle name="???­_´?¿?±?" xfId="252"/>
    <cellStyle name="???Ø_??°???(2¿?) " xfId="253"/>
    <cellStyle name="??_  ?  ?  " xfId="254"/>
    <cellStyle name="??괜?A" xfId="255"/>
    <cellStyle name="??ㅻ?ㄷ?" xfId="256"/>
    <cellStyle name="?e??A?_laroux_A??I2A?_BS&amp;IncStat_PL_S " xfId="257"/>
    <cellStyle name="?k?Tl익" xfId="258"/>
    <cellStyle name="?ŀ" xfId="259"/>
    <cellStyle name="?ŀ 2" xfId="260"/>
    <cellStyle name="?ŀŀ??ŀŀ??ŀ" xfId="261"/>
    <cellStyle name="?ŀŀ??ŀŀ??ŀŀ??ŀŀ??ŀŀ??ŀŀ??ŀŀ??ŀŀ??ŀŀ??ŀ" xfId="262"/>
    <cellStyle name="?Þ¸¶ [0]_´?¿?±?" xfId="263"/>
    <cellStyle name="?Þ¸¶_´?¿?±?" xfId="264"/>
    <cellStyle name="?W?_laroux" xfId="265"/>
    <cellStyle name="?렑띙귒궻긪귽긬?깏깛긏" xfId="266"/>
    <cellStyle name="?마 [0]_CASH FLOW " xfId="267"/>
    <cellStyle name="?마_CASH FLOW " xfId="268"/>
    <cellStyle name="?頂_x000c_:?_x000d_3?_x0001_??_x0007__x0001__x0001_" xfId="269"/>
    <cellStyle name="?칮E0899intecosch" xfId="270"/>
    <cellStyle name="?칮E0899M1RP" xfId="271"/>
    <cellStyle name="?칮E1999Year End Provision" xfId="272"/>
    <cellStyle name="?핺_2Q97 dist.EOM " xfId="273"/>
    <cellStyle name="]_^[꺞_x0008_?" xfId="274"/>
    <cellStyle name="-_  코크렙1호 조서 등-강지웅의 워크시트" xfId="275"/>
    <cellStyle name="-_  코크렙1호 조서 등-강지웅의 워크시트_KMW03(3분기)" xfId="276"/>
    <cellStyle name="-_  코크렙1호 조서 등-강지웅의 워크시트_KMW03기말" xfId="277"/>
    <cellStyle name="-_  코크렙1호 조서 등-강지웅의 워크시트_KMW03반기" xfId="278"/>
    <cellStyle name="-_  코크렙1호 조서 등-강지웅의 워크시트_KMW03반기_1" xfId="279"/>
    <cellStyle name="-_  코크렙1호 조서 등-강지웅의 워크시트_KMW03반기_KMW03기말" xfId="280"/>
    <cellStyle name="-_  코크렙1호 조서 등-강지웅의 워크시트_KMW03반기_KMW03반기" xfId="281"/>
    <cellStyle name="-_  코크렙1호 조서 등-강지웅의 워크시트_KMW03반기_kmw기말수정사항(민은기)" xfId="282"/>
    <cellStyle name="-_  코크렙1호 조서 등-강지웅의 워크시트_KMW03반기_KMW정산표(2004.2.27)" xfId="283"/>
    <cellStyle name="-_  코크렙1호 조서 등-강지웅의 워크시트_kmw기말수정사항(민은기)" xfId="284"/>
    <cellStyle name="-_  코크렙1호 조서 등-강지웅의 워크시트_KMW정산표(2004.2.27)" xfId="285"/>
    <cellStyle name="_(Read-Only) Working Paper - 투자유가증권증감내역의 워크시트" xfId="286"/>
    <cellStyle name="_(전사)200008지표" xfId="287"/>
    <cellStyle name="-_(주)Mcnulty_Cashflowstatement_2005" xfId="288"/>
    <cellStyle name="_(주)동부cwi01" xfId="289"/>
    <cellStyle name="-_(주)맥널티 주석사항" xfId="290"/>
    <cellStyle name="__세넥스테크놀로지 반기조서(2002.8.8)" xfId="291"/>
    <cellStyle name="_~4716407" xfId="292"/>
    <cellStyle name="_◈최종퍼시스AS(2003-2q)" xfId="293"/>
    <cellStyle name="_0_요약손분" xfId="294"/>
    <cellStyle name="_0000 - 대원씨아이" xfId="295"/>
    <cellStyle name="_00년 반기지분법" xfId="296"/>
    <cellStyle name="_01 LKFS Leadsheet2002반기검토" xfId="297"/>
    <cellStyle name="_01기말애드라WP차입금" xfId="298"/>
    <cellStyle name="_'02_YE_Bellwave_LS" xfId="299"/>
    <cellStyle name="_02SBK_WP" xfId="300"/>
    <cellStyle name="_02기말_cwi" xfId="301"/>
    <cellStyle name="_02티엔터테인먼트_정산표0402_선수금돌린후" xfId="302"/>
    <cellStyle name="_03매출조서" xfId="303"/>
    <cellStyle name="_03자본(에피온)" xfId="304"/>
    <cellStyle name="_040930leadsheet_이연법인세_5" xfId="305"/>
    <cellStyle name="_04반기_디피씨 정산표 0811-final" xfId="306"/>
    <cellStyle name="_06 진행율_회사에 검토요청_030310" xfId="307"/>
    <cellStyle name="_06.선급이자원천징수" xfId="308"/>
    <cellStyle name="_06'국내_총괄" xfId="309"/>
    <cellStyle name="_06년감사자료 (3)" xfId="310"/>
    <cellStyle name="_06'해외_총괄" xfId="311"/>
    <cellStyle name="_07.기당자" xfId="312"/>
    <cellStyle name="_1_영상(1109_3)_본사" xfId="313"/>
    <cellStyle name="_11 전기 보고서" xfId="314"/>
    <cellStyle name="_11.임차보증금" xfId="315"/>
    <cellStyle name="_14.미지급금" xfId="316"/>
    <cellStyle name="_15.예수금" xfId="317"/>
    <cellStyle name="_17.기유부" xfId="318"/>
    <cellStyle name="_1분기결산자료_030421" xfId="319"/>
    <cellStyle name="_2 0 0 6   개 발 비 (2)" xfId="320"/>
    <cellStyle name="_2 0 0 6   개 발 비 (4)" xfId="321"/>
    <cellStyle name="_2 0 0 6   금     형" xfId="322"/>
    <cellStyle name="_2 0 0 6   금     형 (2)" xfId="323"/>
    <cellStyle name="_2.조서(대원씨아이)" xfId="324"/>
    <cellStyle name="_2000 eyesvision final worksheet(hka)" xfId="325"/>
    <cellStyle name="_2000사업계획" xfId="326"/>
    <cellStyle name="_2000사업계획서종합3" xfId="327"/>
    <cellStyle name="_200112외단집계표" xfId="328"/>
    <cellStyle name="_2001년수립지침" xfId="329"/>
    <cellStyle name="_2002 퇴직금 추계액 (Organon)" xfId="330"/>
    <cellStyle name="_2003(1Q)_FS&amp;명세서" xfId="331"/>
    <cellStyle name="_2003(1Q)_케이씨텍 감사자료" xfId="332"/>
    <cellStyle name="_2003(2Q)_Depreciation Table" xfId="333"/>
    <cellStyle name="_2003(3Q)_Depreciation Table" xfId="334"/>
    <cellStyle name="_2003(4Q)_결산_FS" xfId="335"/>
    <cellStyle name="_2003(4Q)_결산_명세서" xfId="336"/>
    <cellStyle name="_2003(반기)_케이씨텍_FS&amp;명세" xfId="337"/>
    <cellStyle name="_2003_Bad Debt Exp" xfId="338"/>
    <cellStyle name="_2003_디지털월드기말조서(YJH)_0217" xfId="339"/>
    <cellStyle name="_2003_디지털월드기말조서(YJH)_0219" xfId="340"/>
    <cellStyle name="_2003-06월 결산" xfId="341"/>
    <cellStyle name="_2003-12월 감가상각" xfId="342"/>
    <cellStyle name="_2003-12월 결산" xfId="343"/>
    <cellStyle name="_2003계획(총량) 손익계산서 양식" xfId="344"/>
    <cellStyle name="_2003기말조서-용호" xfId="345"/>
    <cellStyle name="_2003년 2Q_김항규" xfId="346"/>
    <cellStyle name="_2003년 4Q결산명세서(본사)" xfId="347"/>
    <cellStyle name="_2003년 결산보고서" xfId="348"/>
    <cellStyle name="_2003년1분기매출" xfId="349"/>
    <cellStyle name="_2004 스토리지텍" xfId="350"/>
    <cellStyle name="_2004_디지털월드반기조서" xfId="351"/>
    <cellStyle name="_2004CTR-ULKOREA" xfId="352"/>
    <cellStyle name="_2004년 법인세 세부 내역" xfId="353"/>
    <cellStyle name="_2004엠에이티정산표v7(세후)" xfId="354"/>
    <cellStyle name="_2004코아매직기말조서2(개발비)" xfId="355"/>
    <cellStyle name="_2004코아매직반기조서-2" xfId="356"/>
    <cellStyle name="_2005.03계정명세" xfId="357"/>
    <cellStyle name="_2006 06 상품수불" xfId="358"/>
    <cellStyle name="_2006 06 정산표 - 감사조정반영-peahen" xfId="359"/>
    <cellStyle name="_2006 12 사채" xfId="360"/>
    <cellStyle name="_2006 12 사채 (2)" xfId="361"/>
    <cellStyle name="_2006 재무제표 VER1.1" xfId="362"/>
    <cellStyle name="_2006.04.30 CF(E)" xfId="363"/>
    <cellStyle name="_2006.06 원재료재고" xfId="364"/>
    <cellStyle name="_2006.06 재고리스트" xfId="365"/>
    <cellStyle name="_2006.12 정산표ver0.2-은행제출용" xfId="366"/>
    <cellStyle name="_200608-적립캐쉬_최세영" xfId="367"/>
    <cellStyle name="_2006년기말정산표_CF(ver2.2_0301)" xfId="368"/>
    <cellStyle name="_2007년 1분기 정산표-GST" xfId="369"/>
    <cellStyle name="_2262 수정사항 정산표" xfId="370"/>
    <cellStyle name="_226유무형자산명세서(3분기)" xfId="371"/>
    <cellStyle name="_29.임대수익,잡이익" xfId="372"/>
    <cellStyle name="_2기lead" xfId="373"/>
    <cellStyle name="_30.잡손실" xfId="374"/>
    <cellStyle name="_3000-911 예치금 이자수익 TEST" xfId="375"/>
    <cellStyle name="_3031 이자수익overall test" xfId="376"/>
    <cellStyle name="_304 감가상각비(유무형자산)" xfId="377"/>
    <cellStyle name="_32.관계사" xfId="378"/>
    <cellStyle name="_3200_법인세비용_07" xfId="379"/>
    <cellStyle name="_3200매출채권" xfId="380"/>
    <cellStyle name="_3300" xfId="381"/>
    <cellStyle name="_3400-3022" xfId="382"/>
    <cellStyle name="_35.정리담보권(유동)" xfId="383"/>
    <cellStyle name="_3500" xfId="384"/>
    <cellStyle name="_36.정리채권(유동)" xfId="385"/>
    <cellStyle name="_3700E_11_TB(다음게임)_0225" xfId="386"/>
    <cellStyle name="_3701 투자유가증권" xfId="387"/>
    <cellStyle name="_3900 안정국 2003.02.04" xfId="388"/>
    <cellStyle name="_3월속보경비" xfId="389"/>
    <cellStyle name="_41.정리담보권(고정)" xfId="390"/>
    <cellStyle name="_4100현금및현금등가물(동일05반기)" xfId="391"/>
    <cellStyle name="_42.정리채권(고정)" xfId="392"/>
    <cellStyle name="_4기기말5-유동부채" xfId="393"/>
    <cellStyle name="_4월외화 (1)" xfId="394"/>
    <cellStyle name="_5_프린팅(1110_1)_구조본" xfId="395"/>
    <cellStyle name="_5월출고0504 (2)" xfId="396"/>
    <cellStyle name="_6000-1000영업손익총괄표" xfId="397"/>
    <cellStyle name="_6300-15021 퇴충OVERALL TEST" xfId="398"/>
    <cellStyle name="_6300퇴직급여1" xfId="399"/>
    <cellStyle name="_6월수주0504 (2)" xfId="400"/>
    <cellStyle name="_6월수주0525 (2)" xfId="401"/>
    <cellStyle name="_6월수주0602 (2)" xfId="402"/>
    <cellStyle name="_7110 자본의 워크시트" xfId="403"/>
    <cellStyle name="_7112 주식매입선택권 재계산시(가정)" xfId="404"/>
    <cellStyle name="_99 Lead" xfId="405"/>
    <cellStyle name="_9910-구매업무보고-05" xfId="406"/>
    <cellStyle name="_9910-구매업무보고-05_1" xfId="407"/>
    <cellStyle name="_991관리" xfId="408"/>
    <cellStyle name="_99경리팀" xfId="409"/>
    <cellStyle name="_99경리팀_1" xfId="410"/>
    <cellStyle name="_99경리팀_2" xfId="411"/>
    <cellStyle name="_'99상반기경영개선활동결과(게시용)" xfId="412"/>
    <cellStyle name="_99특성DB" xfId="413"/>
    <cellStyle name="_AJE - 세넥스" xfId="414"/>
    <cellStyle name="_AJE List(CLOSING)-2002-필드철수" xfId="415"/>
    <cellStyle name="_AJE List_03기말_플레너스2" xfId="416"/>
    <cellStyle name="_AJE List와 Issue 사항" xfId="417"/>
    <cellStyle name="_aje(2003.8.02)" xfId="418"/>
    <cellStyle name="_AJE_반기검토(04)_0721" xfId="419"/>
    <cellStyle name="_AJE_반기검토(04)_0723" xfId="420"/>
    <cellStyle name="_Analystical Review_유성07" xfId="421"/>
    <cellStyle name="_Analytical Review" xfId="422"/>
    <cellStyle name="_Analytical Review 2" xfId="423"/>
    <cellStyle name="_Book1" xfId="424"/>
    <cellStyle name="_Book1 2" xfId="425"/>
    <cellStyle name="_Book1_NI테크-03기말_jhs(감리1)" xfId="426"/>
    <cellStyle name="_Book2" xfId="427"/>
    <cellStyle name="_Book2 Chart 1" xfId="428"/>
    <cellStyle name="_Book2 Chart 2" xfId="429"/>
    <cellStyle name="_Book2 Chart 3" xfId="430"/>
    <cellStyle name="_Book2 Chart 4" xfId="431"/>
    <cellStyle name="_Book2 Chart 5" xfId="432"/>
    <cellStyle name="_Book2 Chart 6" xfId="433"/>
    <cellStyle name="_Book2 Chart 7" xfId="434"/>
    <cellStyle name="_Book2 Chart 8" xfId="435"/>
    <cellStyle name="_Book2 Chart 9" xfId="436"/>
    <cellStyle name="_BUS단가및COMP가조정" xfId="437"/>
    <cellStyle name="_BUS단가및COMP가조정_WACC" xfId="438"/>
    <cellStyle name="_BUS단가및COMP가조정_대차대조표" xfId="439"/>
    <cellStyle name="_CASH117" xfId="440"/>
    <cellStyle name="_CF040630_반기_0804_3" xfId="441"/>
    <cellStyle name="_cfsrealfinal" xfId="442"/>
    <cellStyle name="_CF-근화제약-03기말_ver5_건자수정후" xfId="443"/>
    <cellStyle name="_CJ04기말" xfId="444"/>
    <cellStyle name="_CJInternet_정산표_0130" xfId="445"/>
    <cellStyle name="_Column1" xfId="446"/>
    <cellStyle name="_Column1_2002 Plan-Les" xfId="447"/>
    <cellStyle name="_Column1_2003 Actual-Les" xfId="448"/>
    <cellStyle name="_Column1_2003 Plan-Les" xfId="449"/>
    <cellStyle name="_Column1_2004 Actual-Les" xfId="450"/>
    <cellStyle name="_Column1_Book1" xfId="451"/>
    <cellStyle name="_Column2" xfId="452"/>
    <cellStyle name="_Column3" xfId="453"/>
    <cellStyle name="_Column4" xfId="454"/>
    <cellStyle name="_Column5" xfId="455"/>
    <cellStyle name="_Column6" xfId="456"/>
    <cellStyle name="_Column7" xfId="457"/>
    <cellStyle name="_cssh0206" xfId="458"/>
    <cellStyle name="_CWI(반기)2002" xfId="459"/>
    <cellStyle name="_CWI(반기)2002-최악의경우" xfId="460"/>
    <cellStyle name="_Data" xfId="461"/>
    <cellStyle name="_Data_2002 Plan-Les" xfId="462"/>
    <cellStyle name="_Data_2003 Actual-Les" xfId="463"/>
    <cellStyle name="_Data_2003 Plan-Les" xfId="464"/>
    <cellStyle name="_Data_2004 Actual-Les" xfId="465"/>
    <cellStyle name="_Data_Book1" xfId="466"/>
    <cellStyle name="_Data_년간전망(5월실적반영)" xfId="467"/>
    <cellStyle name="_Daum_subsidiaries검토양식_다음게임-1026" xfId="468"/>
    <cellStyle name="_Daum캐쉬 월별잔액_061009_최세영" xfId="469"/>
    <cellStyle name="_dimon" xfId="470"/>
    <cellStyle name="_DUE00802_FS" xfId="471"/>
    <cellStyle name="_foxz" xfId="472"/>
    <cellStyle name="_foxz_경비계획" xfId="473"/>
    <cellStyle name="_foxz_경비계획_WACC" xfId="474"/>
    <cellStyle name="_foxz_경비계획_대차대조표" xfId="475"/>
    <cellStyle name="_foxz_현대자산운용 201003_중요성기준_최종" xfId="476"/>
    <cellStyle name="_G(판매)PAD(인프라웨어_2003)" xfId="477"/>
    <cellStyle name="_General조서_MAT04_1013_이연법인세 반영" xfId="478"/>
    <cellStyle name="_GlobalMFG_ARJList(확정)" xfId="479"/>
    <cellStyle name="_Global손익(0209)" xfId="480"/>
    <cellStyle name="_Grace정산표_08_0303" xfId="481"/>
    <cellStyle name="_Hanchag_2004반기_scs_20040726" xfId="482"/>
    <cellStyle name="_Hanchang_PL_0801" xfId="483"/>
    <cellStyle name="_Header" xfId="484"/>
    <cellStyle name="_Header_00연계실적(GPM-GFAS)" xfId="485"/>
    <cellStyle name="_Header_00연계실적(GPM-GFAS)3" xfId="486"/>
    <cellStyle name="_Header_4월집계" xfId="487"/>
    <cellStyle name="_Header_CON_SP_GPM" xfId="488"/>
    <cellStyle name="_IDdigital정산표(최종)" xfId="489"/>
    <cellStyle name="_inventory2" xfId="490"/>
    <cellStyle name="_IR해중" xfId="491"/>
    <cellStyle name="_IS&amp;CF_Report form" xfId="492"/>
    <cellStyle name="_JA" xfId="493"/>
    <cellStyle name="_JYPE for Daum(Issue Memo)" xfId="494"/>
    <cellStyle name="_KC(1).Tech_정산표_0512" xfId="495"/>
    <cellStyle name="_kdvd경비" xfId="496"/>
    <cellStyle name="-_KITCO분석조서" xfId="497"/>
    <cellStyle name="-_KITCO분석조서_(주)Mcnulty_Cashflowstatement_2005" xfId="498"/>
    <cellStyle name="-_KITCO분석조서_(주)맥널티 주석사항" xfId="499"/>
    <cellStyle name="-_KITCO분석조서_PJ Electric_자본변동표" xfId="500"/>
    <cellStyle name="-_KITCO분석조서_법인세비용" xfId="501"/>
    <cellStyle name="-_KITCO분석조서_법인세비용_(주)Mcnulty_Cashflowstatement_2005" xfId="502"/>
    <cellStyle name="-_KITCO분석조서_법인세비용_(주)맥널티 주석사항" xfId="503"/>
    <cellStyle name="_kjh만서기업 기말감사 정산표(2004.02.04)_closing" xfId="504"/>
    <cellStyle name="-_KMW03(3분기)" xfId="505"/>
    <cellStyle name="-_KMW03기말" xfId="506"/>
    <cellStyle name="-_KMW03반기" xfId="507"/>
    <cellStyle name="-_KMW03반기_1" xfId="508"/>
    <cellStyle name="-_KMW03반기_KMW03기말" xfId="509"/>
    <cellStyle name="-_KMW03반기_KMW03반기" xfId="510"/>
    <cellStyle name="-_KMW03반기_kmw기말수정사항(민은기)" xfId="511"/>
    <cellStyle name="-_KMW03반기_KMW정산표(2004.2.27)" xfId="512"/>
    <cellStyle name="-_kmw기말수정사항(민은기)" xfId="513"/>
    <cellStyle name="-_KMW정산표(2004.2.27)" xfId="514"/>
    <cellStyle name="_Korea AR 112604" xfId="515"/>
    <cellStyle name="_leadsheet(스파클)" xfId="516"/>
    <cellStyle name="_Lover" xfId="517"/>
    <cellStyle name="_LS of P.K.S(04-10-31)" xfId="518"/>
    <cellStyle name="_LS-근화제약03기말-JYT" xfId="519"/>
    <cellStyle name="_LS-아이텍-04기말_0127" xfId="520"/>
    <cellStyle name="_M_투자" xfId="521"/>
    <cellStyle name="_Materiality200501Q-daehan" xfId="522"/>
    <cellStyle name="_MC table수출(070115)" xfId="523"/>
    <cellStyle name="_minutes of meetings of directors and shareholders03" xfId="524"/>
    <cellStyle name="_MOK99" xfId="525"/>
    <cellStyle name="_NI테크-03기말_jhs(감리)" xfId="526"/>
    <cellStyle name="_NI테크-03기말_jhs(감리1)" xfId="527"/>
    <cellStyle name="_nSIuLYX432mIp4aeNz3U4f9Sr" xfId="528"/>
    <cellStyle name="-_PJ Electric_자본변동표" xfId="529"/>
    <cellStyle name="_PQT" xfId="530"/>
    <cellStyle name="_PQT_1" xfId="531"/>
    <cellStyle name="_PQT_현대자산운용 201003_중요성기준_최종" xfId="532"/>
    <cellStyle name="_PREDI AJE-V1" xfId="533"/>
    <cellStyle name="_Profit sharing computation" xfId="534"/>
    <cellStyle name="_Profit sharing for Mr. Shin" xfId="535"/>
    <cellStyle name="_ProtexScoreSheet_2001" xfId="536"/>
    <cellStyle name="_Real 2003 Korea TP 1231" xfId="537"/>
    <cellStyle name="_RHD (2)" xfId="538"/>
    <cellStyle name="_RHD (2)_1" xfId="539"/>
    <cellStyle name="_Rhodia2003(lsh)" xfId="540"/>
    <cellStyle name="_Row1" xfId="541"/>
    <cellStyle name="_Row1_2002 Plan-Les" xfId="542"/>
    <cellStyle name="_Row1_2003 Actual-Les" xfId="543"/>
    <cellStyle name="_Row1_2003 Plan-Les" xfId="544"/>
    <cellStyle name="_Row1_2004 Actual-Les" xfId="545"/>
    <cellStyle name="_Row1_Book1" xfId="546"/>
    <cellStyle name="_Row2" xfId="547"/>
    <cellStyle name="_Row3" xfId="548"/>
    <cellStyle name="_Row4" xfId="549"/>
    <cellStyle name="_Row5" xfId="550"/>
    <cellStyle name="_Row6" xfId="551"/>
    <cellStyle name="_Row7" xfId="552"/>
    <cellStyle name="_sac2001_6지분법" xfId="553"/>
    <cellStyle name="_Sales(유성)_YE_YDE" xfId="554"/>
    <cellStyle name="_SBK_FY02_분할검토_수정사항등" xfId="555"/>
    <cellStyle name="_SBK지분법('01_기말 최종)" xfId="556"/>
    <cellStyle name="_SCFS1q98" xfId="557"/>
    <cellStyle name="_scfs-1q99final-hongkong" xfId="558"/>
    <cellStyle name="_scfs-699" xfId="559"/>
    <cellStyle name="_SCM" xfId="560"/>
    <cellStyle name="_Scoresheet" xfId="561"/>
    <cellStyle name="_scoresheet(오픈비즈0227)" xfId="562"/>
    <cellStyle name="_Scoresheet_1" xfId="563"/>
    <cellStyle name="_Scoresheet_신안전자0721" xfId="564"/>
    <cellStyle name="_Scoresheet-화우-030212" xfId="565"/>
    <cellStyle name="_Sheet7" xfId="566"/>
    <cellStyle name="_SIA 5500-1 매출총괄표" xfId="567"/>
    <cellStyle name="_SM상호저축은행정산표(2005-1Q)" xfId="568"/>
    <cellStyle name="_SM상호저축은행정산표(2005-1Q)_Book1" xfId="569"/>
    <cellStyle name="_SM상호저축은행정산표(2005-1Q)_SM상호저축은행수정사항(2005-3Q)-0414" xfId="570"/>
    <cellStyle name="_SM상호저축은행정산표(2005-1Q)_SM상호저축은행정산표(2005-2Q)-0127" xfId="571"/>
    <cellStyle name="_SM상호저축은행정산표(2005-1Q)_누적현금흐름" xfId="572"/>
    <cellStyle name="_SM상호저축은행정산표(2005-1Q)_대신증권 각주" xfId="573"/>
    <cellStyle name="_SM상호저축은행정산표(2005-1Q)_대신증권 정산표2Q-ver0" xfId="574"/>
    <cellStyle name="_SM상호저축은행정산표(2005-1Q)_대신증권 정산표2Q-ver4" xfId="575"/>
    <cellStyle name="_SM상호저축은행정산표(2005-1Q)_대신증권 정산표2Q-ver5" xfId="576"/>
    <cellStyle name="_SM상호저축은행정산표(2005-1Q)_대신증권 정산표3Q-ver1.0" xfId="577"/>
    <cellStyle name="_SM상호저축은행정산표(2005-1Q)_보고용PL" xfId="578"/>
    <cellStyle name="_SM상호저축은행정산표(2005-1Q)_현금흐름표(보고용)" xfId="579"/>
    <cellStyle name="_SM상호저축은행정산표(2005-1Q)_현금흐름표(보고용)_0417" xfId="580"/>
    <cellStyle name="_TB(NWM)_1231" xfId="581"/>
    <cellStyle name="_TB(Tourexpress)_0226" xfId="582"/>
    <cellStyle name="_TB(Tourexpress)_1231(이연법인세반영)" xfId="583"/>
    <cellStyle name="_TB(나무04)_0305(국문용)" xfId="584"/>
    <cellStyle name="_TB(오이뮤직)_1224(이연법인세반영)" xfId="585"/>
    <cellStyle name="_TB(플럭서스)_1230(이연법인세반영KGAAPonly)최종_소프트웨어수정" xfId="586"/>
    <cellStyle name="_TB2003(13)-수정" xfId="587"/>
    <cellStyle name="_TB2003(14)" xfId="588"/>
    <cellStyle name="_TB2003(final ARP_K-GAAP)" xfId="589"/>
    <cellStyle name="_TVIK정산표0114.Ver1" xfId="590"/>
    <cellStyle name="_unit cost table" xfId="591"/>
    <cellStyle name="_V3 - 02총괄표(기말)" xfId="592"/>
    <cellStyle name="_WACC" xfId="593"/>
    <cellStyle name="_WP4500_법인세조서" xfId="594"/>
    <cellStyle name="_WP5500_내부회계관리제도" xfId="595"/>
    <cellStyle name="_WP-반기(7300)조서-안정국" xfId="596"/>
    <cellStyle name="_WP-증권전산2002_안정국" xfId="597"/>
    <cellStyle name="_WP-코아매직전환사채계산-1" xfId="598"/>
    <cellStyle name="_Write off-inventory" xfId="599"/>
    <cellStyle name="_Zegna_br interim02 wp" xfId="600"/>
    <cellStyle name="_감가상각명세서(03.01~03.12)" xfId="601"/>
    <cellStyle name="_감가상각비수정사항계산내역" xfId="602"/>
    <cellStyle name="_감사지적사항수정안_개별_오류수정_030306" xfId="603"/>
    <cellStyle name="_갑지양식" xfId="604"/>
    <cellStyle name="_개발비" xfId="605"/>
    <cellStyle name="_게임계약" xfId="606"/>
    <cellStyle name="_견적서갑지양식" xfId="607"/>
    <cellStyle name="_결산명세서_CJI_04년3Q" xfId="608"/>
    <cellStyle name="_결산명세서_CJI_2004" xfId="609"/>
    <cellStyle name="_경북 AJE List(필드철수)" xfId="610"/>
    <cellStyle name="_경비 년간예상양식" xfId="611"/>
    <cellStyle name="_경비실적" xfId="612"/>
    <cellStyle name="_경영회의(1027)_계수" xfId="613"/>
    <cellStyle name="_경영회의(1027)_계수(수정1103)" xfId="614"/>
    <cellStyle name="_경인방송정산표-(0303)" xfId="615"/>
    <cellStyle name="_경주" xfId="616"/>
    <cellStyle name="_계속기업가정에 대한 검토(04)" xfId="617"/>
    <cellStyle name="_계속기업가정의검토" xfId="618"/>
    <cellStyle name="_계수별첨" xfId="619"/>
    <cellStyle name="_계정별잔액명세서" xfId="620"/>
    <cellStyle name="_고려-수원미네시티(작업)" xfId="621"/>
    <cellStyle name="_고정자산대장" xfId="622"/>
    <cellStyle name="_공통경비 개발비배분(04.06)" xfId="623"/>
    <cellStyle name="_공통경비 개발비배분(04.12)" xfId="624"/>
    <cellStyle name="_관계사간거래_다음(연결확정분)_1219" xfId="625"/>
    <cellStyle name="_관계사간거래_다음(연결확정분)_1221_박성준" xfId="626"/>
    <cellStyle name="_구매(매입)-한화국토-WP" xfId="627"/>
    <cellStyle name="_금형" xfId="628"/>
    <cellStyle name="_급여외" xfId="629"/>
    <cellStyle name="_기말 법인세 및 자본0109" xfId="630"/>
    <cellStyle name="_기말감사계획(JYPE)" xfId="631"/>
    <cellStyle name="_기말조서(케이벤치-안상철)" xfId="632"/>
    <cellStyle name="_기타유동자산" xfId="633"/>
    <cellStyle name="_기타의투자자산" xfId="634"/>
    <cellStyle name="_기타자산_04기말" xfId="635"/>
    <cellStyle name="_김동언조서" xfId="636"/>
    <cellStyle name="_남양2003정산표20040325V1_법인세반영후" xfId="637"/>
    <cellStyle name="_네트웍스_02결산서" xfId="638"/>
    <cellStyle name="_넷마블(최종수정사항)" xfId="639"/>
    <cellStyle name="_년도별총원가" xfId="640"/>
    <cellStyle name="_다윈텍정산표(04년반기)_20040716jh" xfId="641"/>
    <cellStyle name="_대신증권 정산표(FY2007-2Q)-final" xfId="642"/>
    <cellStyle name="_대웅화학_2002_SSk" xfId="643"/>
    <cellStyle name="_대원 Scoresheet(법인세반영전)" xfId="644"/>
    <cellStyle name="_대원씨아이 반기조서(2002.8.5)" xfId="645"/>
    <cellStyle name="_대원씨아이 정산표(2002.8.5)" xfId="646"/>
    <cellStyle name="_대차대조표" xfId="647"/>
    <cellStyle name="_도봉강북_02결산서" xfId="648"/>
    <cellStyle name="_동국베트남" xfId="649"/>
    <cellStyle name="_드림미르 조서 통합0203" xfId="650"/>
    <cellStyle name="_드림미르정산표0209_hsj" xfId="651"/>
    <cellStyle name="_디지털월드(사전적분석적절차)" xfId="652"/>
    <cellStyle name="_디피씨 2004 AJE 집계표(0204)_WrapUp" xfId="653"/>
    <cellStyle name="_디피씨 2004 AJE 집계표(0211)(최종)" xfId="654"/>
    <cellStyle name="_디피씨_기말4" xfId="655"/>
    <cellStyle name="_리스" xfId="656"/>
    <cellStyle name="_만서기업 AJE List(2002.1.31)" xfId="657"/>
    <cellStyle name="_만서기업 AJE List(2002.1.31)_01" xfId="658"/>
    <cellStyle name="_만서기업 현금흐름표(2002.2.15)" xfId="659"/>
    <cellStyle name="_매도가능증권(04반기)" xfId="660"/>
    <cellStyle name="_매입채무 및 매출원가조서(아이시스테크놀러지_2001)" xfId="661"/>
    <cellStyle name="_매출ver1" xfId="662"/>
    <cellStyle name="_매출채권" xfId="663"/>
    <cellStyle name="_매출채권_03기말" xfId="664"/>
    <cellStyle name="_매출할인(대손충당금)" xfId="665"/>
    <cellStyle name="_매출할인(대손충당금)_수정사항04_중앙백신 by ica" xfId="666"/>
    <cellStyle name="_명세서(2003." xfId="667"/>
    <cellStyle name="_모인소프트 Score sheet_0304" xfId="668"/>
    <cellStyle name="_무형자산_04기말" xfId="669"/>
    <cellStyle name="_미디어이연법인세-다시" xfId="670"/>
    <cellStyle name="_미루데이타03기말_정산표0323" xfId="671"/>
    <cellStyle name="_미수금대손" xfId="672"/>
    <cellStyle name="_미수정사항요약표(현대)" xfId="673"/>
    <cellStyle name="_미수정사항요약표(현대증권)" xfId="674"/>
    <cellStyle name="_미지급비용,선급비용 큐릭스네트웍스" xfId="675"/>
    <cellStyle name="_바른전자03기말정산표_ver2" xfId="676"/>
    <cellStyle name="_반기조서-안정국 0825 ①" xfId="677"/>
    <cellStyle name="_법인세 검증" xfId="678"/>
    <cellStyle name="_법인세 비용0114" xfId="679"/>
    <cellStyle name="-_법인세비용" xfId="680"/>
    <cellStyle name="-_법인세비용_(주)Mcnulty_Cashflowstatement_2005" xfId="681"/>
    <cellStyle name="-_법인세비용_(주)맥널티 주석사항" xfId="682"/>
    <cellStyle name="_별첨(계획서및실적서양식)" xfId="683"/>
    <cellStyle name="_별첨(계획서및실적서양식)_1" xfId="684"/>
    <cellStyle name="_별첨(계획서및실적서양식)_1_SM상호저축은행정산표(2005-1Q)" xfId="685"/>
    <cellStyle name="_별첨(계획서및실적서양식)_1_SM상호저축은행정산표(2005-1Q)_Book1" xfId="686"/>
    <cellStyle name="_별첨(계획서및실적서양식)_1_SM상호저축은행정산표(2005-1Q)_SM상호저축은행수정사항(2005-3Q)-0414" xfId="687"/>
    <cellStyle name="_별첨(계획서및실적서양식)_1_SM상호저축은행정산표(2005-1Q)_SM상호저축은행정산표(2005-2Q)-0127" xfId="688"/>
    <cellStyle name="_별첨(계획서및실적서양식)_1_SM상호저축은행정산표(2005-1Q)_누적현금흐름" xfId="689"/>
    <cellStyle name="_별첨(계획서및실적서양식)_1_SM상호저축은행정산표(2005-1Q)_대신증권 각주" xfId="690"/>
    <cellStyle name="_별첨(계획서및실적서양식)_1_SM상호저축은행정산표(2005-1Q)_대신증권 정산표2Q-ver0" xfId="691"/>
    <cellStyle name="_별첨(계획서및실적서양식)_1_SM상호저축은행정산표(2005-1Q)_대신증권 정산표2Q-ver4" xfId="692"/>
    <cellStyle name="_별첨(계획서및실적서양식)_1_SM상호저축은행정산표(2005-1Q)_대신증권 정산표2Q-ver5" xfId="693"/>
    <cellStyle name="_별첨(계획서및실적서양식)_1_SM상호저축은행정산표(2005-1Q)_대신증권 정산표3Q-ver1.0" xfId="694"/>
    <cellStyle name="_별첨(계획서및실적서양식)_1_SM상호저축은행정산표(2005-1Q)_보고용PL" xfId="695"/>
    <cellStyle name="_별첨(계획서및실적서양식)_1_SM상호저축은행정산표(2005-1Q)_현금흐름표(보고용)" xfId="696"/>
    <cellStyle name="_별첨(계획서및실적서양식)_1_SM상호저축은행정산표(2005-1Q)_현금흐름표(보고용)_0417" xfId="697"/>
    <cellStyle name="_보고01_3" xfId="698"/>
    <cellStyle name="_보고용서전_1" xfId="699"/>
    <cellStyle name="_복사본 2006 12 정산표ver0.1" xfId="700"/>
    <cellStyle name="_부산케이블 AJE List(2002.2.23)" xfId="701"/>
    <cellStyle name="_부속자료-사업부 집계표(D총괄)3" xfId="702"/>
    <cellStyle name="_분기조서(hds)" xfId="703"/>
    <cellStyle name="_사계기준재료" xfId="704"/>
    <cellStyle name="_사계기준재료_WACC" xfId="705"/>
    <cellStyle name="_사계기준재료_대차대조표" xfId="706"/>
    <cellStyle name="_사본 - 2002-12" xfId="707"/>
    <cellStyle name="_삼영중간" xfId="708"/>
    <cellStyle name="_상품수불부10월말(최종)" xfId="709"/>
    <cellStyle name="_상품수불부10월말(최종)_2004.12계정명세" xfId="710"/>
    <cellStyle name="_상품수불부10월말(최종)_2004.12계정명세_정산표_동일고무벨트2006_AR" xfId="711"/>
    <cellStyle name="_상품수불부10월말(최종)_정산표_동일고무벨트2006_AR" xfId="712"/>
    <cellStyle name="_생판93~00" xfId="713"/>
    <cellStyle name="_생판99년간예상" xfId="714"/>
    <cellStyle name="_샤시 (2)" xfId="715"/>
    <cellStyle name="_샤시 (2)_1" xfId="716"/>
    <cellStyle name="_샤시 (2)_2" xfId="717"/>
    <cellStyle name="_샤시 (2)_2_현대자산운용 201003_중요성기준_최종" xfId="718"/>
    <cellStyle name="_서울미라마02FS" xfId="719"/>
    <cellStyle name="_세넥스테크 반기검토조서(2003.7.29)" xfId="720"/>
    <cellStyle name="_세넥스테크 영업권검토조서(2003.7.30)" xfId="721"/>
    <cellStyle name="_세액계산(20040106)" xfId="722"/>
    <cellStyle name="_세중모비즈 주석" xfId="723"/>
    <cellStyle name="_세중현금흐름표(2004)0217(감액손실반영후)" xfId="724"/>
    <cellStyle name="_소코드1" xfId="725"/>
    <cellStyle name="_손익Simulation(0930)" xfId="726"/>
    <cellStyle name="_송현실행내역" xfId="727"/>
    <cellStyle name="_수익성분석." xfId="728"/>
    <cellStyle name="_수정분개요약표(에피온)-CLOSING(윤정화)" xfId="729"/>
    <cellStyle name="_수정사항 및 중요사항 보고_동일파텍v4" xfId="730"/>
    <cellStyle name="_수정사항요약_최종" xfId="731"/>
    <cellStyle name="_수정사항요약_최종_1" xfId="732"/>
    <cellStyle name="_수정사항집계표(2004_3분기_하이스틸)" xfId="733"/>
    <cellStyle name="_수정사항집계표(2004_하이스틸)02-19" xfId="734"/>
    <cellStyle name="_수정사항집계표(남양아스콘)030221_법인세반영전" xfId="735"/>
    <cellStyle name="_수정사항집계표2.28" xfId="736"/>
    <cellStyle name="_스토리지텍-2004년법인세" xfId="737"/>
    <cellStyle name="_스톡옵션-이정" xfId="738"/>
    <cellStyle name="_신세계아이앤씨 2004자본" xfId="739"/>
    <cellStyle name="_신안전자정산표0723" xfId="740"/>
    <cellStyle name="_실적" xfId="741"/>
    <cellStyle name="_실적보고5" xfId="742"/>
    <cellStyle name="_쌍용자동차_02_반기" xfId="743"/>
    <cellStyle name="_쌍용자동차_현금흐름표_02" xfId="744"/>
    <cellStyle name="_쌍용차02 현금흐름표_kth " xfId="745"/>
    <cellStyle name="_써니벨테크 AJE List(2002.3.23)" xfId="746"/>
    <cellStyle name="_써니벨테크 현금흐름표(2002.4.4)" xfId="747"/>
    <cellStyle name="_씨팔마지막" xfId="748"/>
    <cellStyle name="_아이디디지털02기말_WP(ASC)" xfId="749"/>
    <cellStyle name="_아이시스네트 정산표_20020301_2_이연법인세 조정의 백업" xfId="750"/>
    <cellStyle name="_아이즈_03반기_유형자산" xfId="751"/>
    <cellStyle name="_아이템베이정산표(2004기말)_0123_1" xfId="752"/>
    <cellStyle name="_아주금속_02_기말_WP_SC" xfId="753"/>
    <cellStyle name="_아주금속-02수정집계표(0222)" xfId="754"/>
    <cellStyle name="_아케이드 수불부" xfId="755"/>
    <cellStyle name="_아케이드매출 및 유형자산" xfId="756"/>
    <cellStyle name="_양식" xfId="757"/>
    <cellStyle name="_양식_1" xfId="758"/>
    <cellStyle name="_양식_2" xfId="759"/>
    <cellStyle name="_양식_SM상호저축은행정산표(2005-1Q)" xfId="760"/>
    <cellStyle name="_양식_SM상호저축은행정산표(2005-1Q)_Book1" xfId="761"/>
    <cellStyle name="_양식_SM상호저축은행정산표(2005-1Q)_SM상호저축은행수정사항(2005-3Q)-0414" xfId="762"/>
    <cellStyle name="_양식_SM상호저축은행정산표(2005-1Q)_SM상호저축은행정산표(2005-2Q)-0127" xfId="763"/>
    <cellStyle name="_양식_SM상호저축은행정산표(2005-1Q)_누적현금흐름" xfId="764"/>
    <cellStyle name="_양식_SM상호저축은행정산표(2005-1Q)_대신증권 각주" xfId="765"/>
    <cellStyle name="_양식_SM상호저축은행정산표(2005-1Q)_대신증권 정산표2Q-ver0" xfId="766"/>
    <cellStyle name="_양식_SM상호저축은행정산표(2005-1Q)_대신증권 정산표2Q-ver4" xfId="767"/>
    <cellStyle name="_양식_SM상호저축은행정산표(2005-1Q)_대신증권 정산표2Q-ver5" xfId="768"/>
    <cellStyle name="_양식_SM상호저축은행정산표(2005-1Q)_대신증권 정산표3Q-ver1.0" xfId="769"/>
    <cellStyle name="_양식_SM상호저축은행정산표(2005-1Q)_보고용PL" xfId="770"/>
    <cellStyle name="_양식_SM상호저축은행정산표(2005-1Q)_현금흐름표(보고용)" xfId="771"/>
    <cellStyle name="_양식_SM상호저축은행정산표(2005-1Q)_현금흐름표(보고용)_0417" xfId="772"/>
    <cellStyle name="_어봉환" xfId="773"/>
    <cellStyle name="_업계평균이자율" xfId="774"/>
    <cellStyle name="_업무보고8월" xfId="775"/>
    <cellStyle name="_에카매출조서(홍)-2003.1.13" xfId="776"/>
    <cellStyle name="_엑셈정산표0204" xfId="777"/>
    <cellStyle name="_엘지화재소프트웨어" xfId="778"/>
    <cellStyle name="_엘케이에프에스 기말조서_hes(2002.4.24)" xfId="779"/>
    <cellStyle name="_연결총괄분개_US GAAP전환_다시쪼깨다_14" xfId="780"/>
    <cellStyle name="_영업202" xfId="781"/>
    <cellStyle name="_영업손익검토조서(대한화재)" xfId="782"/>
    <cellStyle name="_영업외손익" xfId="783"/>
    <cellStyle name="_영업외손익 LS" xfId="784"/>
    <cellStyle name="_영업외수지집계-1025" xfId="785"/>
    <cellStyle name="_예비적 ARP" xfId="786"/>
    <cellStyle name="_예상12속" xfId="787"/>
    <cellStyle name="_오이뮤직_20030930_완성자료(3)" xfId="788"/>
    <cellStyle name="_오이뮤직_20030930_현금흐름표" xfId="789"/>
    <cellStyle name="_오픈비즈기말조서0226" xfId="790"/>
    <cellStyle name="_오픈솔루션01매출WP" xfId="791"/>
    <cellStyle name="_외화" xfId="792"/>
    <cellStyle name="_요약BS" xfId="793"/>
    <cellStyle name="_요청자료1" xfId="794"/>
    <cellStyle name="_요청자료1_수정사항04_중앙백신 by ica" xfId="795"/>
    <cellStyle name="_요청자료양식_Tour express" xfId="796"/>
    <cellStyle name="_원가배분" xfId="797"/>
    <cellStyle name="_월별제조원가(전기대비)" xfId="798"/>
    <cellStyle name="_유무형자산및상각비명세서(0403_0412)" xfId="799"/>
    <cellStyle name="_유첨3(서식)" xfId="800"/>
    <cellStyle name="_유첨3(서식)_1" xfId="801"/>
    <cellStyle name="_유첨3(서식)_SM상호저축은행정산표(2005-1Q)" xfId="802"/>
    <cellStyle name="_유첨3(서식)_SM상호저축은행정산표(2005-1Q)_Book1" xfId="803"/>
    <cellStyle name="_유첨3(서식)_SM상호저축은행정산표(2005-1Q)_SM상호저축은행수정사항(2005-3Q)-0414" xfId="804"/>
    <cellStyle name="_유첨3(서식)_SM상호저축은행정산표(2005-1Q)_SM상호저축은행정산표(2005-2Q)-0127" xfId="805"/>
    <cellStyle name="_유첨3(서식)_SM상호저축은행정산표(2005-1Q)_누적현금흐름" xfId="806"/>
    <cellStyle name="_유첨3(서식)_SM상호저축은행정산표(2005-1Q)_대신증권 각주" xfId="807"/>
    <cellStyle name="_유첨3(서식)_SM상호저축은행정산표(2005-1Q)_대신증권 정산표2Q-ver0" xfId="808"/>
    <cellStyle name="_유첨3(서식)_SM상호저축은행정산표(2005-1Q)_대신증권 정산표2Q-ver4" xfId="809"/>
    <cellStyle name="_유첨3(서식)_SM상호저축은행정산표(2005-1Q)_대신증권 정산표2Q-ver5" xfId="810"/>
    <cellStyle name="_유첨3(서식)_SM상호저축은행정산표(2005-1Q)_대신증권 정산표3Q-ver1.0" xfId="811"/>
    <cellStyle name="_유첨3(서식)_SM상호저축은행정산표(2005-1Q)_보고용PL" xfId="812"/>
    <cellStyle name="_유첨3(서식)_SM상호저축은행정산표(2005-1Q)_현금흐름표(보고용)" xfId="813"/>
    <cellStyle name="_유첨3(서식)_SM상호저축은행정산표(2005-1Q)_현금흐름표(보고용)_0417" xfId="814"/>
    <cellStyle name="_유텔정산표(040310_V1)" xfId="815"/>
    <cellStyle name="_유형자산 총괄표" xfId="816"/>
    <cellStyle name="_유효기간평가대상품목" xfId="817"/>
    <cellStyle name="_유효기간평가대상품목_수정사항04_중앙백신 by ica" xfId="818"/>
    <cellStyle name="_음반별판매및제조수량." xfId="819"/>
    <cellStyle name="_음반별판매및제조수량.(1)" xfId="820"/>
    <cellStyle name="_이노-2003반기조서(조)" xfId="821"/>
    <cellStyle name="_이모션반기조서0804" xfId="822"/>
    <cellStyle name="_이사회의사록(03_3사분기_인선)" xfId="823"/>
    <cellStyle name="_이사회의사록의검토" xfId="824"/>
    <cellStyle name="_이연법인세" xfId="825"/>
    <cellStyle name="_이연법인세(041014))" xfId="826"/>
    <cellStyle name="_이연법인세(추납액반영)" xfId="827"/>
    <cellStyle name="_자기주식(유통주식)" xfId="828"/>
    <cellStyle name="_자본반기조서" xfId="829"/>
    <cellStyle name="_작업내역(전기,통신)" xfId="830"/>
    <cellStyle name="_재고자산(20040331)" xfId="831"/>
    <cellStyle name="_재고자산LS(프린팅)" xfId="832"/>
    <cellStyle name="_재고자산단가자료(from강순창대리)" xfId="833"/>
    <cellStyle name="_재고자산명세서(1)" xfId="834"/>
    <cellStyle name="_재고자산명세서(1)_2004.12계정명세" xfId="835"/>
    <cellStyle name="_재고자산명세서(1)_2004.12계정명세_정산표_동일고무벨트2006_AR" xfId="836"/>
    <cellStyle name="_재고자산명세서(1)_정산표_동일고무벨트2006_AR" xfId="837"/>
    <cellStyle name="_재고현황" xfId="838"/>
    <cellStyle name="_재무비율계산표" xfId="839"/>
    <cellStyle name="_재무제표" xfId="840"/>
    <cellStyle name="_재무제표(1분기)" xfId="841"/>
    <cellStyle name="_재무제표_엑셀" xfId="842"/>
    <cellStyle name="_재무제표확정" xfId="843"/>
    <cellStyle name="_전환사채" xfId="844"/>
    <cellStyle name="_정국창 수정분개" xfId="845"/>
    <cellStyle name="_정리-V2" xfId="846"/>
    <cellStyle name="_정산표" xfId="847"/>
    <cellStyle name="_정산표 (03)-최종-KNH" xfId="848"/>
    <cellStyle name="_정산표 Template" xfId="849"/>
    <cellStyle name="_정산표 및 수정분개" xfId="850"/>
    <cellStyle name="_정산표(글로벌아이엔씨2002_0307)_ksw" xfId="851"/>
    <cellStyle name="_정산표(낙스넷2002_030227)_황정식ssn" xfId="852"/>
    <cellStyle name="_정산표(로디아02)" xfId="853"/>
    <cellStyle name="_정산표(바이오톡스텍)0129" xfId="854"/>
    <cellStyle name="_정산표(중부도시가스)_040218" xfId="855"/>
    <cellStyle name="_정산표_현대선물_0425" xfId="856"/>
    <cellStyle name="_정산표_현대선물_0512" xfId="857"/>
    <cellStyle name="_정산표0309_daum_0923" xfId="858"/>
    <cellStyle name="_정산표0803" xfId="859"/>
    <cellStyle name="_정산표0805_법인세부분추가" xfId="860"/>
    <cellStyle name="_정산표및현금흐름표(아쉐뜨 030220)원재료수정미반영-khk" xfId="861"/>
    <cellStyle name="_정산표-현대선물_200906_ver5.3" xfId="862"/>
    <cellStyle name="_제33기 6월 결산" xfId="863"/>
    <cellStyle name="_제니아크v1" xfId="864"/>
    <cellStyle name="_제조원가명세서" xfId="865"/>
    <cellStyle name="_제출양식-투자,인력,경비" xfId="866"/>
    <cellStyle name="_주간보고" xfId="867"/>
    <cellStyle name="_주식매입선택권" xfId="868"/>
    <cellStyle name="_주요경영지표" xfId="869"/>
    <cellStyle name="_주요경영지표(엑셈)" xfId="870"/>
    <cellStyle name="_주요경영지표(피델릭스)" xfId="871"/>
    <cellStyle name="_주임종장기대여금" xfId="872"/>
    <cellStyle name="_주임종장기대여금_적수" xfId="873"/>
    <cellStyle name="_중간감사" xfId="874"/>
    <cellStyle name="_중간예납" xfId="875"/>
    <cellStyle name="_중부02AS-최종(지급수수료대체)" xfId="876"/>
    <cellStyle name="_중앙백신 2004 3q_ 현금흐름표" xfId="877"/>
    <cellStyle name="_중요성" xfId="878"/>
    <cellStyle name="_중요성기준" xfId="879"/>
    <cellStyle name="_증권전산정산표-2003.2.3" xfId="880"/>
    <cellStyle name="_증안기금(3분기)" xfId="881"/>
    <cellStyle name="_지구촌02CJH" xfId="882"/>
    <cellStyle name="_지분법3사" xfId="883"/>
    <cellStyle name="_지분법-베트남(V2)" xfId="884"/>
    <cellStyle name="_지분법분석3Q" xfId="885"/>
    <cellStyle name="_지분법실적" xfId="886"/>
    <cellStyle name="_지분법양식" xfId="887"/>
    <cellStyle name="_지분법최종" xfId="888"/>
    <cellStyle name="_지역별(1227)" xfId="889"/>
    <cellStyle name="_지오텔정산표_06YE_0228" xfId="890"/>
    <cellStyle name="_지정과제2차심의list" xfId="891"/>
    <cellStyle name="_지정과제2차심의list_1" xfId="892"/>
    <cellStyle name="_지정과제2차심의list_2" xfId="893"/>
    <cellStyle name="_지정과제2차심의list_2_SM상호저축은행정산표(2005-1Q)" xfId="894"/>
    <cellStyle name="_지정과제2차심의list_2_SM상호저축은행정산표(2005-1Q)_Book1" xfId="895"/>
    <cellStyle name="_지정과제2차심의list_2_SM상호저축은행정산표(2005-1Q)_SM상호저축은행수정사항(2005-3Q)-0414" xfId="896"/>
    <cellStyle name="_지정과제2차심의list_2_SM상호저축은행정산표(2005-1Q)_SM상호저축은행정산표(2005-2Q)-0127" xfId="897"/>
    <cellStyle name="_지정과제2차심의list_2_SM상호저축은행정산표(2005-1Q)_누적현금흐름" xfId="898"/>
    <cellStyle name="_지정과제2차심의list_2_SM상호저축은행정산표(2005-1Q)_대신증권 각주" xfId="899"/>
    <cellStyle name="_지정과제2차심의list_2_SM상호저축은행정산표(2005-1Q)_대신증권 정산표2Q-ver0" xfId="900"/>
    <cellStyle name="_지정과제2차심의list_2_SM상호저축은행정산표(2005-1Q)_대신증권 정산표2Q-ver4" xfId="901"/>
    <cellStyle name="_지정과제2차심의list_2_SM상호저축은행정산표(2005-1Q)_대신증권 정산표2Q-ver5" xfId="902"/>
    <cellStyle name="_지정과제2차심의list_2_SM상호저축은행정산표(2005-1Q)_대신증권 정산표3Q-ver1.0" xfId="903"/>
    <cellStyle name="_지정과제2차심의list_2_SM상호저축은행정산표(2005-1Q)_보고용PL" xfId="904"/>
    <cellStyle name="_지정과제2차심의list_2_SM상호저축은행정산표(2005-1Q)_현금흐름표(보고용)" xfId="905"/>
    <cellStyle name="_지정과제2차심의list_2_SM상호저축은행정산표(2005-1Q)_현금흐름표(보고용)_0417" xfId="906"/>
    <cellStyle name="_지정과제2차심의결과" xfId="907"/>
    <cellStyle name="_지정과제2차심의결과(금액조정후최종)" xfId="908"/>
    <cellStyle name="_지정과제2차심의결과(금액조정후최종)_1" xfId="909"/>
    <cellStyle name="_지정과제2차심의결과(금액조정후최종)_SM상호저축은행정산표(2005-1Q)" xfId="910"/>
    <cellStyle name="_지정과제2차심의결과(금액조정후최종)_SM상호저축은행정산표(2005-1Q)_Book1" xfId="911"/>
    <cellStyle name="_지정과제2차심의결과(금액조정후최종)_SM상호저축은행정산표(2005-1Q)_SM상호저축은행수정사항(2005-3Q)-0414" xfId="912"/>
    <cellStyle name="_지정과제2차심의결과(금액조정후최종)_SM상호저축은행정산표(2005-1Q)_SM상호저축은행정산표(2005-2Q)-0127" xfId="913"/>
    <cellStyle name="_지정과제2차심의결과(금액조정후최종)_SM상호저축은행정산표(2005-1Q)_누적현금흐름" xfId="914"/>
    <cellStyle name="_지정과제2차심의결과(금액조정후최종)_SM상호저축은행정산표(2005-1Q)_대신증권 각주" xfId="915"/>
    <cellStyle name="_지정과제2차심의결과(금액조정후최종)_SM상호저축은행정산표(2005-1Q)_대신증권 정산표2Q-ver0" xfId="916"/>
    <cellStyle name="_지정과제2차심의결과(금액조정후최종)_SM상호저축은행정산표(2005-1Q)_대신증권 정산표2Q-ver4" xfId="917"/>
    <cellStyle name="_지정과제2차심의결과(금액조정후최종)_SM상호저축은행정산표(2005-1Q)_대신증권 정산표2Q-ver5" xfId="918"/>
    <cellStyle name="_지정과제2차심의결과(금액조정후최종)_SM상호저축은행정산표(2005-1Q)_대신증권 정산표3Q-ver1.0" xfId="919"/>
    <cellStyle name="_지정과제2차심의결과(금액조정후최종)_SM상호저축은행정산표(2005-1Q)_보고용PL" xfId="920"/>
    <cellStyle name="_지정과제2차심의결과(금액조정후최종)_SM상호저축은행정산표(2005-1Q)_현금흐름표(보고용)" xfId="921"/>
    <cellStyle name="_지정과제2차심의결과(금액조정후최종)_SM상호저축은행정산표(2005-1Q)_현금흐름표(보고용)_0417" xfId="922"/>
    <cellStyle name="_지정과제2차심의결과_1" xfId="923"/>
    <cellStyle name="_지정과제2차심의결과_SM상호저축은행정산표(2005-1Q)" xfId="924"/>
    <cellStyle name="_지정과제2차심의결과_SM상호저축은행정산표(2005-1Q)_Book1" xfId="925"/>
    <cellStyle name="_지정과제2차심의결과_SM상호저축은행정산표(2005-1Q)_SM상호저축은행수정사항(2005-3Q)-0414" xfId="926"/>
    <cellStyle name="_지정과제2차심의결과_SM상호저축은행정산표(2005-1Q)_SM상호저축은행정산표(2005-2Q)-0127" xfId="927"/>
    <cellStyle name="_지정과제2차심의결과_SM상호저축은행정산표(2005-1Q)_누적현금흐름" xfId="928"/>
    <cellStyle name="_지정과제2차심의결과_SM상호저축은행정산표(2005-1Q)_대신증권 각주" xfId="929"/>
    <cellStyle name="_지정과제2차심의결과_SM상호저축은행정산표(2005-1Q)_대신증권 정산표2Q-ver0" xfId="930"/>
    <cellStyle name="_지정과제2차심의결과_SM상호저축은행정산표(2005-1Q)_대신증권 정산표2Q-ver4" xfId="931"/>
    <cellStyle name="_지정과제2차심의결과_SM상호저축은행정산표(2005-1Q)_대신증권 정산표2Q-ver5" xfId="932"/>
    <cellStyle name="_지정과제2차심의결과_SM상호저축은행정산표(2005-1Q)_대신증권 정산표3Q-ver1.0" xfId="933"/>
    <cellStyle name="_지정과제2차심의결과_SM상호저축은행정산표(2005-1Q)_보고용PL" xfId="934"/>
    <cellStyle name="_지정과제2차심의결과_SM상호저축은행정산표(2005-1Q)_현금흐름표(보고용)" xfId="935"/>
    <cellStyle name="_지정과제2차심의결과_SM상호저축은행정산표(2005-1Q)_현금흐름표(보고용)_0417" xfId="936"/>
    <cellStyle name="_지티웹정산표0211" xfId="937"/>
    <cellStyle name="_집중관리(981231)" xfId="938"/>
    <cellStyle name="_집중관리(981231)_1" xfId="939"/>
    <cellStyle name="_집중관리(981231)_1_SM상호저축은행정산표(2005-1Q)" xfId="940"/>
    <cellStyle name="_집중관리(981231)_1_SM상호저축은행정산표(2005-1Q)_Book1" xfId="941"/>
    <cellStyle name="_집중관리(981231)_1_SM상호저축은행정산표(2005-1Q)_SM상호저축은행수정사항(2005-3Q)-0414" xfId="942"/>
    <cellStyle name="_집중관리(981231)_1_SM상호저축은행정산표(2005-1Q)_SM상호저축은행정산표(2005-2Q)-0127" xfId="943"/>
    <cellStyle name="_집중관리(981231)_1_SM상호저축은행정산표(2005-1Q)_누적현금흐름" xfId="944"/>
    <cellStyle name="_집중관리(981231)_1_SM상호저축은행정산표(2005-1Q)_대신증권 각주" xfId="945"/>
    <cellStyle name="_집중관리(981231)_1_SM상호저축은행정산표(2005-1Q)_대신증권 정산표2Q-ver0" xfId="946"/>
    <cellStyle name="_집중관리(981231)_1_SM상호저축은행정산표(2005-1Q)_대신증권 정산표2Q-ver4" xfId="947"/>
    <cellStyle name="_집중관리(981231)_1_SM상호저축은행정산표(2005-1Q)_대신증권 정산표2Q-ver5" xfId="948"/>
    <cellStyle name="_집중관리(981231)_1_SM상호저축은행정산표(2005-1Q)_대신증권 정산표3Q-ver1.0" xfId="949"/>
    <cellStyle name="_집중관리(981231)_1_SM상호저축은행정산표(2005-1Q)_보고용PL" xfId="950"/>
    <cellStyle name="_집중관리(981231)_1_SM상호저축은행정산표(2005-1Q)_현금흐름표(보고용)" xfId="951"/>
    <cellStyle name="_집중관리(981231)_1_SM상호저축은행정산표(2005-1Q)_현금흐름표(보고용)_0417" xfId="952"/>
    <cellStyle name="_집중관리(지정과제및 양식)" xfId="953"/>
    <cellStyle name="_집중관리(지정과제및 양식)_1" xfId="954"/>
    <cellStyle name="_집중관리(지정과제및 양식)_SM상호저축은행정산표(2005-1Q)" xfId="955"/>
    <cellStyle name="_집중관리(지정과제및 양식)_SM상호저축은행정산표(2005-1Q)_Book1" xfId="956"/>
    <cellStyle name="_집중관리(지정과제및 양식)_SM상호저축은행정산표(2005-1Q)_SM상호저축은행수정사항(2005-3Q)-0414" xfId="957"/>
    <cellStyle name="_집중관리(지정과제및 양식)_SM상호저축은행정산표(2005-1Q)_SM상호저축은행정산표(2005-2Q)-0127" xfId="958"/>
    <cellStyle name="_집중관리(지정과제및 양식)_SM상호저축은행정산표(2005-1Q)_누적현금흐름" xfId="959"/>
    <cellStyle name="_집중관리(지정과제및 양식)_SM상호저축은행정산표(2005-1Q)_대신증권 각주" xfId="960"/>
    <cellStyle name="_집중관리(지정과제및 양식)_SM상호저축은행정산표(2005-1Q)_대신증권 정산표2Q-ver0" xfId="961"/>
    <cellStyle name="_집중관리(지정과제및 양식)_SM상호저축은행정산표(2005-1Q)_대신증권 정산표2Q-ver4" xfId="962"/>
    <cellStyle name="_집중관리(지정과제및 양식)_SM상호저축은행정산표(2005-1Q)_대신증권 정산표2Q-ver5" xfId="963"/>
    <cellStyle name="_집중관리(지정과제및 양식)_SM상호저축은행정산표(2005-1Q)_대신증권 정산표3Q-ver1.0" xfId="964"/>
    <cellStyle name="_집중관리(지정과제및 양식)_SM상호저축은행정산표(2005-1Q)_보고용PL" xfId="965"/>
    <cellStyle name="_집중관리(지정과제및 양식)_SM상호저축은행정산표(2005-1Q)_현금흐름표(보고용)" xfId="966"/>
    <cellStyle name="_집중관리(지정과제및 양식)_SM상호저축은행정산표(2005-1Q)_현금흐름표(보고용)_0417" xfId="967"/>
    <cellStyle name="_차입금" xfId="968"/>
    <cellStyle name="_차입금퇴충" xfId="969"/>
    <cellStyle name="_차체 (2)" xfId="970"/>
    <cellStyle name="_차체 (2)_1" xfId="971"/>
    <cellStyle name="_차체 (2)_1_현대자산운용 201003_중요성기준_최종" xfId="972"/>
    <cellStyle name="_참고지표" xfId="973"/>
    <cellStyle name="_총괄집계표(인력,투자,기타)-1026" xfId="974"/>
    <cellStyle name="_출연료촬영작성양식(20021231)" xfId="975"/>
    <cellStyle name="_출연료촬영작성양식(20021231)의 2" xfId="976"/>
    <cellStyle name="_케이씨텍 2002 기말_김항규4_AJE합산)최종송부" xfId="977"/>
    <cellStyle name="_케이씨텍_2003(3Q)_결산명세서" xfId="978"/>
    <cellStyle name="_케이씨텍_2003기말(SSK)" xfId="979"/>
    <cellStyle name="_케이씨텍_현금및현금등가물_03_기말" xfId="980"/>
    <cellStyle name="_케이씨텍02반기(권규한)" xfId="981"/>
    <cellStyle name="_코아매직 2002년 기말감사조서" xfId="982"/>
    <cellStyle name="_코아매직정산표&amp;CF(2003.2.6_hsj)" xfId="983"/>
    <cellStyle name="_코아매직현금흐름표0822-1" xfId="984"/>
    <cellStyle name="_코아코아" xfId="985"/>
    <cellStyle name="_코아코아02" xfId="986"/>
    <cellStyle name="_큐릭스_02결산서" xfId="987"/>
    <cellStyle name="_큐릭스_02기말" xfId="988"/>
    <cellStyle name="_클로징정리한파일" xfId="989"/>
    <cellStyle name="_퇴직급여충당금" xfId="990"/>
    <cellStyle name="_투어_20030930_현금흐름표" xfId="991"/>
    <cellStyle name="_투어_기말조서_정승진" xfId="992"/>
    <cellStyle name="_투자전망(0320)" xfId="993"/>
    <cellStyle name="_티엔터(80%)" xfId="994"/>
    <cellStyle name="_판관,제조경비" xfId="995"/>
    <cellStyle name="_판관비 LS" xfId="996"/>
    <cellStyle name="_퍼시스-반기검토조서" xfId="997"/>
    <cellStyle name="_평가손실설정근거(3분기)" xfId="998"/>
    <cellStyle name="_포인칩스정산김서식" xfId="999"/>
    <cellStyle name="_포인칩스정산표0110" xfId="1000"/>
    <cellStyle name="_포항실행견적내역" xfId="1001"/>
    <cellStyle name="_프라임04반기" xfId="1002"/>
    <cellStyle name="_프라임-정산표040729" xfId="1003"/>
    <cellStyle name="_하이스틸04_반기_정산표_0812_최종" xfId="1004"/>
    <cellStyle name="_한경비피조서0216" xfId="1005"/>
    <cellStyle name="_한누리04 정산표4월30일" xfId="1006"/>
    <cellStyle name="-_한세전자02반기분석조서" xfId="1007"/>
    <cellStyle name="-_한세전자02반기분석조서_(주)Mcnulty_Cashflowstatement_2005" xfId="1008"/>
    <cellStyle name="-_한세전자02반기분석조서_(주)맥널티 주석사항" xfId="1009"/>
    <cellStyle name="-_한세전자02반기분석조서_PJ Electric_자본변동표" xfId="1010"/>
    <cellStyle name="-_한세전자02반기분석조서_법인세비용" xfId="1011"/>
    <cellStyle name="-_한세전자02반기분석조서_법인세비용_(주)Mcnulty_Cashflowstatement_2005" xfId="1012"/>
    <cellStyle name="-_한세전자02반기분석조서_법인세비용_(주)맥널티 주석사항" xfId="1013"/>
    <cellStyle name="_한주케미칼 채권채무재조정2003.12" xfId="1014"/>
    <cellStyle name="_현금과예금-3Q-new" xfId="1015"/>
    <cellStyle name="_현금등" xfId="1016"/>
    <cellStyle name="_현금및현금등가물(수정)" xfId="1017"/>
    <cellStyle name="_현금흐름표 교육자료 021129" xfId="1018"/>
    <cellStyle name="_현금흐름표-Template" xfId="1019"/>
    <cellStyle name="_현금흐름표두번째" xfId="1020"/>
    <cellStyle name="_현금흐름표최종" xfId="1021"/>
    <cellStyle name="_현대기업금융최종수정정산표" xfId="1022"/>
    <cellStyle name="_협의회부속양식_최종" xfId="1023"/>
    <cellStyle name="_화우정산표20040319-2" xfId="1024"/>
    <cellStyle name="|: 데이터를 읽는 중 ..." xfId="1025"/>
    <cellStyle name="’E‰Y [0.00]_laroux" xfId="1026"/>
    <cellStyle name="’E‰Y_laroux" xfId="1027"/>
    <cellStyle name="¤@?e_laroux" xfId="1028"/>
    <cellStyle name="¤d¤A|i[0]_laroux" xfId="1029"/>
    <cellStyle name="¤d¤A|i_laroux" xfId="1030"/>
    <cellStyle name="≫o±O[0]_≫a×U " xfId="1031"/>
    <cellStyle name="≫o±O_≫a×U " xfId="1032"/>
    <cellStyle name="⥜준_제강원가최종_1" xfId="1033"/>
    <cellStyle name="△백분율" xfId="1034"/>
    <cellStyle name="△콤마" xfId="1035"/>
    <cellStyle name="•W_Book3" xfId="1036"/>
    <cellStyle name="᠀ŀ" xfId="1037"/>
    <cellStyle name="᠀ŀŀ䅀᠀ŀŀ䅀᠀ŀ" xfId="1038"/>
    <cellStyle name="᠀ŀŀ䅀᠀ŀŀ䅀᠀ŀŀ䅀᠀ŀŀ䅀᠀ŀŀ䅀᠀ŀŀ䅀᠀ŀŀ䅀᠀ŀŀ䅀᠀ŀŀ䅀᠀ŀ" xfId="1039"/>
    <cellStyle name="æøè [0.00" xfId="1040"/>
    <cellStyle name="æØè [0.00]_PRODUCT DETAIL Q1" xfId="1041"/>
    <cellStyle name="æøè_produ" xfId="1042"/>
    <cellStyle name="êý [0.00]_pr" xfId="1043"/>
    <cellStyle name="êý_product d" xfId="1044"/>
    <cellStyle name="W?_BOOKSHIP" xfId="1045"/>
    <cellStyle name="W_BOOKSHIP" xfId="1046"/>
    <cellStyle name="0" xfId="1047"/>
    <cellStyle name="0%" xfId="1048"/>
    <cellStyle name="0,0_x000d__x000a_NA_x000d__x000a_" xfId="173"/>
    <cellStyle name="0,0_x000d__x000a_NA_x000d__x000a_ 2" xfId="1049"/>
    <cellStyle name="0,0_x000d__x000a_NA_x000d__x000a_ 3" xfId="1050"/>
    <cellStyle name="0.0" xfId="1051"/>
    <cellStyle name="0.0%" xfId="1052"/>
    <cellStyle name="0.0_수정사항리스트_0906_현대선물" xfId="1053"/>
    <cellStyle name="0.00" xfId="1054"/>
    <cellStyle name="0.00%" xfId="1055"/>
    <cellStyle name="0.000%" xfId="1056"/>
    <cellStyle name="0.0000%" xfId="1057"/>
    <cellStyle name="¾E°CE¸°e¹yAI" xfId="1058"/>
    <cellStyle name="1" xfId="1059"/>
    <cellStyle name="1_1127PHM (2)" xfId="1060"/>
    <cellStyle name="1_1127PHM (4)" xfId="1061"/>
    <cellStyle name="1_2000PN지침" xfId="1062"/>
    <cellStyle name="1_918PHM (2)" xfId="1063"/>
    <cellStyle name="1_97년PI333종합" xfId="1064"/>
    <cellStyle name="1_CRD판매 (2)" xfId="1065"/>
    <cellStyle name="1_MC&amp;다변화" xfId="1066"/>
    <cellStyle name="1_다변화SAMPLE" xfId="1067"/>
    <cellStyle name="100" xfId="1068"/>
    <cellStyle name="12" xfId="1069"/>
    <cellStyle name="-156300" xfId="1070"/>
    <cellStyle name="16" xfId="1071"/>
    <cellStyle name="19990216" xfId="1072"/>
    <cellStyle name="¹éºðà²" xfId="1073"/>
    <cellStyle name="¹eºÐA²_±aA¸" xfId="1074"/>
    <cellStyle name="1월" xfId="1075"/>
    <cellStyle name="1월 2" xfId="1076"/>
    <cellStyle name="20% - Accent1" xfId="1077"/>
    <cellStyle name="20% - Accent1 2" xfId="1078"/>
    <cellStyle name="20% - Accent2" xfId="1079"/>
    <cellStyle name="20% - Accent2 2" xfId="1080"/>
    <cellStyle name="20% - Accent3" xfId="1081"/>
    <cellStyle name="20% - Accent3 2" xfId="1082"/>
    <cellStyle name="20% - Accent4" xfId="1083"/>
    <cellStyle name="20% - Accent4 2" xfId="1084"/>
    <cellStyle name="20% - Accent5" xfId="1085"/>
    <cellStyle name="20% - Accent5 2" xfId="1086"/>
    <cellStyle name="20% - Accent6" xfId="1087"/>
    <cellStyle name="20% - Accent6 2" xfId="1088"/>
    <cellStyle name="20% - 강조색1 10" xfId="1089"/>
    <cellStyle name="20% - 강조색1 11" xfId="1090"/>
    <cellStyle name="20% - 강조색1 12" xfId="1091"/>
    <cellStyle name="20% - 강조색1 13" xfId="1092"/>
    <cellStyle name="20% - 강조색1 14" xfId="1093"/>
    <cellStyle name="20% - 강조색1 14 2" xfId="1094"/>
    <cellStyle name="20% - 강조색1 14 3" xfId="1095"/>
    <cellStyle name="20% - 강조색1 15" xfId="1096"/>
    <cellStyle name="20% - 강조색1 15 2" xfId="1097"/>
    <cellStyle name="20% - 강조색1 15 3" xfId="1098"/>
    <cellStyle name="20% - 강조색1 16" xfId="1099"/>
    <cellStyle name="20% - 강조색1 16 2" xfId="1100"/>
    <cellStyle name="20% - 강조색1 16 3" xfId="1101"/>
    <cellStyle name="20% - 강조색1 17" xfId="1102"/>
    <cellStyle name="20% - 강조색1 17 2" xfId="1103"/>
    <cellStyle name="20% - 강조색1 17 3" xfId="1104"/>
    <cellStyle name="20% - 강조색1 18" xfId="1105"/>
    <cellStyle name="20% - 강조색1 18 2" xfId="1106"/>
    <cellStyle name="20% - 강조색1 18 3" xfId="1107"/>
    <cellStyle name="20% - 강조색1 19" xfId="1108"/>
    <cellStyle name="20% - 강조색1 19 2" xfId="1109"/>
    <cellStyle name="20% - 강조색1 19 3" xfId="1110"/>
    <cellStyle name="20% - 강조색1 2" xfId="1111"/>
    <cellStyle name="20% - 강조색1 2 10" xfId="1112"/>
    <cellStyle name="20% - 강조색1 2 11" xfId="1113"/>
    <cellStyle name="20% - 강조색1 2 12" xfId="1114"/>
    <cellStyle name="20% - 강조색1 2 13" xfId="1115"/>
    <cellStyle name="20% - 강조색1 2 14" xfId="1116"/>
    <cellStyle name="20% - 강조색1 2 15" xfId="1117"/>
    <cellStyle name="20% - 강조색1 2 16" xfId="1118"/>
    <cellStyle name="20% - 강조색1 2 17" xfId="1119"/>
    <cellStyle name="20% - 강조색1 2 18" xfId="1120"/>
    <cellStyle name="20% - 강조색1 2 19" xfId="1121"/>
    <cellStyle name="20% - 강조색1 2 2" xfId="1122"/>
    <cellStyle name="20% - 강조색1 2 20" xfId="1123"/>
    <cellStyle name="20% - 강조색1 2 21" xfId="1124"/>
    <cellStyle name="20% - 강조색1 2 22" xfId="1125"/>
    <cellStyle name="20% - 강조색1 2 23" xfId="1126"/>
    <cellStyle name="20% - 강조색1 2 24" xfId="1127"/>
    <cellStyle name="20% - 강조색1 2 25" xfId="1128"/>
    <cellStyle name="20% - 강조색1 2 26" xfId="1129"/>
    <cellStyle name="20% - 강조색1 2 27" xfId="1130"/>
    <cellStyle name="20% - 강조색1 2 28" xfId="1131"/>
    <cellStyle name="20% - 강조색1 2 29" xfId="1132"/>
    <cellStyle name="20% - 강조색1 2 3" xfId="1133"/>
    <cellStyle name="20% - 강조색1 2 30" xfId="1134"/>
    <cellStyle name="20% - 강조색1 2 31" xfId="1135"/>
    <cellStyle name="20% - 강조색1 2 32" xfId="1136"/>
    <cellStyle name="20% - 강조색1 2 33" xfId="1137"/>
    <cellStyle name="20% - 강조색1 2 34" xfId="1138"/>
    <cellStyle name="20% - 강조색1 2 35" xfId="1139"/>
    <cellStyle name="20% - 강조색1 2 36" xfId="1140"/>
    <cellStyle name="20% - 강조색1 2 37" xfId="1141"/>
    <cellStyle name="20% - 강조색1 2 38" xfId="1142"/>
    <cellStyle name="20% - 강조색1 2 39" xfId="1143"/>
    <cellStyle name="20% - 강조색1 2 4" xfId="1144"/>
    <cellStyle name="20% - 강조색1 2 5" xfId="1145"/>
    <cellStyle name="20% - 강조색1 2 6" xfId="1146"/>
    <cellStyle name="20% - 강조색1 2 7" xfId="1147"/>
    <cellStyle name="20% - 강조색1 2 8" xfId="1148"/>
    <cellStyle name="20% - 강조색1 2 9" xfId="1149"/>
    <cellStyle name="20% - 강조색1 20" xfId="1150"/>
    <cellStyle name="20% - 강조색1 21" xfId="1151"/>
    <cellStyle name="20% - 강조색1 22" xfId="1152"/>
    <cellStyle name="20% - 강조색1 23" xfId="1153"/>
    <cellStyle name="20% - 강조색1 24" xfId="1154"/>
    <cellStyle name="20% - 강조색1 25" xfId="1155"/>
    <cellStyle name="20% - 강조색1 26" xfId="1156"/>
    <cellStyle name="20% - 강조색1 27" xfId="1157"/>
    <cellStyle name="20% - 강조색1 27 2" xfId="1158"/>
    <cellStyle name="20% - 강조색1 28" xfId="1159"/>
    <cellStyle name="20% - 강조색1 29" xfId="1160"/>
    <cellStyle name="20% - 강조색1 3" xfId="1161"/>
    <cellStyle name="20% - 강조색1 3 2" xfId="1162"/>
    <cellStyle name="20% - 강조색1 3 3" xfId="1163"/>
    <cellStyle name="20% - 강조색1 3 4" xfId="1164"/>
    <cellStyle name="20% - 강조색1 30" xfId="1165"/>
    <cellStyle name="20% - 강조색1 31" xfId="1166"/>
    <cellStyle name="20% - 강조색1 32" xfId="1167"/>
    <cellStyle name="20% - 강조색1 33" xfId="1168"/>
    <cellStyle name="20% - 강조색1 34" xfId="1169"/>
    <cellStyle name="20% - 강조색1 35" xfId="1170"/>
    <cellStyle name="20% - 강조색1 35 2" xfId="1171"/>
    <cellStyle name="20% - 강조색1 35 2 2" xfId="1172"/>
    <cellStyle name="20% - 강조색1 35 2 3" xfId="1173"/>
    <cellStyle name="20% - 강조색1 35 3" xfId="1174"/>
    <cellStyle name="20% - 강조색1 35 4" xfId="1175"/>
    <cellStyle name="20% - 강조색1 36" xfId="1176"/>
    <cellStyle name="20% - 강조색1 36 2" xfId="1177"/>
    <cellStyle name="20% - 강조색1 36 2 2" xfId="1178"/>
    <cellStyle name="20% - 강조색1 36 2 3" xfId="1179"/>
    <cellStyle name="20% - 강조색1 36 3" xfId="1180"/>
    <cellStyle name="20% - 강조색1 36 4" xfId="1181"/>
    <cellStyle name="20% - 강조색1 37" xfId="1182"/>
    <cellStyle name="20% - 강조색1 37 2" xfId="1183"/>
    <cellStyle name="20% - 강조색1 37 3" xfId="1184"/>
    <cellStyle name="20% - 강조색1 37 4" xfId="1185"/>
    <cellStyle name="20% - 강조색1 38" xfId="1186"/>
    <cellStyle name="20% - 강조색1 39" xfId="1187"/>
    <cellStyle name="20% - 강조색1 4" xfId="1188"/>
    <cellStyle name="20% - 강조색1 4 2" xfId="1189"/>
    <cellStyle name="20% - 강조색1 4 3" xfId="1190"/>
    <cellStyle name="20% - 강조색1 4 4" xfId="1191"/>
    <cellStyle name="20% - 강조색1 40" xfId="1192"/>
    <cellStyle name="20% - 강조색1 41" xfId="1193"/>
    <cellStyle name="20% - 강조색1 42" xfId="1194"/>
    <cellStyle name="20% - 강조색1 43" xfId="1195"/>
    <cellStyle name="20% - 강조색1 44" xfId="1196"/>
    <cellStyle name="20% - 강조색1 44 2" xfId="1197"/>
    <cellStyle name="20% - 강조색1 44 3" xfId="1198"/>
    <cellStyle name="20% - 강조색1 45" xfId="1199"/>
    <cellStyle name="20% - 강조색1 45 2" xfId="1200"/>
    <cellStyle name="20% - 강조색1 45 3" xfId="1201"/>
    <cellStyle name="20% - 강조색1 46" xfId="1202"/>
    <cellStyle name="20% - 강조색1 47" xfId="1203"/>
    <cellStyle name="20% - 강조색1 48" xfId="1204"/>
    <cellStyle name="20% - 강조색1 49" xfId="1205"/>
    <cellStyle name="20% - 강조색1 5" xfId="1206"/>
    <cellStyle name="20% - 강조색1 5 2" xfId="1207"/>
    <cellStyle name="20% - 강조색1 5 3" xfId="1208"/>
    <cellStyle name="20% - 강조색1 5 4" xfId="1209"/>
    <cellStyle name="20% - 강조색1 50" xfId="1210"/>
    <cellStyle name="20% - 강조색1 51" xfId="1211"/>
    <cellStyle name="20% - 강조색1 52" xfId="1212"/>
    <cellStyle name="20% - 강조색1 53" xfId="1213"/>
    <cellStyle name="20% - 강조색1 54" xfId="1214"/>
    <cellStyle name="20% - 강조색1 55" xfId="1215"/>
    <cellStyle name="20% - 강조색1 6" xfId="1216"/>
    <cellStyle name="20% - 강조색1 6 2" xfId="1217"/>
    <cellStyle name="20% - 강조색1 6 3" xfId="1218"/>
    <cellStyle name="20% - 강조색1 6 4" xfId="1219"/>
    <cellStyle name="20% - 강조색1 7" xfId="1220"/>
    <cellStyle name="20% - 강조색1 7 2" xfId="1221"/>
    <cellStyle name="20% - 강조색1 7 3" xfId="1222"/>
    <cellStyle name="20% - 강조색1 7 4" xfId="1223"/>
    <cellStyle name="20% - 강조색1 8" xfId="1224"/>
    <cellStyle name="20% - 강조색1 9" xfId="1225"/>
    <cellStyle name="20% - 강조색2 10" xfId="1226"/>
    <cellStyle name="20% - 강조색2 11" xfId="1227"/>
    <cellStyle name="20% - 강조색2 12" xfId="1228"/>
    <cellStyle name="20% - 강조색2 13" xfId="1229"/>
    <cellStyle name="20% - 강조색2 14" xfId="1230"/>
    <cellStyle name="20% - 강조색2 14 2" xfId="1231"/>
    <cellStyle name="20% - 강조색2 14 3" xfId="1232"/>
    <cellStyle name="20% - 강조색2 15" xfId="1233"/>
    <cellStyle name="20% - 강조색2 15 2" xfId="1234"/>
    <cellStyle name="20% - 강조색2 15 3" xfId="1235"/>
    <cellStyle name="20% - 강조색2 16" xfId="1236"/>
    <cellStyle name="20% - 강조색2 16 2" xfId="1237"/>
    <cellStyle name="20% - 강조색2 16 3" xfId="1238"/>
    <cellStyle name="20% - 강조색2 17" xfId="1239"/>
    <cellStyle name="20% - 강조색2 17 2" xfId="1240"/>
    <cellStyle name="20% - 강조색2 17 3" xfId="1241"/>
    <cellStyle name="20% - 강조색2 18" xfId="1242"/>
    <cellStyle name="20% - 강조색2 18 2" xfId="1243"/>
    <cellStyle name="20% - 강조색2 18 3" xfId="1244"/>
    <cellStyle name="20% - 강조색2 19" xfId="1245"/>
    <cellStyle name="20% - 강조색2 19 2" xfId="1246"/>
    <cellStyle name="20% - 강조색2 19 3" xfId="1247"/>
    <cellStyle name="20% - 강조색2 2" xfId="1248"/>
    <cellStyle name="20% - 강조색2 2 10" xfId="1249"/>
    <cellStyle name="20% - 강조색2 2 11" xfId="1250"/>
    <cellStyle name="20% - 강조색2 2 12" xfId="1251"/>
    <cellStyle name="20% - 강조색2 2 13" xfId="1252"/>
    <cellStyle name="20% - 강조색2 2 14" xfId="1253"/>
    <cellStyle name="20% - 강조색2 2 15" xfId="1254"/>
    <cellStyle name="20% - 강조색2 2 16" xfId="1255"/>
    <cellStyle name="20% - 강조색2 2 17" xfId="1256"/>
    <cellStyle name="20% - 강조색2 2 18" xfId="1257"/>
    <cellStyle name="20% - 강조색2 2 19" xfId="1258"/>
    <cellStyle name="20% - 강조색2 2 2" xfId="1259"/>
    <cellStyle name="20% - 강조색2 2 20" xfId="1260"/>
    <cellStyle name="20% - 강조색2 2 21" xfId="1261"/>
    <cellStyle name="20% - 강조색2 2 22" xfId="1262"/>
    <cellStyle name="20% - 강조색2 2 23" xfId="1263"/>
    <cellStyle name="20% - 강조색2 2 24" xfId="1264"/>
    <cellStyle name="20% - 강조색2 2 25" xfId="1265"/>
    <cellStyle name="20% - 강조색2 2 26" xfId="1266"/>
    <cellStyle name="20% - 강조색2 2 27" xfId="1267"/>
    <cellStyle name="20% - 강조색2 2 28" xfId="1268"/>
    <cellStyle name="20% - 강조색2 2 29" xfId="1269"/>
    <cellStyle name="20% - 강조색2 2 3" xfId="1270"/>
    <cellStyle name="20% - 강조색2 2 30" xfId="1271"/>
    <cellStyle name="20% - 강조색2 2 31" xfId="1272"/>
    <cellStyle name="20% - 강조색2 2 32" xfId="1273"/>
    <cellStyle name="20% - 강조색2 2 33" xfId="1274"/>
    <cellStyle name="20% - 강조색2 2 34" xfId="1275"/>
    <cellStyle name="20% - 강조색2 2 35" xfId="1276"/>
    <cellStyle name="20% - 강조색2 2 36" xfId="1277"/>
    <cellStyle name="20% - 강조색2 2 37" xfId="1278"/>
    <cellStyle name="20% - 강조색2 2 38" xfId="1279"/>
    <cellStyle name="20% - 강조색2 2 39" xfId="1280"/>
    <cellStyle name="20% - 강조색2 2 4" xfId="1281"/>
    <cellStyle name="20% - 강조색2 2 5" xfId="1282"/>
    <cellStyle name="20% - 강조색2 2 6" xfId="1283"/>
    <cellStyle name="20% - 강조색2 2 7" xfId="1284"/>
    <cellStyle name="20% - 강조색2 2 8" xfId="1285"/>
    <cellStyle name="20% - 강조색2 2 9" xfId="1286"/>
    <cellStyle name="20% - 강조색2 20" xfId="1287"/>
    <cellStyle name="20% - 강조색2 21" xfId="1288"/>
    <cellStyle name="20% - 강조색2 22" xfId="1289"/>
    <cellStyle name="20% - 강조색2 23" xfId="1290"/>
    <cellStyle name="20% - 강조색2 24" xfId="1291"/>
    <cellStyle name="20% - 강조색2 25" xfId="1292"/>
    <cellStyle name="20% - 강조색2 26" xfId="1293"/>
    <cellStyle name="20% - 강조색2 27" xfId="1294"/>
    <cellStyle name="20% - 강조색2 27 2" xfId="1295"/>
    <cellStyle name="20% - 강조색2 28" xfId="1296"/>
    <cellStyle name="20% - 강조색2 29" xfId="1297"/>
    <cellStyle name="20% - 강조색2 3" xfId="1298"/>
    <cellStyle name="20% - 강조색2 3 2" xfId="1299"/>
    <cellStyle name="20% - 강조색2 3 3" xfId="1300"/>
    <cellStyle name="20% - 강조색2 3 4" xfId="1301"/>
    <cellStyle name="20% - 강조색2 30" xfId="1302"/>
    <cellStyle name="20% - 강조색2 31" xfId="1303"/>
    <cellStyle name="20% - 강조색2 32" xfId="1304"/>
    <cellStyle name="20% - 강조색2 33" xfId="1305"/>
    <cellStyle name="20% - 강조색2 34" xfId="1306"/>
    <cellStyle name="20% - 강조색2 35" xfId="1307"/>
    <cellStyle name="20% - 강조색2 35 2" xfId="1308"/>
    <cellStyle name="20% - 강조색2 35 2 2" xfId="1309"/>
    <cellStyle name="20% - 강조색2 35 2 3" xfId="1310"/>
    <cellStyle name="20% - 강조색2 35 3" xfId="1311"/>
    <cellStyle name="20% - 강조색2 35 4" xfId="1312"/>
    <cellStyle name="20% - 강조색2 36" xfId="1313"/>
    <cellStyle name="20% - 강조색2 36 2" xfId="1314"/>
    <cellStyle name="20% - 강조색2 36 2 2" xfId="1315"/>
    <cellStyle name="20% - 강조색2 36 2 3" xfId="1316"/>
    <cellStyle name="20% - 강조색2 36 3" xfId="1317"/>
    <cellStyle name="20% - 강조색2 36 4" xfId="1318"/>
    <cellStyle name="20% - 강조색2 37" xfId="1319"/>
    <cellStyle name="20% - 강조색2 37 2" xfId="1320"/>
    <cellStyle name="20% - 강조색2 37 3" xfId="1321"/>
    <cellStyle name="20% - 강조색2 37 4" xfId="1322"/>
    <cellStyle name="20% - 강조색2 38" xfId="1323"/>
    <cellStyle name="20% - 강조색2 39" xfId="1324"/>
    <cellStyle name="20% - 강조색2 4" xfId="1325"/>
    <cellStyle name="20% - 강조색2 4 2" xfId="1326"/>
    <cellStyle name="20% - 강조색2 4 3" xfId="1327"/>
    <cellStyle name="20% - 강조색2 4 4" xfId="1328"/>
    <cellStyle name="20% - 강조색2 40" xfId="1329"/>
    <cellStyle name="20% - 강조색2 41" xfId="1330"/>
    <cellStyle name="20% - 강조색2 42" xfId="1331"/>
    <cellStyle name="20% - 강조색2 43" xfId="1332"/>
    <cellStyle name="20% - 강조색2 44" xfId="1333"/>
    <cellStyle name="20% - 강조색2 44 2" xfId="1334"/>
    <cellStyle name="20% - 강조색2 44 3" xfId="1335"/>
    <cellStyle name="20% - 강조색2 45" xfId="1336"/>
    <cellStyle name="20% - 강조색2 45 2" xfId="1337"/>
    <cellStyle name="20% - 강조색2 45 3" xfId="1338"/>
    <cellStyle name="20% - 강조색2 46" xfId="1339"/>
    <cellStyle name="20% - 강조색2 47" xfId="1340"/>
    <cellStyle name="20% - 강조색2 48" xfId="1341"/>
    <cellStyle name="20% - 강조색2 49" xfId="1342"/>
    <cellStyle name="20% - 강조색2 5" xfId="1343"/>
    <cellStyle name="20% - 강조색2 5 2" xfId="1344"/>
    <cellStyle name="20% - 강조색2 5 3" xfId="1345"/>
    <cellStyle name="20% - 강조색2 5 4" xfId="1346"/>
    <cellStyle name="20% - 강조색2 50" xfId="1347"/>
    <cellStyle name="20% - 강조색2 51" xfId="1348"/>
    <cellStyle name="20% - 강조색2 52" xfId="1349"/>
    <cellStyle name="20% - 강조색2 53" xfId="1350"/>
    <cellStyle name="20% - 강조색2 54" xfId="1351"/>
    <cellStyle name="20% - 강조색2 55" xfId="1352"/>
    <cellStyle name="20% - 강조색2 6" xfId="1353"/>
    <cellStyle name="20% - 강조색2 6 2" xfId="1354"/>
    <cellStyle name="20% - 강조색2 6 3" xfId="1355"/>
    <cellStyle name="20% - 강조색2 6 4" xfId="1356"/>
    <cellStyle name="20% - 강조색2 7" xfId="1357"/>
    <cellStyle name="20% - 강조색2 7 2" xfId="1358"/>
    <cellStyle name="20% - 강조색2 7 3" xfId="1359"/>
    <cellStyle name="20% - 강조색2 7 4" xfId="1360"/>
    <cellStyle name="20% - 강조색2 8" xfId="1361"/>
    <cellStyle name="20% - 강조색2 9" xfId="1362"/>
    <cellStyle name="20% - 강조색3 10" xfId="1363"/>
    <cellStyle name="20% - 강조색3 11" xfId="1364"/>
    <cellStyle name="20% - 강조색3 12" xfId="1365"/>
    <cellStyle name="20% - 강조색3 13" xfId="1366"/>
    <cellStyle name="20% - 강조색3 14" xfId="1367"/>
    <cellStyle name="20% - 강조색3 14 2" xfId="1368"/>
    <cellStyle name="20% - 강조색3 14 3" xfId="1369"/>
    <cellStyle name="20% - 강조색3 15" xfId="1370"/>
    <cellStyle name="20% - 강조색3 15 2" xfId="1371"/>
    <cellStyle name="20% - 강조색3 15 3" xfId="1372"/>
    <cellStyle name="20% - 강조색3 16" xfId="1373"/>
    <cellStyle name="20% - 강조색3 16 2" xfId="1374"/>
    <cellStyle name="20% - 강조색3 16 3" xfId="1375"/>
    <cellStyle name="20% - 강조색3 17" xfId="1376"/>
    <cellStyle name="20% - 강조색3 17 2" xfId="1377"/>
    <cellStyle name="20% - 강조색3 17 3" xfId="1378"/>
    <cellStyle name="20% - 강조색3 18" xfId="1379"/>
    <cellStyle name="20% - 강조색3 18 2" xfId="1380"/>
    <cellStyle name="20% - 강조색3 18 3" xfId="1381"/>
    <cellStyle name="20% - 강조색3 19" xfId="1382"/>
    <cellStyle name="20% - 강조색3 19 2" xfId="1383"/>
    <cellStyle name="20% - 강조색3 19 3" xfId="1384"/>
    <cellStyle name="20% - 강조색3 2" xfId="1385"/>
    <cellStyle name="20% - 강조색3 2 10" xfId="1386"/>
    <cellStyle name="20% - 강조색3 2 11" xfId="1387"/>
    <cellStyle name="20% - 강조색3 2 12" xfId="1388"/>
    <cellStyle name="20% - 강조색3 2 13" xfId="1389"/>
    <cellStyle name="20% - 강조색3 2 14" xfId="1390"/>
    <cellStyle name="20% - 강조색3 2 15" xfId="1391"/>
    <cellStyle name="20% - 강조색3 2 16" xfId="1392"/>
    <cellStyle name="20% - 강조색3 2 17" xfId="1393"/>
    <cellStyle name="20% - 강조색3 2 18" xfId="1394"/>
    <cellStyle name="20% - 강조색3 2 19" xfId="1395"/>
    <cellStyle name="20% - 강조색3 2 2" xfId="1396"/>
    <cellStyle name="20% - 강조색3 2 20" xfId="1397"/>
    <cellStyle name="20% - 강조색3 2 21" xfId="1398"/>
    <cellStyle name="20% - 강조색3 2 22" xfId="1399"/>
    <cellStyle name="20% - 강조색3 2 23" xfId="1400"/>
    <cellStyle name="20% - 강조색3 2 24" xfId="1401"/>
    <cellStyle name="20% - 강조색3 2 25" xfId="1402"/>
    <cellStyle name="20% - 강조색3 2 26" xfId="1403"/>
    <cellStyle name="20% - 강조색3 2 27" xfId="1404"/>
    <cellStyle name="20% - 강조색3 2 28" xfId="1405"/>
    <cellStyle name="20% - 강조색3 2 29" xfId="1406"/>
    <cellStyle name="20% - 강조색3 2 3" xfId="1407"/>
    <cellStyle name="20% - 강조색3 2 30" xfId="1408"/>
    <cellStyle name="20% - 강조색3 2 31" xfId="1409"/>
    <cellStyle name="20% - 강조색3 2 32" xfId="1410"/>
    <cellStyle name="20% - 강조색3 2 33" xfId="1411"/>
    <cellStyle name="20% - 강조색3 2 34" xfId="1412"/>
    <cellStyle name="20% - 강조색3 2 35" xfId="1413"/>
    <cellStyle name="20% - 강조색3 2 36" xfId="1414"/>
    <cellStyle name="20% - 강조색3 2 37" xfId="1415"/>
    <cellStyle name="20% - 강조색3 2 38" xfId="1416"/>
    <cellStyle name="20% - 강조색3 2 39" xfId="1417"/>
    <cellStyle name="20% - 강조색3 2 4" xfId="1418"/>
    <cellStyle name="20% - 강조색3 2 5" xfId="1419"/>
    <cellStyle name="20% - 강조색3 2 6" xfId="1420"/>
    <cellStyle name="20% - 강조색3 2 7" xfId="1421"/>
    <cellStyle name="20% - 강조색3 2 8" xfId="1422"/>
    <cellStyle name="20% - 강조색3 2 9" xfId="1423"/>
    <cellStyle name="20% - 강조색3 20" xfId="1424"/>
    <cellStyle name="20% - 강조색3 21" xfId="1425"/>
    <cellStyle name="20% - 강조색3 22" xfId="1426"/>
    <cellStyle name="20% - 강조색3 23" xfId="1427"/>
    <cellStyle name="20% - 강조색3 24" xfId="1428"/>
    <cellStyle name="20% - 강조색3 25" xfId="1429"/>
    <cellStyle name="20% - 강조색3 26" xfId="1430"/>
    <cellStyle name="20% - 강조색3 27" xfId="1431"/>
    <cellStyle name="20% - 강조색3 27 2" xfId="1432"/>
    <cellStyle name="20% - 강조색3 28" xfId="1433"/>
    <cellStyle name="20% - 강조색3 29" xfId="1434"/>
    <cellStyle name="20% - 강조색3 3" xfId="1435"/>
    <cellStyle name="20% - 강조색3 3 2" xfId="1436"/>
    <cellStyle name="20% - 강조색3 3 3" xfId="1437"/>
    <cellStyle name="20% - 강조색3 3 4" xfId="1438"/>
    <cellStyle name="20% - 강조색3 30" xfId="1439"/>
    <cellStyle name="20% - 강조색3 31" xfId="1440"/>
    <cellStyle name="20% - 강조색3 32" xfId="1441"/>
    <cellStyle name="20% - 강조색3 33" xfId="1442"/>
    <cellStyle name="20% - 강조색3 34" xfId="1443"/>
    <cellStyle name="20% - 강조색3 35" xfId="1444"/>
    <cellStyle name="20% - 강조색3 35 2" xfId="1445"/>
    <cellStyle name="20% - 강조색3 35 2 2" xfId="1446"/>
    <cellStyle name="20% - 강조색3 35 2 3" xfId="1447"/>
    <cellStyle name="20% - 강조색3 35 3" xfId="1448"/>
    <cellStyle name="20% - 강조색3 35 4" xfId="1449"/>
    <cellStyle name="20% - 강조색3 36" xfId="1450"/>
    <cellStyle name="20% - 강조색3 36 2" xfId="1451"/>
    <cellStyle name="20% - 강조색3 36 2 2" xfId="1452"/>
    <cellStyle name="20% - 강조색3 36 2 3" xfId="1453"/>
    <cellStyle name="20% - 강조색3 36 3" xfId="1454"/>
    <cellStyle name="20% - 강조색3 36 4" xfId="1455"/>
    <cellStyle name="20% - 강조색3 37" xfId="1456"/>
    <cellStyle name="20% - 강조색3 37 2" xfId="1457"/>
    <cellStyle name="20% - 강조색3 37 3" xfId="1458"/>
    <cellStyle name="20% - 강조색3 37 4" xfId="1459"/>
    <cellStyle name="20% - 강조색3 38" xfId="1460"/>
    <cellStyle name="20% - 강조색3 39" xfId="1461"/>
    <cellStyle name="20% - 강조색3 4" xfId="1462"/>
    <cellStyle name="20% - 강조색3 4 2" xfId="1463"/>
    <cellStyle name="20% - 강조색3 4 3" xfId="1464"/>
    <cellStyle name="20% - 강조색3 4 4" xfId="1465"/>
    <cellStyle name="20% - 강조색3 40" xfId="1466"/>
    <cellStyle name="20% - 강조색3 41" xfId="1467"/>
    <cellStyle name="20% - 강조색3 42" xfId="1468"/>
    <cellStyle name="20% - 강조색3 43" xfId="1469"/>
    <cellStyle name="20% - 강조색3 44" xfId="1470"/>
    <cellStyle name="20% - 강조색3 44 2" xfId="1471"/>
    <cellStyle name="20% - 강조색3 44 3" xfId="1472"/>
    <cellStyle name="20% - 강조색3 45" xfId="1473"/>
    <cellStyle name="20% - 강조색3 45 2" xfId="1474"/>
    <cellStyle name="20% - 강조색3 45 3" xfId="1475"/>
    <cellStyle name="20% - 강조색3 46" xfId="1476"/>
    <cellStyle name="20% - 강조색3 47" xfId="1477"/>
    <cellStyle name="20% - 강조색3 48" xfId="1478"/>
    <cellStyle name="20% - 강조색3 49" xfId="1479"/>
    <cellStyle name="20% - 강조색3 5" xfId="1480"/>
    <cellStyle name="20% - 강조색3 5 2" xfId="1481"/>
    <cellStyle name="20% - 강조색3 5 3" xfId="1482"/>
    <cellStyle name="20% - 강조색3 5 4" xfId="1483"/>
    <cellStyle name="20% - 강조색3 50" xfId="1484"/>
    <cellStyle name="20% - 강조색3 51" xfId="1485"/>
    <cellStyle name="20% - 강조색3 52" xfId="1486"/>
    <cellStyle name="20% - 강조색3 53" xfId="1487"/>
    <cellStyle name="20% - 강조색3 54" xfId="1488"/>
    <cellStyle name="20% - 강조색3 55" xfId="1489"/>
    <cellStyle name="20% - 강조색3 6" xfId="1490"/>
    <cellStyle name="20% - 강조색3 6 2" xfId="1491"/>
    <cellStyle name="20% - 강조색3 6 3" xfId="1492"/>
    <cellStyle name="20% - 강조색3 6 4" xfId="1493"/>
    <cellStyle name="20% - 강조색3 7" xfId="1494"/>
    <cellStyle name="20% - 강조색3 7 2" xfId="1495"/>
    <cellStyle name="20% - 강조색3 7 3" xfId="1496"/>
    <cellStyle name="20% - 강조색3 7 4" xfId="1497"/>
    <cellStyle name="20% - 강조색3 8" xfId="1498"/>
    <cellStyle name="20% - 강조색3 9" xfId="1499"/>
    <cellStyle name="20% - 강조색4 10" xfId="1500"/>
    <cellStyle name="20% - 강조색4 11" xfId="1501"/>
    <cellStyle name="20% - 강조색4 12" xfId="1502"/>
    <cellStyle name="20% - 강조색4 13" xfId="1503"/>
    <cellStyle name="20% - 강조색4 14" xfId="1504"/>
    <cellStyle name="20% - 강조색4 14 2" xfId="1505"/>
    <cellStyle name="20% - 강조색4 14 3" xfId="1506"/>
    <cellStyle name="20% - 강조색4 15" xfId="1507"/>
    <cellStyle name="20% - 강조색4 15 2" xfId="1508"/>
    <cellStyle name="20% - 강조색4 15 3" xfId="1509"/>
    <cellStyle name="20% - 강조색4 16" xfId="1510"/>
    <cellStyle name="20% - 강조색4 16 2" xfId="1511"/>
    <cellStyle name="20% - 강조색4 16 3" xfId="1512"/>
    <cellStyle name="20% - 강조색4 17" xfId="1513"/>
    <cellStyle name="20% - 강조색4 17 2" xfId="1514"/>
    <cellStyle name="20% - 강조색4 17 3" xfId="1515"/>
    <cellStyle name="20% - 강조색4 18" xfId="1516"/>
    <cellStyle name="20% - 강조색4 18 2" xfId="1517"/>
    <cellStyle name="20% - 강조색4 18 3" xfId="1518"/>
    <cellStyle name="20% - 강조색4 19" xfId="1519"/>
    <cellStyle name="20% - 강조색4 19 2" xfId="1520"/>
    <cellStyle name="20% - 강조색4 19 3" xfId="1521"/>
    <cellStyle name="20% - 강조색4 2" xfId="1522"/>
    <cellStyle name="20% - 강조색4 2 10" xfId="1523"/>
    <cellStyle name="20% - 강조색4 2 11" xfId="1524"/>
    <cellStyle name="20% - 강조색4 2 12" xfId="1525"/>
    <cellStyle name="20% - 강조색4 2 13" xfId="1526"/>
    <cellStyle name="20% - 강조색4 2 14" xfId="1527"/>
    <cellStyle name="20% - 강조색4 2 15" xfId="1528"/>
    <cellStyle name="20% - 강조색4 2 16" xfId="1529"/>
    <cellStyle name="20% - 강조색4 2 17" xfId="1530"/>
    <cellStyle name="20% - 강조색4 2 18" xfId="1531"/>
    <cellStyle name="20% - 강조색4 2 19" xfId="1532"/>
    <cellStyle name="20% - 강조색4 2 2" xfId="1533"/>
    <cellStyle name="20% - 강조색4 2 20" xfId="1534"/>
    <cellStyle name="20% - 강조색4 2 21" xfId="1535"/>
    <cellStyle name="20% - 강조색4 2 22" xfId="1536"/>
    <cellStyle name="20% - 강조색4 2 23" xfId="1537"/>
    <cellStyle name="20% - 강조색4 2 24" xfId="1538"/>
    <cellStyle name="20% - 강조색4 2 25" xfId="1539"/>
    <cellStyle name="20% - 강조색4 2 26" xfId="1540"/>
    <cellStyle name="20% - 강조색4 2 27" xfId="1541"/>
    <cellStyle name="20% - 강조색4 2 28" xfId="1542"/>
    <cellStyle name="20% - 강조색4 2 29" xfId="1543"/>
    <cellStyle name="20% - 강조색4 2 3" xfId="1544"/>
    <cellStyle name="20% - 강조색4 2 30" xfId="1545"/>
    <cellStyle name="20% - 강조색4 2 31" xfId="1546"/>
    <cellStyle name="20% - 강조색4 2 32" xfId="1547"/>
    <cellStyle name="20% - 강조색4 2 33" xfId="1548"/>
    <cellStyle name="20% - 강조색4 2 34" xfId="1549"/>
    <cellStyle name="20% - 강조색4 2 35" xfId="1550"/>
    <cellStyle name="20% - 강조색4 2 36" xfId="1551"/>
    <cellStyle name="20% - 강조색4 2 37" xfId="1552"/>
    <cellStyle name="20% - 강조색4 2 38" xfId="1553"/>
    <cellStyle name="20% - 강조색4 2 39" xfId="1554"/>
    <cellStyle name="20% - 강조색4 2 4" xfId="1555"/>
    <cellStyle name="20% - 강조색4 2 5" xfId="1556"/>
    <cellStyle name="20% - 강조색4 2 6" xfId="1557"/>
    <cellStyle name="20% - 강조색4 2 7" xfId="1558"/>
    <cellStyle name="20% - 강조색4 2 8" xfId="1559"/>
    <cellStyle name="20% - 강조색4 2 9" xfId="1560"/>
    <cellStyle name="20% - 강조색4 20" xfId="1561"/>
    <cellStyle name="20% - 강조색4 21" xfId="1562"/>
    <cellStyle name="20% - 강조색4 22" xfId="1563"/>
    <cellStyle name="20% - 강조색4 23" xfId="1564"/>
    <cellStyle name="20% - 강조색4 24" xfId="1565"/>
    <cellStyle name="20% - 강조색4 25" xfId="1566"/>
    <cellStyle name="20% - 강조색4 26" xfId="1567"/>
    <cellStyle name="20% - 강조색4 27" xfId="1568"/>
    <cellStyle name="20% - 강조색4 27 2" xfId="1569"/>
    <cellStyle name="20% - 강조색4 28" xfId="1570"/>
    <cellStyle name="20% - 강조색4 29" xfId="1571"/>
    <cellStyle name="20% - 강조색4 3" xfId="1572"/>
    <cellStyle name="20% - 강조색4 3 2" xfId="1573"/>
    <cellStyle name="20% - 강조색4 3 3" xfId="1574"/>
    <cellStyle name="20% - 강조색4 3 4" xfId="1575"/>
    <cellStyle name="20% - 강조색4 30" xfId="1576"/>
    <cellStyle name="20% - 강조색4 31" xfId="1577"/>
    <cellStyle name="20% - 강조색4 32" xfId="1578"/>
    <cellStyle name="20% - 강조색4 33" xfId="1579"/>
    <cellStyle name="20% - 강조색4 34" xfId="1580"/>
    <cellStyle name="20% - 강조색4 35" xfId="1581"/>
    <cellStyle name="20% - 강조색4 35 2" xfId="1582"/>
    <cellStyle name="20% - 강조색4 35 2 2" xfId="1583"/>
    <cellStyle name="20% - 강조색4 35 2 3" xfId="1584"/>
    <cellStyle name="20% - 강조색4 35 3" xfId="1585"/>
    <cellStyle name="20% - 강조색4 35 4" xfId="1586"/>
    <cellStyle name="20% - 강조색4 36" xfId="1587"/>
    <cellStyle name="20% - 강조색4 36 2" xfId="1588"/>
    <cellStyle name="20% - 강조색4 36 2 2" xfId="1589"/>
    <cellStyle name="20% - 강조색4 36 2 3" xfId="1590"/>
    <cellStyle name="20% - 강조색4 36 3" xfId="1591"/>
    <cellStyle name="20% - 강조색4 36 4" xfId="1592"/>
    <cellStyle name="20% - 강조색4 37" xfId="1593"/>
    <cellStyle name="20% - 강조색4 37 2" xfId="1594"/>
    <cellStyle name="20% - 강조색4 37 3" xfId="1595"/>
    <cellStyle name="20% - 강조색4 37 4" xfId="1596"/>
    <cellStyle name="20% - 강조색4 38" xfId="1597"/>
    <cellStyle name="20% - 강조색4 39" xfId="1598"/>
    <cellStyle name="20% - 강조색4 4" xfId="1599"/>
    <cellStyle name="20% - 강조색4 4 2" xfId="1600"/>
    <cellStyle name="20% - 강조색4 4 3" xfId="1601"/>
    <cellStyle name="20% - 강조색4 4 4" xfId="1602"/>
    <cellStyle name="20% - 강조색4 40" xfId="1603"/>
    <cellStyle name="20% - 강조색4 41" xfId="1604"/>
    <cellStyle name="20% - 강조색4 42" xfId="1605"/>
    <cellStyle name="20% - 강조색4 43" xfId="1606"/>
    <cellStyle name="20% - 강조색4 44" xfId="1607"/>
    <cellStyle name="20% - 강조색4 44 2" xfId="1608"/>
    <cellStyle name="20% - 강조색4 44 3" xfId="1609"/>
    <cellStyle name="20% - 강조색4 45" xfId="1610"/>
    <cellStyle name="20% - 강조색4 45 2" xfId="1611"/>
    <cellStyle name="20% - 강조색4 45 3" xfId="1612"/>
    <cellStyle name="20% - 강조색4 46" xfId="1613"/>
    <cellStyle name="20% - 강조색4 47" xfId="1614"/>
    <cellStyle name="20% - 강조색4 48" xfId="1615"/>
    <cellStyle name="20% - 강조색4 49" xfId="1616"/>
    <cellStyle name="20% - 강조색4 5" xfId="1617"/>
    <cellStyle name="20% - 강조색4 5 2" xfId="1618"/>
    <cellStyle name="20% - 강조색4 5 3" xfId="1619"/>
    <cellStyle name="20% - 강조색4 5 4" xfId="1620"/>
    <cellStyle name="20% - 강조색4 50" xfId="1621"/>
    <cellStyle name="20% - 강조색4 51" xfId="1622"/>
    <cellStyle name="20% - 강조색4 52" xfId="1623"/>
    <cellStyle name="20% - 강조색4 53" xfId="1624"/>
    <cellStyle name="20% - 강조색4 54" xfId="1625"/>
    <cellStyle name="20% - 강조색4 55" xfId="1626"/>
    <cellStyle name="20% - 강조색4 6" xfId="1627"/>
    <cellStyle name="20% - 강조색4 6 2" xfId="1628"/>
    <cellStyle name="20% - 강조색4 6 3" xfId="1629"/>
    <cellStyle name="20% - 강조색4 6 4" xfId="1630"/>
    <cellStyle name="20% - 강조색4 7" xfId="1631"/>
    <cellStyle name="20% - 강조색4 7 2" xfId="1632"/>
    <cellStyle name="20% - 강조색4 7 3" xfId="1633"/>
    <cellStyle name="20% - 강조색4 7 4" xfId="1634"/>
    <cellStyle name="20% - 강조색4 8" xfId="1635"/>
    <cellStyle name="20% - 강조색4 9" xfId="1636"/>
    <cellStyle name="20% - 강조색5 10" xfId="1637"/>
    <cellStyle name="20% - 강조색5 11" xfId="1638"/>
    <cellStyle name="20% - 강조색5 12" xfId="1639"/>
    <cellStyle name="20% - 강조색5 13" xfId="1640"/>
    <cellStyle name="20% - 강조색5 14" xfId="1641"/>
    <cellStyle name="20% - 강조색5 14 2" xfId="1642"/>
    <cellStyle name="20% - 강조색5 14 3" xfId="1643"/>
    <cellStyle name="20% - 강조색5 15" xfId="1644"/>
    <cellStyle name="20% - 강조색5 15 2" xfId="1645"/>
    <cellStyle name="20% - 강조색5 15 3" xfId="1646"/>
    <cellStyle name="20% - 강조색5 16" xfId="1647"/>
    <cellStyle name="20% - 강조색5 16 2" xfId="1648"/>
    <cellStyle name="20% - 강조색5 16 3" xfId="1649"/>
    <cellStyle name="20% - 강조색5 17" xfId="1650"/>
    <cellStyle name="20% - 강조색5 17 2" xfId="1651"/>
    <cellStyle name="20% - 강조색5 17 3" xfId="1652"/>
    <cellStyle name="20% - 강조색5 18" xfId="1653"/>
    <cellStyle name="20% - 강조색5 18 2" xfId="1654"/>
    <cellStyle name="20% - 강조색5 18 3" xfId="1655"/>
    <cellStyle name="20% - 강조색5 19" xfId="1656"/>
    <cellStyle name="20% - 강조색5 19 2" xfId="1657"/>
    <cellStyle name="20% - 강조색5 19 3" xfId="1658"/>
    <cellStyle name="20% - 강조색5 2" xfId="1659"/>
    <cellStyle name="20% - 강조색5 2 10" xfId="1660"/>
    <cellStyle name="20% - 강조색5 2 11" xfId="1661"/>
    <cellStyle name="20% - 강조색5 2 12" xfId="1662"/>
    <cellStyle name="20% - 강조색5 2 13" xfId="1663"/>
    <cellStyle name="20% - 강조색5 2 14" xfId="1664"/>
    <cellStyle name="20% - 강조색5 2 15" xfId="1665"/>
    <cellStyle name="20% - 강조색5 2 16" xfId="1666"/>
    <cellStyle name="20% - 강조색5 2 17" xfId="1667"/>
    <cellStyle name="20% - 강조색5 2 18" xfId="1668"/>
    <cellStyle name="20% - 강조색5 2 19" xfId="1669"/>
    <cellStyle name="20% - 강조색5 2 2" xfId="1670"/>
    <cellStyle name="20% - 강조색5 2 20" xfId="1671"/>
    <cellStyle name="20% - 강조색5 2 21" xfId="1672"/>
    <cellStyle name="20% - 강조색5 2 22" xfId="1673"/>
    <cellStyle name="20% - 강조색5 2 23" xfId="1674"/>
    <cellStyle name="20% - 강조색5 2 24" xfId="1675"/>
    <cellStyle name="20% - 강조색5 2 25" xfId="1676"/>
    <cellStyle name="20% - 강조색5 2 26" xfId="1677"/>
    <cellStyle name="20% - 강조색5 2 27" xfId="1678"/>
    <cellStyle name="20% - 강조색5 2 28" xfId="1679"/>
    <cellStyle name="20% - 강조색5 2 29" xfId="1680"/>
    <cellStyle name="20% - 강조색5 2 3" xfId="1681"/>
    <cellStyle name="20% - 강조색5 2 30" xfId="1682"/>
    <cellStyle name="20% - 강조색5 2 31" xfId="1683"/>
    <cellStyle name="20% - 강조색5 2 32" xfId="1684"/>
    <cellStyle name="20% - 강조색5 2 33" xfId="1685"/>
    <cellStyle name="20% - 강조색5 2 34" xfId="1686"/>
    <cellStyle name="20% - 강조색5 2 35" xfId="1687"/>
    <cellStyle name="20% - 강조색5 2 36" xfId="1688"/>
    <cellStyle name="20% - 강조색5 2 37" xfId="1689"/>
    <cellStyle name="20% - 강조색5 2 38" xfId="1690"/>
    <cellStyle name="20% - 강조색5 2 39" xfId="1691"/>
    <cellStyle name="20% - 강조색5 2 4" xfId="1692"/>
    <cellStyle name="20% - 강조색5 2 5" xfId="1693"/>
    <cellStyle name="20% - 강조색5 2 6" xfId="1694"/>
    <cellStyle name="20% - 강조색5 2 7" xfId="1695"/>
    <cellStyle name="20% - 강조색5 2 8" xfId="1696"/>
    <cellStyle name="20% - 강조색5 2 9" xfId="1697"/>
    <cellStyle name="20% - 강조색5 20" xfId="1698"/>
    <cellStyle name="20% - 강조색5 21" xfId="1699"/>
    <cellStyle name="20% - 강조색5 22" xfId="1700"/>
    <cellStyle name="20% - 강조색5 23" xfId="1701"/>
    <cellStyle name="20% - 강조색5 24" xfId="1702"/>
    <cellStyle name="20% - 강조색5 25" xfId="1703"/>
    <cellStyle name="20% - 강조색5 26" xfId="1704"/>
    <cellStyle name="20% - 강조색5 27" xfId="1705"/>
    <cellStyle name="20% - 강조색5 27 2" xfId="1706"/>
    <cellStyle name="20% - 강조색5 28" xfId="1707"/>
    <cellStyle name="20% - 강조색5 29" xfId="1708"/>
    <cellStyle name="20% - 강조색5 3" xfId="1709"/>
    <cellStyle name="20% - 강조색5 3 2" xfId="1710"/>
    <cellStyle name="20% - 강조색5 3 3" xfId="1711"/>
    <cellStyle name="20% - 강조색5 3 4" xfId="1712"/>
    <cellStyle name="20% - 강조색5 30" xfId="1713"/>
    <cellStyle name="20% - 강조색5 31" xfId="1714"/>
    <cellStyle name="20% - 강조색5 32" xfId="1715"/>
    <cellStyle name="20% - 강조색5 33" xfId="1716"/>
    <cellStyle name="20% - 강조색5 34" xfId="1717"/>
    <cellStyle name="20% - 강조색5 35" xfId="1718"/>
    <cellStyle name="20% - 강조색5 35 2" xfId="1719"/>
    <cellStyle name="20% - 강조색5 35 2 2" xfId="1720"/>
    <cellStyle name="20% - 강조색5 35 2 3" xfId="1721"/>
    <cellStyle name="20% - 강조색5 35 3" xfId="1722"/>
    <cellStyle name="20% - 강조색5 35 4" xfId="1723"/>
    <cellStyle name="20% - 강조색5 36" xfId="1724"/>
    <cellStyle name="20% - 강조색5 36 2" xfId="1725"/>
    <cellStyle name="20% - 강조색5 36 2 2" xfId="1726"/>
    <cellStyle name="20% - 강조색5 36 2 3" xfId="1727"/>
    <cellStyle name="20% - 강조색5 36 3" xfId="1728"/>
    <cellStyle name="20% - 강조색5 36 4" xfId="1729"/>
    <cellStyle name="20% - 강조색5 37" xfId="1730"/>
    <cellStyle name="20% - 강조색5 37 2" xfId="1731"/>
    <cellStyle name="20% - 강조색5 37 3" xfId="1732"/>
    <cellStyle name="20% - 강조색5 37 4" xfId="1733"/>
    <cellStyle name="20% - 강조색5 38" xfId="1734"/>
    <cellStyle name="20% - 강조색5 39" xfId="1735"/>
    <cellStyle name="20% - 강조색5 4" xfId="1736"/>
    <cellStyle name="20% - 강조색5 4 2" xfId="1737"/>
    <cellStyle name="20% - 강조색5 4 3" xfId="1738"/>
    <cellStyle name="20% - 강조색5 4 4" xfId="1739"/>
    <cellStyle name="20% - 강조색5 40" xfId="1740"/>
    <cellStyle name="20% - 강조색5 41" xfId="1741"/>
    <cellStyle name="20% - 강조색5 42" xfId="1742"/>
    <cellStyle name="20% - 강조색5 43" xfId="1743"/>
    <cellStyle name="20% - 강조색5 44" xfId="1744"/>
    <cellStyle name="20% - 강조색5 44 2" xfId="1745"/>
    <cellStyle name="20% - 강조색5 44 3" xfId="1746"/>
    <cellStyle name="20% - 강조색5 45" xfId="1747"/>
    <cellStyle name="20% - 강조색5 45 2" xfId="1748"/>
    <cellStyle name="20% - 강조색5 45 3" xfId="1749"/>
    <cellStyle name="20% - 강조색5 46" xfId="1750"/>
    <cellStyle name="20% - 강조색5 47" xfId="1751"/>
    <cellStyle name="20% - 강조색5 48" xfId="1752"/>
    <cellStyle name="20% - 강조색5 49" xfId="1753"/>
    <cellStyle name="20% - 강조색5 5" xfId="1754"/>
    <cellStyle name="20% - 강조색5 5 2" xfId="1755"/>
    <cellStyle name="20% - 강조색5 5 3" xfId="1756"/>
    <cellStyle name="20% - 강조색5 5 4" xfId="1757"/>
    <cellStyle name="20% - 강조색5 50" xfId="1758"/>
    <cellStyle name="20% - 강조색5 51" xfId="1759"/>
    <cellStyle name="20% - 강조색5 52" xfId="1760"/>
    <cellStyle name="20% - 강조색5 53" xfId="1761"/>
    <cellStyle name="20% - 강조색5 54" xfId="1762"/>
    <cellStyle name="20% - 강조색5 55" xfId="1763"/>
    <cellStyle name="20% - 강조색5 6" xfId="1764"/>
    <cellStyle name="20% - 강조색5 6 2" xfId="1765"/>
    <cellStyle name="20% - 강조색5 6 3" xfId="1766"/>
    <cellStyle name="20% - 강조색5 6 4" xfId="1767"/>
    <cellStyle name="20% - 강조색5 7" xfId="1768"/>
    <cellStyle name="20% - 강조색5 7 2" xfId="1769"/>
    <cellStyle name="20% - 강조색5 7 3" xfId="1770"/>
    <cellStyle name="20% - 강조색5 7 4" xfId="1771"/>
    <cellStyle name="20% - 강조색5 8" xfId="1772"/>
    <cellStyle name="20% - 강조색5 9" xfId="1773"/>
    <cellStyle name="20% - 강조색6 10" xfId="1774"/>
    <cellStyle name="20% - 강조색6 11" xfId="1775"/>
    <cellStyle name="20% - 강조색6 12" xfId="1776"/>
    <cellStyle name="20% - 강조색6 13" xfId="1777"/>
    <cellStyle name="20% - 강조색6 14" xfId="1778"/>
    <cellStyle name="20% - 강조색6 14 2" xfId="1779"/>
    <cellStyle name="20% - 강조색6 14 3" xfId="1780"/>
    <cellStyle name="20% - 강조색6 15" xfId="1781"/>
    <cellStyle name="20% - 강조색6 15 2" xfId="1782"/>
    <cellStyle name="20% - 강조색6 15 3" xfId="1783"/>
    <cellStyle name="20% - 강조색6 16" xfId="1784"/>
    <cellStyle name="20% - 강조색6 16 2" xfId="1785"/>
    <cellStyle name="20% - 강조색6 16 3" xfId="1786"/>
    <cellStyle name="20% - 강조색6 17" xfId="1787"/>
    <cellStyle name="20% - 강조색6 17 2" xfId="1788"/>
    <cellStyle name="20% - 강조색6 17 3" xfId="1789"/>
    <cellStyle name="20% - 강조색6 18" xfId="1790"/>
    <cellStyle name="20% - 강조색6 18 2" xfId="1791"/>
    <cellStyle name="20% - 강조색6 18 3" xfId="1792"/>
    <cellStyle name="20% - 강조색6 19" xfId="1793"/>
    <cellStyle name="20% - 강조색6 19 2" xfId="1794"/>
    <cellStyle name="20% - 강조색6 19 3" xfId="1795"/>
    <cellStyle name="20% - 강조색6 2" xfId="1796"/>
    <cellStyle name="20% - 강조색6 2 10" xfId="1797"/>
    <cellStyle name="20% - 강조색6 2 11" xfId="1798"/>
    <cellStyle name="20% - 강조색6 2 12" xfId="1799"/>
    <cellStyle name="20% - 강조색6 2 13" xfId="1800"/>
    <cellStyle name="20% - 강조색6 2 14" xfId="1801"/>
    <cellStyle name="20% - 강조색6 2 15" xfId="1802"/>
    <cellStyle name="20% - 강조색6 2 16" xfId="1803"/>
    <cellStyle name="20% - 강조색6 2 17" xfId="1804"/>
    <cellStyle name="20% - 강조색6 2 18" xfId="1805"/>
    <cellStyle name="20% - 강조색6 2 19" xfId="1806"/>
    <cellStyle name="20% - 강조색6 2 2" xfId="1807"/>
    <cellStyle name="20% - 강조색6 2 20" xfId="1808"/>
    <cellStyle name="20% - 강조색6 2 21" xfId="1809"/>
    <cellStyle name="20% - 강조색6 2 22" xfId="1810"/>
    <cellStyle name="20% - 강조색6 2 23" xfId="1811"/>
    <cellStyle name="20% - 강조색6 2 24" xfId="1812"/>
    <cellStyle name="20% - 강조색6 2 25" xfId="1813"/>
    <cellStyle name="20% - 강조색6 2 26" xfId="1814"/>
    <cellStyle name="20% - 강조색6 2 27" xfId="1815"/>
    <cellStyle name="20% - 강조색6 2 28" xfId="1816"/>
    <cellStyle name="20% - 강조색6 2 29" xfId="1817"/>
    <cellStyle name="20% - 강조색6 2 3" xfId="1818"/>
    <cellStyle name="20% - 강조색6 2 30" xfId="1819"/>
    <cellStyle name="20% - 강조색6 2 31" xfId="1820"/>
    <cellStyle name="20% - 강조색6 2 32" xfId="1821"/>
    <cellStyle name="20% - 강조색6 2 33" xfId="1822"/>
    <cellStyle name="20% - 강조색6 2 34" xfId="1823"/>
    <cellStyle name="20% - 강조색6 2 35" xfId="1824"/>
    <cellStyle name="20% - 강조색6 2 36" xfId="1825"/>
    <cellStyle name="20% - 강조색6 2 37" xfId="1826"/>
    <cellStyle name="20% - 강조색6 2 38" xfId="1827"/>
    <cellStyle name="20% - 강조색6 2 39" xfId="1828"/>
    <cellStyle name="20% - 강조색6 2 4" xfId="1829"/>
    <cellStyle name="20% - 강조색6 2 5" xfId="1830"/>
    <cellStyle name="20% - 강조색6 2 6" xfId="1831"/>
    <cellStyle name="20% - 강조색6 2 7" xfId="1832"/>
    <cellStyle name="20% - 강조색6 2 8" xfId="1833"/>
    <cellStyle name="20% - 강조색6 2 9" xfId="1834"/>
    <cellStyle name="20% - 강조색6 20" xfId="1835"/>
    <cellStyle name="20% - 강조색6 21" xfId="1836"/>
    <cellStyle name="20% - 강조색6 22" xfId="1837"/>
    <cellStyle name="20% - 강조색6 23" xfId="1838"/>
    <cellStyle name="20% - 강조색6 24" xfId="1839"/>
    <cellStyle name="20% - 강조색6 25" xfId="1840"/>
    <cellStyle name="20% - 강조색6 26" xfId="1841"/>
    <cellStyle name="20% - 강조색6 27" xfId="1842"/>
    <cellStyle name="20% - 강조색6 27 2" xfId="1843"/>
    <cellStyle name="20% - 강조색6 28" xfId="1844"/>
    <cellStyle name="20% - 강조색6 29" xfId="1845"/>
    <cellStyle name="20% - 강조색6 3" xfId="1846"/>
    <cellStyle name="20% - 강조색6 3 2" xfId="1847"/>
    <cellStyle name="20% - 강조색6 3 3" xfId="1848"/>
    <cellStyle name="20% - 강조색6 3 4" xfId="1849"/>
    <cellStyle name="20% - 강조색6 30" xfId="1850"/>
    <cellStyle name="20% - 강조색6 31" xfId="1851"/>
    <cellStyle name="20% - 강조색6 32" xfId="1852"/>
    <cellStyle name="20% - 강조색6 33" xfId="1853"/>
    <cellStyle name="20% - 강조색6 34" xfId="1854"/>
    <cellStyle name="20% - 강조색6 35" xfId="1855"/>
    <cellStyle name="20% - 강조색6 35 2" xfId="1856"/>
    <cellStyle name="20% - 강조색6 35 2 2" xfId="1857"/>
    <cellStyle name="20% - 강조색6 35 2 3" xfId="1858"/>
    <cellStyle name="20% - 강조색6 35 3" xfId="1859"/>
    <cellStyle name="20% - 강조색6 35 4" xfId="1860"/>
    <cellStyle name="20% - 강조색6 36" xfId="1861"/>
    <cellStyle name="20% - 강조색6 36 2" xfId="1862"/>
    <cellStyle name="20% - 강조색6 36 2 2" xfId="1863"/>
    <cellStyle name="20% - 강조색6 36 2 3" xfId="1864"/>
    <cellStyle name="20% - 강조색6 36 3" xfId="1865"/>
    <cellStyle name="20% - 강조색6 36 4" xfId="1866"/>
    <cellStyle name="20% - 강조색6 37" xfId="1867"/>
    <cellStyle name="20% - 강조색6 37 2" xfId="1868"/>
    <cellStyle name="20% - 강조색6 37 3" xfId="1869"/>
    <cellStyle name="20% - 강조색6 37 4" xfId="1870"/>
    <cellStyle name="20% - 강조색6 38" xfId="1871"/>
    <cellStyle name="20% - 강조색6 39" xfId="1872"/>
    <cellStyle name="20% - 강조색6 4" xfId="1873"/>
    <cellStyle name="20% - 강조색6 4 2" xfId="1874"/>
    <cellStyle name="20% - 강조색6 4 3" xfId="1875"/>
    <cellStyle name="20% - 강조색6 4 4" xfId="1876"/>
    <cellStyle name="20% - 강조색6 40" xfId="1877"/>
    <cellStyle name="20% - 강조색6 41" xfId="1878"/>
    <cellStyle name="20% - 강조색6 42" xfId="1879"/>
    <cellStyle name="20% - 강조색6 43" xfId="1880"/>
    <cellStyle name="20% - 강조색6 44" xfId="1881"/>
    <cellStyle name="20% - 강조색6 44 2" xfId="1882"/>
    <cellStyle name="20% - 강조색6 44 3" xfId="1883"/>
    <cellStyle name="20% - 강조색6 45" xfId="1884"/>
    <cellStyle name="20% - 강조색6 45 2" xfId="1885"/>
    <cellStyle name="20% - 강조색6 45 3" xfId="1886"/>
    <cellStyle name="20% - 강조색6 46" xfId="1887"/>
    <cellStyle name="20% - 강조색6 47" xfId="1888"/>
    <cellStyle name="20% - 강조색6 48" xfId="1889"/>
    <cellStyle name="20% - 강조색6 49" xfId="1890"/>
    <cellStyle name="20% - 강조색6 5" xfId="1891"/>
    <cellStyle name="20% - 강조색6 5 2" xfId="1892"/>
    <cellStyle name="20% - 강조색6 5 3" xfId="1893"/>
    <cellStyle name="20% - 강조색6 5 4" xfId="1894"/>
    <cellStyle name="20% - 강조색6 50" xfId="1895"/>
    <cellStyle name="20% - 강조색6 51" xfId="1896"/>
    <cellStyle name="20% - 강조색6 52" xfId="1897"/>
    <cellStyle name="20% - 강조색6 53" xfId="1898"/>
    <cellStyle name="20% - 강조색6 54" xfId="1899"/>
    <cellStyle name="20% - 강조색6 55" xfId="1900"/>
    <cellStyle name="20% - 강조색6 6" xfId="1901"/>
    <cellStyle name="20% - 강조색6 6 2" xfId="1902"/>
    <cellStyle name="20% - 강조색6 6 3" xfId="1903"/>
    <cellStyle name="20% - 강조색6 6 4" xfId="1904"/>
    <cellStyle name="20% - 강조색6 7" xfId="1905"/>
    <cellStyle name="20% - 강조색6 7 2" xfId="1906"/>
    <cellStyle name="20% - 강조색6 7 3" xfId="1907"/>
    <cellStyle name="20% - 강조색6 7 4" xfId="1908"/>
    <cellStyle name="20% - 강조색6 8" xfId="1909"/>
    <cellStyle name="20% - 강조색6 9" xfId="1910"/>
    <cellStyle name="_x0004_3;_x0018_" xfId="1911"/>
    <cellStyle name="3232" xfId="1912"/>
    <cellStyle name="³f¹o [0]_RESULTS" xfId="1913"/>
    <cellStyle name="³f¹o[0]_laroux" xfId="1914"/>
    <cellStyle name="³f¹o_laroux" xfId="1915"/>
    <cellStyle name="40% - Accent1" xfId="1916"/>
    <cellStyle name="40% - Accent1 2" xfId="1917"/>
    <cellStyle name="40% - Accent2" xfId="1918"/>
    <cellStyle name="40% - Accent2 2" xfId="1919"/>
    <cellStyle name="40% - Accent3" xfId="1920"/>
    <cellStyle name="40% - Accent3 2" xfId="1921"/>
    <cellStyle name="40% - Accent4" xfId="1922"/>
    <cellStyle name="40% - Accent4 2" xfId="1923"/>
    <cellStyle name="40% - Accent5" xfId="1924"/>
    <cellStyle name="40% - Accent5 2" xfId="1925"/>
    <cellStyle name="40% - Accent6" xfId="1926"/>
    <cellStyle name="40% - Accent6 2" xfId="1927"/>
    <cellStyle name="40% - 강조색1 10" xfId="1928"/>
    <cellStyle name="40% - 강조색1 11" xfId="1929"/>
    <cellStyle name="40% - 강조색1 12" xfId="1930"/>
    <cellStyle name="40% - 강조색1 13" xfId="1931"/>
    <cellStyle name="40% - 강조색1 14" xfId="1932"/>
    <cellStyle name="40% - 강조색1 14 2" xfId="1933"/>
    <cellStyle name="40% - 강조색1 14 3" xfId="1934"/>
    <cellStyle name="40% - 강조색1 15" xfId="1935"/>
    <cellStyle name="40% - 강조색1 15 2" xfId="1936"/>
    <cellStyle name="40% - 강조색1 15 3" xfId="1937"/>
    <cellStyle name="40% - 강조색1 16" xfId="1938"/>
    <cellStyle name="40% - 강조색1 16 2" xfId="1939"/>
    <cellStyle name="40% - 강조색1 16 3" xfId="1940"/>
    <cellStyle name="40% - 강조색1 17" xfId="1941"/>
    <cellStyle name="40% - 강조색1 17 2" xfId="1942"/>
    <cellStyle name="40% - 강조색1 17 3" xfId="1943"/>
    <cellStyle name="40% - 강조색1 18" xfId="1944"/>
    <cellStyle name="40% - 강조색1 18 2" xfId="1945"/>
    <cellStyle name="40% - 강조색1 18 3" xfId="1946"/>
    <cellStyle name="40% - 강조색1 19" xfId="1947"/>
    <cellStyle name="40% - 강조색1 19 2" xfId="1948"/>
    <cellStyle name="40% - 강조색1 19 3" xfId="1949"/>
    <cellStyle name="40% - 강조색1 2" xfId="1950"/>
    <cellStyle name="40% - 강조색1 2 10" xfId="1951"/>
    <cellStyle name="40% - 강조색1 2 11" xfId="1952"/>
    <cellStyle name="40% - 강조색1 2 12" xfId="1953"/>
    <cellStyle name="40% - 강조색1 2 13" xfId="1954"/>
    <cellStyle name="40% - 강조색1 2 14" xfId="1955"/>
    <cellStyle name="40% - 강조색1 2 15" xfId="1956"/>
    <cellStyle name="40% - 강조색1 2 16" xfId="1957"/>
    <cellStyle name="40% - 강조색1 2 17" xfId="1958"/>
    <cellStyle name="40% - 강조색1 2 18" xfId="1959"/>
    <cellStyle name="40% - 강조색1 2 19" xfId="1960"/>
    <cellStyle name="40% - 강조색1 2 2" xfId="1961"/>
    <cellStyle name="40% - 강조색1 2 20" xfId="1962"/>
    <cellStyle name="40% - 강조색1 2 21" xfId="1963"/>
    <cellStyle name="40% - 강조색1 2 22" xfId="1964"/>
    <cellStyle name="40% - 강조색1 2 23" xfId="1965"/>
    <cellStyle name="40% - 강조색1 2 24" xfId="1966"/>
    <cellStyle name="40% - 강조색1 2 25" xfId="1967"/>
    <cellStyle name="40% - 강조색1 2 26" xfId="1968"/>
    <cellStyle name="40% - 강조색1 2 27" xfId="1969"/>
    <cellStyle name="40% - 강조색1 2 28" xfId="1970"/>
    <cellStyle name="40% - 강조색1 2 29" xfId="1971"/>
    <cellStyle name="40% - 강조색1 2 3" xfId="1972"/>
    <cellStyle name="40% - 강조색1 2 30" xfId="1973"/>
    <cellStyle name="40% - 강조색1 2 31" xfId="1974"/>
    <cellStyle name="40% - 강조색1 2 32" xfId="1975"/>
    <cellStyle name="40% - 강조색1 2 33" xfId="1976"/>
    <cellStyle name="40% - 강조색1 2 34" xfId="1977"/>
    <cellStyle name="40% - 강조색1 2 35" xfId="1978"/>
    <cellStyle name="40% - 강조색1 2 36" xfId="1979"/>
    <cellStyle name="40% - 강조색1 2 37" xfId="1980"/>
    <cellStyle name="40% - 강조색1 2 38" xfId="1981"/>
    <cellStyle name="40% - 강조색1 2 39" xfId="1982"/>
    <cellStyle name="40% - 강조색1 2 4" xfId="1983"/>
    <cellStyle name="40% - 강조색1 2 5" xfId="1984"/>
    <cellStyle name="40% - 강조색1 2 6" xfId="1985"/>
    <cellStyle name="40% - 강조색1 2 7" xfId="1986"/>
    <cellStyle name="40% - 강조색1 2 8" xfId="1987"/>
    <cellStyle name="40% - 강조색1 2 9" xfId="1988"/>
    <cellStyle name="40% - 강조색1 20" xfId="1989"/>
    <cellStyle name="40% - 강조색1 21" xfId="1990"/>
    <cellStyle name="40% - 강조색1 22" xfId="1991"/>
    <cellStyle name="40% - 강조색1 23" xfId="1992"/>
    <cellStyle name="40% - 강조색1 24" xfId="1993"/>
    <cellStyle name="40% - 강조색1 25" xfId="1994"/>
    <cellStyle name="40% - 강조색1 26" xfId="1995"/>
    <cellStyle name="40% - 강조색1 27" xfId="1996"/>
    <cellStyle name="40% - 강조색1 27 2" xfId="1997"/>
    <cellStyle name="40% - 강조색1 28" xfId="1998"/>
    <cellStyle name="40% - 강조색1 29" xfId="1999"/>
    <cellStyle name="40% - 강조색1 3" xfId="2000"/>
    <cellStyle name="40% - 강조색1 3 2" xfId="2001"/>
    <cellStyle name="40% - 강조색1 3 3" xfId="2002"/>
    <cellStyle name="40% - 강조색1 3 4" xfId="2003"/>
    <cellStyle name="40% - 강조색1 30" xfId="2004"/>
    <cellStyle name="40% - 강조색1 31" xfId="2005"/>
    <cellStyle name="40% - 강조색1 32" xfId="2006"/>
    <cellStyle name="40% - 강조색1 33" xfId="2007"/>
    <cellStyle name="40% - 강조색1 34" xfId="2008"/>
    <cellStyle name="40% - 강조색1 35" xfId="2009"/>
    <cellStyle name="40% - 강조색1 35 2" xfId="2010"/>
    <cellStyle name="40% - 강조색1 35 2 2" xfId="2011"/>
    <cellStyle name="40% - 강조색1 35 2 3" xfId="2012"/>
    <cellStyle name="40% - 강조색1 35 3" xfId="2013"/>
    <cellStyle name="40% - 강조색1 35 4" xfId="2014"/>
    <cellStyle name="40% - 강조색1 36" xfId="2015"/>
    <cellStyle name="40% - 강조색1 36 2" xfId="2016"/>
    <cellStyle name="40% - 강조색1 36 2 2" xfId="2017"/>
    <cellStyle name="40% - 강조색1 36 2 3" xfId="2018"/>
    <cellStyle name="40% - 강조색1 36 3" xfId="2019"/>
    <cellStyle name="40% - 강조색1 36 4" xfId="2020"/>
    <cellStyle name="40% - 강조색1 37" xfId="2021"/>
    <cellStyle name="40% - 강조색1 37 2" xfId="2022"/>
    <cellStyle name="40% - 강조색1 37 3" xfId="2023"/>
    <cellStyle name="40% - 강조색1 37 4" xfId="2024"/>
    <cellStyle name="40% - 강조색1 38" xfId="2025"/>
    <cellStyle name="40% - 강조색1 39" xfId="2026"/>
    <cellStyle name="40% - 강조색1 4" xfId="2027"/>
    <cellStyle name="40% - 강조색1 4 2" xfId="2028"/>
    <cellStyle name="40% - 강조색1 4 3" xfId="2029"/>
    <cellStyle name="40% - 강조색1 4 4" xfId="2030"/>
    <cellStyle name="40% - 강조색1 40" xfId="2031"/>
    <cellStyle name="40% - 강조색1 41" xfId="2032"/>
    <cellStyle name="40% - 강조색1 42" xfId="2033"/>
    <cellStyle name="40% - 강조색1 43" xfId="2034"/>
    <cellStyle name="40% - 강조색1 44" xfId="2035"/>
    <cellStyle name="40% - 강조색1 44 2" xfId="2036"/>
    <cellStyle name="40% - 강조색1 44 3" xfId="2037"/>
    <cellStyle name="40% - 강조색1 45" xfId="2038"/>
    <cellStyle name="40% - 강조색1 45 2" xfId="2039"/>
    <cellStyle name="40% - 강조색1 45 3" xfId="2040"/>
    <cellStyle name="40% - 강조색1 46" xfId="2041"/>
    <cellStyle name="40% - 강조색1 47" xfId="2042"/>
    <cellStyle name="40% - 강조색1 48" xfId="2043"/>
    <cellStyle name="40% - 강조색1 49" xfId="2044"/>
    <cellStyle name="40% - 강조색1 5" xfId="2045"/>
    <cellStyle name="40% - 강조색1 5 2" xfId="2046"/>
    <cellStyle name="40% - 강조색1 5 3" xfId="2047"/>
    <cellStyle name="40% - 강조색1 5 4" xfId="2048"/>
    <cellStyle name="40% - 강조색1 50" xfId="2049"/>
    <cellStyle name="40% - 강조색1 51" xfId="2050"/>
    <cellStyle name="40% - 강조색1 52" xfId="2051"/>
    <cellStyle name="40% - 강조색1 53" xfId="2052"/>
    <cellStyle name="40% - 강조색1 54" xfId="2053"/>
    <cellStyle name="40% - 강조색1 55" xfId="2054"/>
    <cellStyle name="40% - 강조색1 6" xfId="2055"/>
    <cellStyle name="40% - 강조색1 6 2" xfId="2056"/>
    <cellStyle name="40% - 강조색1 6 3" xfId="2057"/>
    <cellStyle name="40% - 강조색1 6 4" xfId="2058"/>
    <cellStyle name="40% - 강조색1 7" xfId="2059"/>
    <cellStyle name="40% - 강조색1 7 2" xfId="2060"/>
    <cellStyle name="40% - 강조색1 7 3" xfId="2061"/>
    <cellStyle name="40% - 강조색1 7 4" xfId="2062"/>
    <cellStyle name="40% - 강조색1 8" xfId="2063"/>
    <cellStyle name="40% - 강조색1 9" xfId="2064"/>
    <cellStyle name="40% - 강조색2 10" xfId="2065"/>
    <cellStyle name="40% - 강조색2 11" xfId="2066"/>
    <cellStyle name="40% - 강조색2 12" xfId="2067"/>
    <cellStyle name="40% - 강조색2 13" xfId="2068"/>
    <cellStyle name="40% - 강조색2 14" xfId="2069"/>
    <cellStyle name="40% - 강조색2 14 2" xfId="2070"/>
    <cellStyle name="40% - 강조색2 14 3" xfId="2071"/>
    <cellStyle name="40% - 강조색2 15" xfId="2072"/>
    <cellStyle name="40% - 강조색2 15 2" xfId="2073"/>
    <cellStyle name="40% - 강조색2 15 3" xfId="2074"/>
    <cellStyle name="40% - 강조색2 16" xfId="2075"/>
    <cellStyle name="40% - 강조색2 16 2" xfId="2076"/>
    <cellStyle name="40% - 강조색2 16 3" xfId="2077"/>
    <cellStyle name="40% - 강조색2 17" xfId="2078"/>
    <cellStyle name="40% - 강조색2 17 2" xfId="2079"/>
    <cellStyle name="40% - 강조색2 17 3" xfId="2080"/>
    <cellStyle name="40% - 강조색2 18" xfId="2081"/>
    <cellStyle name="40% - 강조색2 18 2" xfId="2082"/>
    <cellStyle name="40% - 강조색2 18 3" xfId="2083"/>
    <cellStyle name="40% - 강조색2 19" xfId="2084"/>
    <cellStyle name="40% - 강조색2 19 2" xfId="2085"/>
    <cellStyle name="40% - 강조색2 19 3" xfId="2086"/>
    <cellStyle name="40% - 강조색2 2" xfId="2087"/>
    <cellStyle name="40% - 강조색2 2 10" xfId="2088"/>
    <cellStyle name="40% - 강조색2 2 11" xfId="2089"/>
    <cellStyle name="40% - 강조색2 2 12" xfId="2090"/>
    <cellStyle name="40% - 강조색2 2 13" xfId="2091"/>
    <cellStyle name="40% - 강조색2 2 14" xfId="2092"/>
    <cellStyle name="40% - 강조색2 2 15" xfId="2093"/>
    <cellStyle name="40% - 강조색2 2 16" xfId="2094"/>
    <cellStyle name="40% - 강조색2 2 17" xfId="2095"/>
    <cellStyle name="40% - 강조색2 2 18" xfId="2096"/>
    <cellStyle name="40% - 강조색2 2 19" xfId="2097"/>
    <cellStyle name="40% - 강조색2 2 2" xfId="2098"/>
    <cellStyle name="40% - 강조색2 2 20" xfId="2099"/>
    <cellStyle name="40% - 강조색2 2 21" xfId="2100"/>
    <cellStyle name="40% - 강조색2 2 22" xfId="2101"/>
    <cellStyle name="40% - 강조색2 2 23" xfId="2102"/>
    <cellStyle name="40% - 강조색2 2 24" xfId="2103"/>
    <cellStyle name="40% - 강조색2 2 25" xfId="2104"/>
    <cellStyle name="40% - 강조색2 2 26" xfId="2105"/>
    <cellStyle name="40% - 강조색2 2 27" xfId="2106"/>
    <cellStyle name="40% - 강조색2 2 28" xfId="2107"/>
    <cellStyle name="40% - 강조색2 2 29" xfId="2108"/>
    <cellStyle name="40% - 강조색2 2 3" xfId="2109"/>
    <cellStyle name="40% - 강조색2 2 30" xfId="2110"/>
    <cellStyle name="40% - 강조색2 2 31" xfId="2111"/>
    <cellStyle name="40% - 강조색2 2 32" xfId="2112"/>
    <cellStyle name="40% - 강조색2 2 33" xfId="2113"/>
    <cellStyle name="40% - 강조색2 2 34" xfId="2114"/>
    <cellStyle name="40% - 강조색2 2 35" xfId="2115"/>
    <cellStyle name="40% - 강조색2 2 36" xfId="2116"/>
    <cellStyle name="40% - 강조색2 2 37" xfId="2117"/>
    <cellStyle name="40% - 강조색2 2 38" xfId="2118"/>
    <cellStyle name="40% - 강조색2 2 39" xfId="2119"/>
    <cellStyle name="40% - 강조색2 2 4" xfId="2120"/>
    <cellStyle name="40% - 강조색2 2 5" xfId="2121"/>
    <cellStyle name="40% - 강조색2 2 6" xfId="2122"/>
    <cellStyle name="40% - 강조색2 2 7" xfId="2123"/>
    <cellStyle name="40% - 강조색2 2 8" xfId="2124"/>
    <cellStyle name="40% - 강조색2 2 9" xfId="2125"/>
    <cellStyle name="40% - 강조색2 20" xfId="2126"/>
    <cellStyle name="40% - 강조색2 21" xfId="2127"/>
    <cellStyle name="40% - 강조색2 22" xfId="2128"/>
    <cellStyle name="40% - 강조색2 23" xfId="2129"/>
    <cellStyle name="40% - 강조색2 24" xfId="2130"/>
    <cellStyle name="40% - 강조색2 25" xfId="2131"/>
    <cellStyle name="40% - 강조색2 26" xfId="2132"/>
    <cellStyle name="40% - 강조색2 27" xfId="2133"/>
    <cellStyle name="40% - 강조색2 27 2" xfId="2134"/>
    <cellStyle name="40% - 강조색2 28" xfId="2135"/>
    <cellStyle name="40% - 강조색2 29" xfId="2136"/>
    <cellStyle name="40% - 강조색2 3" xfId="2137"/>
    <cellStyle name="40% - 강조색2 3 2" xfId="2138"/>
    <cellStyle name="40% - 강조색2 3 3" xfId="2139"/>
    <cellStyle name="40% - 강조색2 3 4" xfId="2140"/>
    <cellStyle name="40% - 강조색2 30" xfId="2141"/>
    <cellStyle name="40% - 강조색2 31" xfId="2142"/>
    <cellStyle name="40% - 강조색2 32" xfId="2143"/>
    <cellStyle name="40% - 강조색2 33" xfId="2144"/>
    <cellStyle name="40% - 강조색2 34" xfId="2145"/>
    <cellStyle name="40% - 강조색2 35" xfId="2146"/>
    <cellStyle name="40% - 강조색2 35 2" xfId="2147"/>
    <cellStyle name="40% - 강조색2 35 2 2" xfId="2148"/>
    <cellStyle name="40% - 강조색2 35 2 3" xfId="2149"/>
    <cellStyle name="40% - 강조색2 35 3" xfId="2150"/>
    <cellStyle name="40% - 강조색2 35 4" xfId="2151"/>
    <cellStyle name="40% - 강조색2 36" xfId="2152"/>
    <cellStyle name="40% - 강조색2 36 2" xfId="2153"/>
    <cellStyle name="40% - 강조색2 36 2 2" xfId="2154"/>
    <cellStyle name="40% - 강조색2 36 2 3" xfId="2155"/>
    <cellStyle name="40% - 강조색2 36 3" xfId="2156"/>
    <cellStyle name="40% - 강조색2 36 4" xfId="2157"/>
    <cellStyle name="40% - 강조색2 37" xfId="2158"/>
    <cellStyle name="40% - 강조색2 37 2" xfId="2159"/>
    <cellStyle name="40% - 강조색2 37 3" xfId="2160"/>
    <cellStyle name="40% - 강조색2 37 4" xfId="2161"/>
    <cellStyle name="40% - 강조색2 38" xfId="2162"/>
    <cellStyle name="40% - 강조색2 39" xfId="2163"/>
    <cellStyle name="40% - 강조색2 4" xfId="2164"/>
    <cellStyle name="40% - 강조색2 4 2" xfId="2165"/>
    <cellStyle name="40% - 강조색2 4 3" xfId="2166"/>
    <cellStyle name="40% - 강조색2 4 4" xfId="2167"/>
    <cellStyle name="40% - 강조색2 40" xfId="2168"/>
    <cellStyle name="40% - 강조색2 41" xfId="2169"/>
    <cellStyle name="40% - 강조색2 42" xfId="2170"/>
    <cellStyle name="40% - 강조색2 43" xfId="2171"/>
    <cellStyle name="40% - 강조색2 44" xfId="2172"/>
    <cellStyle name="40% - 강조색2 44 2" xfId="2173"/>
    <cellStyle name="40% - 강조색2 44 3" xfId="2174"/>
    <cellStyle name="40% - 강조색2 45" xfId="2175"/>
    <cellStyle name="40% - 강조색2 45 2" xfId="2176"/>
    <cellStyle name="40% - 강조색2 45 3" xfId="2177"/>
    <cellStyle name="40% - 강조색2 46" xfId="2178"/>
    <cellStyle name="40% - 강조색2 47" xfId="2179"/>
    <cellStyle name="40% - 강조색2 48" xfId="2180"/>
    <cellStyle name="40% - 강조색2 49" xfId="2181"/>
    <cellStyle name="40% - 강조색2 5" xfId="2182"/>
    <cellStyle name="40% - 강조색2 5 2" xfId="2183"/>
    <cellStyle name="40% - 강조색2 5 3" xfId="2184"/>
    <cellStyle name="40% - 강조색2 5 4" xfId="2185"/>
    <cellStyle name="40% - 강조색2 50" xfId="2186"/>
    <cellStyle name="40% - 강조색2 51" xfId="2187"/>
    <cellStyle name="40% - 강조색2 52" xfId="2188"/>
    <cellStyle name="40% - 강조색2 53" xfId="2189"/>
    <cellStyle name="40% - 강조색2 54" xfId="2190"/>
    <cellStyle name="40% - 강조색2 55" xfId="2191"/>
    <cellStyle name="40% - 강조색2 6" xfId="2192"/>
    <cellStyle name="40% - 강조색2 6 2" xfId="2193"/>
    <cellStyle name="40% - 강조색2 6 3" xfId="2194"/>
    <cellStyle name="40% - 강조색2 6 4" xfId="2195"/>
    <cellStyle name="40% - 강조색2 7" xfId="2196"/>
    <cellStyle name="40% - 강조색2 7 2" xfId="2197"/>
    <cellStyle name="40% - 강조색2 7 3" xfId="2198"/>
    <cellStyle name="40% - 강조색2 7 4" xfId="2199"/>
    <cellStyle name="40% - 강조색2 8" xfId="2200"/>
    <cellStyle name="40% - 강조색2 9" xfId="2201"/>
    <cellStyle name="40% - 강조색3 10" xfId="2202"/>
    <cellStyle name="40% - 강조색3 11" xfId="2203"/>
    <cellStyle name="40% - 강조색3 12" xfId="2204"/>
    <cellStyle name="40% - 강조색3 13" xfId="2205"/>
    <cellStyle name="40% - 강조색3 14" xfId="2206"/>
    <cellStyle name="40% - 강조색3 14 2" xfId="2207"/>
    <cellStyle name="40% - 강조색3 14 3" xfId="2208"/>
    <cellStyle name="40% - 강조색3 15" xfId="2209"/>
    <cellStyle name="40% - 강조색3 15 2" xfId="2210"/>
    <cellStyle name="40% - 강조색3 15 3" xfId="2211"/>
    <cellStyle name="40% - 강조색3 16" xfId="2212"/>
    <cellStyle name="40% - 강조색3 16 2" xfId="2213"/>
    <cellStyle name="40% - 강조색3 16 3" xfId="2214"/>
    <cellStyle name="40% - 강조색3 17" xfId="2215"/>
    <cellStyle name="40% - 강조색3 17 2" xfId="2216"/>
    <cellStyle name="40% - 강조색3 17 3" xfId="2217"/>
    <cellStyle name="40% - 강조색3 18" xfId="2218"/>
    <cellStyle name="40% - 강조색3 18 2" xfId="2219"/>
    <cellStyle name="40% - 강조색3 18 3" xfId="2220"/>
    <cellStyle name="40% - 강조색3 19" xfId="2221"/>
    <cellStyle name="40% - 강조색3 19 2" xfId="2222"/>
    <cellStyle name="40% - 강조색3 19 3" xfId="2223"/>
    <cellStyle name="40% - 강조색3 2" xfId="2224"/>
    <cellStyle name="40% - 강조색3 2 10" xfId="2225"/>
    <cellStyle name="40% - 강조색3 2 11" xfId="2226"/>
    <cellStyle name="40% - 강조색3 2 12" xfId="2227"/>
    <cellStyle name="40% - 강조색3 2 13" xfId="2228"/>
    <cellStyle name="40% - 강조색3 2 14" xfId="2229"/>
    <cellStyle name="40% - 강조색3 2 15" xfId="2230"/>
    <cellStyle name="40% - 강조색3 2 16" xfId="2231"/>
    <cellStyle name="40% - 강조색3 2 17" xfId="2232"/>
    <cellStyle name="40% - 강조색3 2 18" xfId="2233"/>
    <cellStyle name="40% - 강조색3 2 19" xfId="2234"/>
    <cellStyle name="40% - 강조색3 2 2" xfId="2235"/>
    <cellStyle name="40% - 강조색3 2 20" xfId="2236"/>
    <cellStyle name="40% - 강조색3 2 21" xfId="2237"/>
    <cellStyle name="40% - 강조색3 2 22" xfId="2238"/>
    <cellStyle name="40% - 강조색3 2 23" xfId="2239"/>
    <cellStyle name="40% - 강조색3 2 24" xfId="2240"/>
    <cellStyle name="40% - 강조색3 2 25" xfId="2241"/>
    <cellStyle name="40% - 강조색3 2 26" xfId="2242"/>
    <cellStyle name="40% - 강조색3 2 27" xfId="2243"/>
    <cellStyle name="40% - 강조색3 2 28" xfId="2244"/>
    <cellStyle name="40% - 강조색3 2 29" xfId="2245"/>
    <cellStyle name="40% - 강조색3 2 3" xfId="2246"/>
    <cellStyle name="40% - 강조색3 2 30" xfId="2247"/>
    <cellStyle name="40% - 강조색3 2 31" xfId="2248"/>
    <cellStyle name="40% - 강조색3 2 32" xfId="2249"/>
    <cellStyle name="40% - 강조색3 2 33" xfId="2250"/>
    <cellStyle name="40% - 강조색3 2 34" xfId="2251"/>
    <cellStyle name="40% - 강조색3 2 35" xfId="2252"/>
    <cellStyle name="40% - 강조색3 2 36" xfId="2253"/>
    <cellStyle name="40% - 강조색3 2 37" xfId="2254"/>
    <cellStyle name="40% - 강조색3 2 38" xfId="2255"/>
    <cellStyle name="40% - 강조색3 2 39" xfId="2256"/>
    <cellStyle name="40% - 강조색3 2 4" xfId="2257"/>
    <cellStyle name="40% - 강조색3 2 5" xfId="2258"/>
    <cellStyle name="40% - 강조색3 2 6" xfId="2259"/>
    <cellStyle name="40% - 강조색3 2 7" xfId="2260"/>
    <cellStyle name="40% - 강조색3 2 8" xfId="2261"/>
    <cellStyle name="40% - 강조색3 2 9" xfId="2262"/>
    <cellStyle name="40% - 강조색3 20" xfId="2263"/>
    <cellStyle name="40% - 강조색3 21" xfId="2264"/>
    <cellStyle name="40% - 강조색3 22" xfId="2265"/>
    <cellStyle name="40% - 강조색3 23" xfId="2266"/>
    <cellStyle name="40% - 강조색3 24" xfId="2267"/>
    <cellStyle name="40% - 강조색3 25" xfId="2268"/>
    <cellStyle name="40% - 강조색3 26" xfId="2269"/>
    <cellStyle name="40% - 강조색3 27" xfId="2270"/>
    <cellStyle name="40% - 강조색3 27 2" xfId="2271"/>
    <cellStyle name="40% - 강조색3 28" xfId="2272"/>
    <cellStyle name="40% - 강조색3 29" xfId="2273"/>
    <cellStyle name="40% - 강조색3 3" xfId="2274"/>
    <cellStyle name="40% - 강조색3 3 2" xfId="2275"/>
    <cellStyle name="40% - 강조색3 3 3" xfId="2276"/>
    <cellStyle name="40% - 강조색3 3 4" xfId="2277"/>
    <cellStyle name="40% - 강조색3 30" xfId="2278"/>
    <cellStyle name="40% - 강조색3 31" xfId="2279"/>
    <cellStyle name="40% - 강조색3 32" xfId="2280"/>
    <cellStyle name="40% - 강조색3 33" xfId="2281"/>
    <cellStyle name="40% - 강조색3 34" xfId="2282"/>
    <cellStyle name="40% - 강조색3 35" xfId="2283"/>
    <cellStyle name="40% - 강조색3 35 2" xfId="2284"/>
    <cellStyle name="40% - 강조색3 35 2 2" xfId="2285"/>
    <cellStyle name="40% - 강조색3 35 2 3" xfId="2286"/>
    <cellStyle name="40% - 강조색3 35 3" xfId="2287"/>
    <cellStyle name="40% - 강조색3 35 4" xfId="2288"/>
    <cellStyle name="40% - 강조색3 36" xfId="2289"/>
    <cellStyle name="40% - 강조색3 36 2" xfId="2290"/>
    <cellStyle name="40% - 강조색3 36 2 2" xfId="2291"/>
    <cellStyle name="40% - 강조색3 36 2 3" xfId="2292"/>
    <cellStyle name="40% - 강조색3 36 3" xfId="2293"/>
    <cellStyle name="40% - 강조색3 36 4" xfId="2294"/>
    <cellStyle name="40% - 강조색3 37" xfId="2295"/>
    <cellStyle name="40% - 강조색3 37 2" xfId="2296"/>
    <cellStyle name="40% - 강조색3 37 3" xfId="2297"/>
    <cellStyle name="40% - 강조색3 37 4" xfId="2298"/>
    <cellStyle name="40% - 강조색3 38" xfId="2299"/>
    <cellStyle name="40% - 강조색3 39" xfId="2300"/>
    <cellStyle name="40% - 강조색3 4" xfId="2301"/>
    <cellStyle name="40% - 강조색3 4 2" xfId="2302"/>
    <cellStyle name="40% - 강조색3 4 3" xfId="2303"/>
    <cellStyle name="40% - 강조색3 4 4" xfId="2304"/>
    <cellStyle name="40% - 강조색3 40" xfId="2305"/>
    <cellStyle name="40% - 강조색3 41" xfId="2306"/>
    <cellStyle name="40% - 강조색3 42" xfId="2307"/>
    <cellStyle name="40% - 강조색3 43" xfId="2308"/>
    <cellStyle name="40% - 강조색3 44" xfId="2309"/>
    <cellStyle name="40% - 강조색3 44 2" xfId="2310"/>
    <cellStyle name="40% - 강조색3 44 3" xfId="2311"/>
    <cellStyle name="40% - 강조색3 45" xfId="2312"/>
    <cellStyle name="40% - 강조색3 45 2" xfId="2313"/>
    <cellStyle name="40% - 강조색3 45 3" xfId="2314"/>
    <cellStyle name="40% - 강조색3 46" xfId="2315"/>
    <cellStyle name="40% - 강조색3 47" xfId="2316"/>
    <cellStyle name="40% - 강조색3 48" xfId="2317"/>
    <cellStyle name="40% - 강조색3 49" xfId="2318"/>
    <cellStyle name="40% - 강조색3 5" xfId="2319"/>
    <cellStyle name="40% - 강조색3 5 2" xfId="2320"/>
    <cellStyle name="40% - 강조색3 5 3" xfId="2321"/>
    <cellStyle name="40% - 강조색3 5 4" xfId="2322"/>
    <cellStyle name="40% - 강조색3 50" xfId="2323"/>
    <cellStyle name="40% - 강조색3 51" xfId="2324"/>
    <cellStyle name="40% - 강조색3 52" xfId="2325"/>
    <cellStyle name="40% - 강조색3 53" xfId="2326"/>
    <cellStyle name="40% - 강조색3 54" xfId="2327"/>
    <cellStyle name="40% - 강조색3 55" xfId="2328"/>
    <cellStyle name="40% - 강조색3 6" xfId="2329"/>
    <cellStyle name="40% - 강조색3 6 2" xfId="2330"/>
    <cellStyle name="40% - 강조색3 6 3" xfId="2331"/>
    <cellStyle name="40% - 강조색3 6 4" xfId="2332"/>
    <cellStyle name="40% - 강조색3 7" xfId="2333"/>
    <cellStyle name="40% - 강조색3 7 2" xfId="2334"/>
    <cellStyle name="40% - 강조색3 7 3" xfId="2335"/>
    <cellStyle name="40% - 강조색3 7 4" xfId="2336"/>
    <cellStyle name="40% - 강조색3 8" xfId="2337"/>
    <cellStyle name="40% - 강조색3 9" xfId="2338"/>
    <cellStyle name="40% - 강조색4 10" xfId="2339"/>
    <cellStyle name="40% - 강조색4 11" xfId="2340"/>
    <cellStyle name="40% - 강조색4 12" xfId="2341"/>
    <cellStyle name="40% - 강조색4 13" xfId="2342"/>
    <cellStyle name="40% - 강조색4 14" xfId="2343"/>
    <cellStyle name="40% - 강조색4 14 2" xfId="2344"/>
    <cellStyle name="40% - 강조색4 14 3" xfId="2345"/>
    <cellStyle name="40% - 강조색4 15" xfId="2346"/>
    <cellStyle name="40% - 강조색4 15 2" xfId="2347"/>
    <cellStyle name="40% - 강조색4 15 3" xfId="2348"/>
    <cellStyle name="40% - 강조색4 16" xfId="2349"/>
    <cellStyle name="40% - 강조색4 16 2" xfId="2350"/>
    <cellStyle name="40% - 강조색4 16 3" xfId="2351"/>
    <cellStyle name="40% - 강조색4 17" xfId="2352"/>
    <cellStyle name="40% - 강조색4 17 2" xfId="2353"/>
    <cellStyle name="40% - 강조색4 17 3" xfId="2354"/>
    <cellStyle name="40% - 강조색4 18" xfId="2355"/>
    <cellStyle name="40% - 강조색4 18 2" xfId="2356"/>
    <cellStyle name="40% - 강조색4 18 3" xfId="2357"/>
    <cellStyle name="40% - 강조색4 19" xfId="2358"/>
    <cellStyle name="40% - 강조색4 19 2" xfId="2359"/>
    <cellStyle name="40% - 강조색4 19 3" xfId="2360"/>
    <cellStyle name="40% - 강조색4 2" xfId="2361"/>
    <cellStyle name="40% - 강조색4 2 10" xfId="2362"/>
    <cellStyle name="40% - 강조색4 2 11" xfId="2363"/>
    <cellStyle name="40% - 강조색4 2 12" xfId="2364"/>
    <cellStyle name="40% - 강조색4 2 13" xfId="2365"/>
    <cellStyle name="40% - 강조색4 2 14" xfId="2366"/>
    <cellStyle name="40% - 강조색4 2 15" xfId="2367"/>
    <cellStyle name="40% - 강조색4 2 16" xfId="2368"/>
    <cellStyle name="40% - 강조색4 2 17" xfId="2369"/>
    <cellStyle name="40% - 강조색4 2 18" xfId="2370"/>
    <cellStyle name="40% - 강조색4 2 19" xfId="2371"/>
    <cellStyle name="40% - 강조색4 2 2" xfId="2372"/>
    <cellStyle name="40% - 강조색4 2 20" xfId="2373"/>
    <cellStyle name="40% - 강조색4 2 21" xfId="2374"/>
    <cellStyle name="40% - 강조색4 2 22" xfId="2375"/>
    <cellStyle name="40% - 강조색4 2 23" xfId="2376"/>
    <cellStyle name="40% - 강조색4 2 24" xfId="2377"/>
    <cellStyle name="40% - 강조색4 2 25" xfId="2378"/>
    <cellStyle name="40% - 강조색4 2 26" xfId="2379"/>
    <cellStyle name="40% - 강조색4 2 27" xfId="2380"/>
    <cellStyle name="40% - 강조색4 2 28" xfId="2381"/>
    <cellStyle name="40% - 강조색4 2 29" xfId="2382"/>
    <cellStyle name="40% - 강조색4 2 3" xfId="2383"/>
    <cellStyle name="40% - 강조색4 2 30" xfId="2384"/>
    <cellStyle name="40% - 강조색4 2 31" xfId="2385"/>
    <cellStyle name="40% - 강조색4 2 32" xfId="2386"/>
    <cellStyle name="40% - 강조색4 2 33" xfId="2387"/>
    <cellStyle name="40% - 강조색4 2 34" xfId="2388"/>
    <cellStyle name="40% - 강조색4 2 35" xfId="2389"/>
    <cellStyle name="40% - 강조색4 2 36" xfId="2390"/>
    <cellStyle name="40% - 강조색4 2 37" xfId="2391"/>
    <cellStyle name="40% - 강조색4 2 38" xfId="2392"/>
    <cellStyle name="40% - 강조색4 2 39" xfId="2393"/>
    <cellStyle name="40% - 강조색4 2 4" xfId="2394"/>
    <cellStyle name="40% - 강조색4 2 5" xfId="2395"/>
    <cellStyle name="40% - 강조색4 2 6" xfId="2396"/>
    <cellStyle name="40% - 강조색4 2 7" xfId="2397"/>
    <cellStyle name="40% - 강조색4 2 8" xfId="2398"/>
    <cellStyle name="40% - 강조색4 2 9" xfId="2399"/>
    <cellStyle name="40% - 강조색4 20" xfId="2400"/>
    <cellStyle name="40% - 강조색4 21" xfId="2401"/>
    <cellStyle name="40% - 강조색4 22" xfId="2402"/>
    <cellStyle name="40% - 강조색4 23" xfId="2403"/>
    <cellStyle name="40% - 강조색4 24" xfId="2404"/>
    <cellStyle name="40% - 강조색4 25" xfId="2405"/>
    <cellStyle name="40% - 강조색4 26" xfId="2406"/>
    <cellStyle name="40% - 강조색4 27" xfId="2407"/>
    <cellStyle name="40% - 강조색4 27 2" xfId="2408"/>
    <cellStyle name="40% - 강조색4 28" xfId="2409"/>
    <cellStyle name="40% - 강조색4 29" xfId="2410"/>
    <cellStyle name="40% - 강조색4 3" xfId="2411"/>
    <cellStyle name="40% - 강조색4 3 2" xfId="2412"/>
    <cellStyle name="40% - 강조색4 3 3" xfId="2413"/>
    <cellStyle name="40% - 강조색4 3 4" xfId="2414"/>
    <cellStyle name="40% - 강조색4 30" xfId="2415"/>
    <cellStyle name="40% - 강조색4 31" xfId="2416"/>
    <cellStyle name="40% - 강조색4 32" xfId="2417"/>
    <cellStyle name="40% - 강조색4 33" xfId="2418"/>
    <cellStyle name="40% - 강조색4 34" xfId="2419"/>
    <cellStyle name="40% - 강조색4 35" xfId="2420"/>
    <cellStyle name="40% - 강조색4 35 2" xfId="2421"/>
    <cellStyle name="40% - 강조색4 35 2 2" xfId="2422"/>
    <cellStyle name="40% - 강조색4 35 2 3" xfId="2423"/>
    <cellStyle name="40% - 강조색4 35 3" xfId="2424"/>
    <cellStyle name="40% - 강조색4 35 4" xfId="2425"/>
    <cellStyle name="40% - 강조색4 36" xfId="2426"/>
    <cellStyle name="40% - 강조색4 36 2" xfId="2427"/>
    <cellStyle name="40% - 강조색4 36 2 2" xfId="2428"/>
    <cellStyle name="40% - 강조색4 36 2 3" xfId="2429"/>
    <cellStyle name="40% - 강조색4 36 3" xfId="2430"/>
    <cellStyle name="40% - 강조색4 36 4" xfId="2431"/>
    <cellStyle name="40% - 강조색4 37" xfId="2432"/>
    <cellStyle name="40% - 강조색4 37 2" xfId="2433"/>
    <cellStyle name="40% - 강조색4 37 3" xfId="2434"/>
    <cellStyle name="40% - 강조색4 37 4" xfId="2435"/>
    <cellStyle name="40% - 강조색4 38" xfId="2436"/>
    <cellStyle name="40% - 강조색4 39" xfId="2437"/>
    <cellStyle name="40% - 강조색4 4" xfId="2438"/>
    <cellStyle name="40% - 강조색4 4 2" xfId="2439"/>
    <cellStyle name="40% - 강조색4 4 3" xfId="2440"/>
    <cellStyle name="40% - 강조색4 4 4" xfId="2441"/>
    <cellStyle name="40% - 강조색4 40" xfId="2442"/>
    <cellStyle name="40% - 강조색4 41" xfId="2443"/>
    <cellStyle name="40% - 강조색4 42" xfId="2444"/>
    <cellStyle name="40% - 강조색4 43" xfId="2445"/>
    <cellStyle name="40% - 강조색4 44" xfId="2446"/>
    <cellStyle name="40% - 강조색4 44 2" xfId="2447"/>
    <cellStyle name="40% - 강조색4 44 3" xfId="2448"/>
    <cellStyle name="40% - 강조색4 45" xfId="2449"/>
    <cellStyle name="40% - 강조색4 45 2" xfId="2450"/>
    <cellStyle name="40% - 강조색4 45 3" xfId="2451"/>
    <cellStyle name="40% - 강조색4 46" xfId="2452"/>
    <cellStyle name="40% - 강조색4 47" xfId="2453"/>
    <cellStyle name="40% - 강조색4 48" xfId="2454"/>
    <cellStyle name="40% - 강조색4 49" xfId="2455"/>
    <cellStyle name="40% - 강조색4 5" xfId="2456"/>
    <cellStyle name="40% - 강조색4 5 2" xfId="2457"/>
    <cellStyle name="40% - 강조색4 5 3" xfId="2458"/>
    <cellStyle name="40% - 강조색4 5 4" xfId="2459"/>
    <cellStyle name="40% - 강조색4 50" xfId="2460"/>
    <cellStyle name="40% - 강조색4 51" xfId="2461"/>
    <cellStyle name="40% - 강조색4 52" xfId="2462"/>
    <cellStyle name="40% - 강조색4 53" xfId="2463"/>
    <cellStyle name="40% - 강조색4 54" xfId="2464"/>
    <cellStyle name="40% - 강조색4 55" xfId="2465"/>
    <cellStyle name="40% - 강조색4 6" xfId="2466"/>
    <cellStyle name="40% - 강조색4 6 2" xfId="2467"/>
    <cellStyle name="40% - 강조색4 6 3" xfId="2468"/>
    <cellStyle name="40% - 강조색4 6 4" xfId="2469"/>
    <cellStyle name="40% - 강조색4 7" xfId="2470"/>
    <cellStyle name="40% - 강조색4 7 2" xfId="2471"/>
    <cellStyle name="40% - 강조색4 7 3" xfId="2472"/>
    <cellStyle name="40% - 강조색4 7 4" xfId="2473"/>
    <cellStyle name="40% - 강조색4 8" xfId="2474"/>
    <cellStyle name="40% - 강조색4 9" xfId="2475"/>
    <cellStyle name="40% - 강조색5 10" xfId="2476"/>
    <cellStyle name="40% - 강조색5 11" xfId="2477"/>
    <cellStyle name="40% - 강조색5 12" xfId="2478"/>
    <cellStyle name="40% - 강조색5 13" xfId="2479"/>
    <cellStyle name="40% - 강조색5 14" xfId="2480"/>
    <cellStyle name="40% - 강조색5 14 2" xfId="2481"/>
    <cellStyle name="40% - 강조색5 14 3" xfId="2482"/>
    <cellStyle name="40% - 강조색5 15" xfId="2483"/>
    <cellStyle name="40% - 강조색5 15 2" xfId="2484"/>
    <cellStyle name="40% - 강조색5 15 3" xfId="2485"/>
    <cellStyle name="40% - 강조색5 16" xfId="2486"/>
    <cellStyle name="40% - 강조색5 16 2" xfId="2487"/>
    <cellStyle name="40% - 강조색5 16 3" xfId="2488"/>
    <cellStyle name="40% - 강조색5 17" xfId="2489"/>
    <cellStyle name="40% - 강조색5 17 2" xfId="2490"/>
    <cellStyle name="40% - 강조색5 17 3" xfId="2491"/>
    <cellStyle name="40% - 강조색5 18" xfId="2492"/>
    <cellStyle name="40% - 강조색5 18 2" xfId="2493"/>
    <cellStyle name="40% - 강조색5 18 3" xfId="2494"/>
    <cellStyle name="40% - 강조색5 19" xfId="2495"/>
    <cellStyle name="40% - 강조색5 19 2" xfId="2496"/>
    <cellStyle name="40% - 강조색5 19 3" xfId="2497"/>
    <cellStyle name="40% - 강조색5 2" xfId="2498"/>
    <cellStyle name="40% - 강조색5 2 10" xfId="2499"/>
    <cellStyle name="40% - 강조색5 2 11" xfId="2500"/>
    <cellStyle name="40% - 강조색5 2 12" xfId="2501"/>
    <cellStyle name="40% - 강조색5 2 13" xfId="2502"/>
    <cellStyle name="40% - 강조색5 2 14" xfId="2503"/>
    <cellStyle name="40% - 강조색5 2 15" xfId="2504"/>
    <cellStyle name="40% - 강조색5 2 16" xfId="2505"/>
    <cellStyle name="40% - 강조색5 2 17" xfId="2506"/>
    <cellStyle name="40% - 강조색5 2 18" xfId="2507"/>
    <cellStyle name="40% - 강조색5 2 19" xfId="2508"/>
    <cellStyle name="40% - 강조색5 2 2" xfId="2509"/>
    <cellStyle name="40% - 강조색5 2 20" xfId="2510"/>
    <cellStyle name="40% - 강조색5 2 21" xfId="2511"/>
    <cellStyle name="40% - 강조색5 2 22" xfId="2512"/>
    <cellStyle name="40% - 강조색5 2 23" xfId="2513"/>
    <cellStyle name="40% - 강조색5 2 24" xfId="2514"/>
    <cellStyle name="40% - 강조색5 2 25" xfId="2515"/>
    <cellStyle name="40% - 강조색5 2 26" xfId="2516"/>
    <cellStyle name="40% - 강조색5 2 27" xfId="2517"/>
    <cellStyle name="40% - 강조색5 2 28" xfId="2518"/>
    <cellStyle name="40% - 강조색5 2 29" xfId="2519"/>
    <cellStyle name="40% - 강조색5 2 3" xfId="2520"/>
    <cellStyle name="40% - 강조색5 2 30" xfId="2521"/>
    <cellStyle name="40% - 강조색5 2 31" xfId="2522"/>
    <cellStyle name="40% - 강조색5 2 32" xfId="2523"/>
    <cellStyle name="40% - 강조색5 2 33" xfId="2524"/>
    <cellStyle name="40% - 강조색5 2 34" xfId="2525"/>
    <cellStyle name="40% - 강조색5 2 35" xfId="2526"/>
    <cellStyle name="40% - 강조색5 2 36" xfId="2527"/>
    <cellStyle name="40% - 강조색5 2 37" xfId="2528"/>
    <cellStyle name="40% - 강조색5 2 38" xfId="2529"/>
    <cellStyle name="40% - 강조색5 2 39" xfId="2530"/>
    <cellStyle name="40% - 강조색5 2 4" xfId="2531"/>
    <cellStyle name="40% - 강조색5 2 5" xfId="2532"/>
    <cellStyle name="40% - 강조색5 2 6" xfId="2533"/>
    <cellStyle name="40% - 강조색5 2 7" xfId="2534"/>
    <cellStyle name="40% - 강조색5 2 8" xfId="2535"/>
    <cellStyle name="40% - 강조색5 2 9" xfId="2536"/>
    <cellStyle name="40% - 강조색5 20" xfId="2537"/>
    <cellStyle name="40% - 강조색5 21" xfId="2538"/>
    <cellStyle name="40% - 강조색5 22" xfId="2539"/>
    <cellStyle name="40% - 강조색5 23" xfId="2540"/>
    <cellStyle name="40% - 강조색5 24" xfId="2541"/>
    <cellStyle name="40% - 강조색5 25" xfId="2542"/>
    <cellStyle name="40% - 강조색5 26" xfId="2543"/>
    <cellStyle name="40% - 강조색5 27" xfId="2544"/>
    <cellStyle name="40% - 강조색5 27 2" xfId="2545"/>
    <cellStyle name="40% - 강조색5 28" xfId="2546"/>
    <cellStyle name="40% - 강조색5 29" xfId="2547"/>
    <cellStyle name="40% - 강조색5 3" xfId="2548"/>
    <cellStyle name="40% - 강조색5 3 2" xfId="2549"/>
    <cellStyle name="40% - 강조색5 3 3" xfId="2550"/>
    <cellStyle name="40% - 강조색5 3 4" xfId="2551"/>
    <cellStyle name="40% - 강조색5 30" xfId="2552"/>
    <cellStyle name="40% - 강조색5 31" xfId="2553"/>
    <cellStyle name="40% - 강조색5 32" xfId="2554"/>
    <cellStyle name="40% - 강조색5 33" xfId="2555"/>
    <cellStyle name="40% - 강조색5 34" xfId="2556"/>
    <cellStyle name="40% - 강조색5 35" xfId="2557"/>
    <cellStyle name="40% - 강조색5 35 2" xfId="2558"/>
    <cellStyle name="40% - 강조색5 35 2 2" xfId="2559"/>
    <cellStyle name="40% - 강조색5 35 2 3" xfId="2560"/>
    <cellStyle name="40% - 강조색5 35 3" xfId="2561"/>
    <cellStyle name="40% - 강조색5 35 4" xfId="2562"/>
    <cellStyle name="40% - 강조색5 36" xfId="2563"/>
    <cellStyle name="40% - 강조색5 36 2" xfId="2564"/>
    <cellStyle name="40% - 강조색5 36 2 2" xfId="2565"/>
    <cellStyle name="40% - 강조색5 36 2 3" xfId="2566"/>
    <cellStyle name="40% - 강조색5 36 3" xfId="2567"/>
    <cellStyle name="40% - 강조색5 36 4" xfId="2568"/>
    <cellStyle name="40% - 강조색5 37" xfId="2569"/>
    <cellStyle name="40% - 강조색5 37 2" xfId="2570"/>
    <cellStyle name="40% - 강조색5 37 3" xfId="2571"/>
    <cellStyle name="40% - 강조색5 37 4" xfId="2572"/>
    <cellStyle name="40% - 강조색5 38" xfId="2573"/>
    <cellStyle name="40% - 강조색5 39" xfId="2574"/>
    <cellStyle name="40% - 강조색5 4" xfId="2575"/>
    <cellStyle name="40% - 강조색5 4 2" xfId="2576"/>
    <cellStyle name="40% - 강조색5 4 3" xfId="2577"/>
    <cellStyle name="40% - 강조색5 4 4" xfId="2578"/>
    <cellStyle name="40% - 강조색5 40" xfId="2579"/>
    <cellStyle name="40% - 강조색5 41" xfId="2580"/>
    <cellStyle name="40% - 강조색5 42" xfId="2581"/>
    <cellStyle name="40% - 강조색5 43" xfId="2582"/>
    <cellStyle name="40% - 강조색5 44" xfId="2583"/>
    <cellStyle name="40% - 강조색5 44 2" xfId="2584"/>
    <cellStyle name="40% - 강조색5 44 3" xfId="2585"/>
    <cellStyle name="40% - 강조색5 45" xfId="2586"/>
    <cellStyle name="40% - 강조색5 45 2" xfId="2587"/>
    <cellStyle name="40% - 강조색5 45 3" xfId="2588"/>
    <cellStyle name="40% - 강조색5 46" xfId="2589"/>
    <cellStyle name="40% - 강조색5 47" xfId="2590"/>
    <cellStyle name="40% - 강조색5 48" xfId="2591"/>
    <cellStyle name="40% - 강조색5 49" xfId="2592"/>
    <cellStyle name="40% - 강조색5 5" xfId="2593"/>
    <cellStyle name="40% - 강조색5 5 2" xfId="2594"/>
    <cellStyle name="40% - 강조색5 5 3" xfId="2595"/>
    <cellStyle name="40% - 강조색5 5 4" xfId="2596"/>
    <cellStyle name="40% - 강조색5 50" xfId="2597"/>
    <cellStyle name="40% - 강조색5 51" xfId="2598"/>
    <cellStyle name="40% - 강조색5 52" xfId="2599"/>
    <cellStyle name="40% - 강조색5 53" xfId="2600"/>
    <cellStyle name="40% - 강조색5 54" xfId="2601"/>
    <cellStyle name="40% - 강조색5 55" xfId="2602"/>
    <cellStyle name="40% - 강조색5 6" xfId="2603"/>
    <cellStyle name="40% - 강조색5 6 2" xfId="2604"/>
    <cellStyle name="40% - 강조색5 6 3" xfId="2605"/>
    <cellStyle name="40% - 강조색5 6 4" xfId="2606"/>
    <cellStyle name="40% - 강조색5 7" xfId="2607"/>
    <cellStyle name="40% - 강조색5 7 2" xfId="2608"/>
    <cellStyle name="40% - 강조색5 7 3" xfId="2609"/>
    <cellStyle name="40% - 강조색5 7 4" xfId="2610"/>
    <cellStyle name="40% - 강조색5 8" xfId="2611"/>
    <cellStyle name="40% - 강조색5 9" xfId="2612"/>
    <cellStyle name="40% - 강조색6 10" xfId="2613"/>
    <cellStyle name="40% - 강조색6 11" xfId="2614"/>
    <cellStyle name="40% - 강조색6 12" xfId="2615"/>
    <cellStyle name="40% - 강조색6 13" xfId="2616"/>
    <cellStyle name="40% - 강조색6 14" xfId="2617"/>
    <cellStyle name="40% - 강조색6 14 2" xfId="2618"/>
    <cellStyle name="40% - 강조색6 14 3" xfId="2619"/>
    <cellStyle name="40% - 강조색6 15" xfId="2620"/>
    <cellStyle name="40% - 강조색6 15 2" xfId="2621"/>
    <cellStyle name="40% - 강조색6 15 3" xfId="2622"/>
    <cellStyle name="40% - 강조색6 16" xfId="2623"/>
    <cellStyle name="40% - 강조색6 16 2" xfId="2624"/>
    <cellStyle name="40% - 강조색6 16 3" xfId="2625"/>
    <cellStyle name="40% - 강조색6 17" xfId="2626"/>
    <cellStyle name="40% - 강조색6 17 2" xfId="2627"/>
    <cellStyle name="40% - 강조색6 17 3" xfId="2628"/>
    <cellStyle name="40% - 강조색6 18" xfId="2629"/>
    <cellStyle name="40% - 강조색6 18 2" xfId="2630"/>
    <cellStyle name="40% - 강조색6 18 3" xfId="2631"/>
    <cellStyle name="40% - 강조색6 19" xfId="2632"/>
    <cellStyle name="40% - 강조색6 19 2" xfId="2633"/>
    <cellStyle name="40% - 강조색6 19 3" xfId="2634"/>
    <cellStyle name="40% - 강조색6 2" xfId="2635"/>
    <cellStyle name="40% - 강조색6 2 10" xfId="2636"/>
    <cellStyle name="40% - 강조색6 2 11" xfId="2637"/>
    <cellStyle name="40% - 강조색6 2 12" xfId="2638"/>
    <cellStyle name="40% - 강조색6 2 13" xfId="2639"/>
    <cellStyle name="40% - 강조색6 2 14" xfId="2640"/>
    <cellStyle name="40% - 강조색6 2 15" xfId="2641"/>
    <cellStyle name="40% - 강조색6 2 16" xfId="2642"/>
    <cellStyle name="40% - 강조색6 2 17" xfId="2643"/>
    <cellStyle name="40% - 강조색6 2 18" xfId="2644"/>
    <cellStyle name="40% - 강조색6 2 19" xfId="2645"/>
    <cellStyle name="40% - 강조색6 2 2" xfId="2646"/>
    <cellStyle name="40% - 강조색6 2 20" xfId="2647"/>
    <cellStyle name="40% - 강조색6 2 21" xfId="2648"/>
    <cellStyle name="40% - 강조색6 2 22" xfId="2649"/>
    <cellStyle name="40% - 강조색6 2 23" xfId="2650"/>
    <cellStyle name="40% - 강조색6 2 24" xfId="2651"/>
    <cellStyle name="40% - 강조색6 2 25" xfId="2652"/>
    <cellStyle name="40% - 강조색6 2 26" xfId="2653"/>
    <cellStyle name="40% - 강조색6 2 27" xfId="2654"/>
    <cellStyle name="40% - 강조색6 2 28" xfId="2655"/>
    <cellStyle name="40% - 강조색6 2 29" xfId="2656"/>
    <cellStyle name="40% - 강조색6 2 3" xfId="2657"/>
    <cellStyle name="40% - 강조색6 2 30" xfId="2658"/>
    <cellStyle name="40% - 강조색6 2 31" xfId="2659"/>
    <cellStyle name="40% - 강조색6 2 32" xfId="2660"/>
    <cellStyle name="40% - 강조색6 2 33" xfId="2661"/>
    <cellStyle name="40% - 강조색6 2 34" xfId="2662"/>
    <cellStyle name="40% - 강조색6 2 35" xfId="2663"/>
    <cellStyle name="40% - 강조색6 2 36" xfId="2664"/>
    <cellStyle name="40% - 강조색6 2 37" xfId="2665"/>
    <cellStyle name="40% - 강조색6 2 38" xfId="2666"/>
    <cellStyle name="40% - 강조색6 2 39" xfId="2667"/>
    <cellStyle name="40% - 강조색6 2 4" xfId="2668"/>
    <cellStyle name="40% - 강조색6 2 5" xfId="2669"/>
    <cellStyle name="40% - 강조색6 2 6" xfId="2670"/>
    <cellStyle name="40% - 강조색6 2 7" xfId="2671"/>
    <cellStyle name="40% - 강조색6 2 8" xfId="2672"/>
    <cellStyle name="40% - 강조색6 2 9" xfId="2673"/>
    <cellStyle name="40% - 강조색6 20" xfId="2674"/>
    <cellStyle name="40% - 강조색6 21" xfId="2675"/>
    <cellStyle name="40% - 강조색6 22" xfId="2676"/>
    <cellStyle name="40% - 강조색6 23" xfId="2677"/>
    <cellStyle name="40% - 강조색6 24" xfId="2678"/>
    <cellStyle name="40% - 강조색6 25" xfId="2679"/>
    <cellStyle name="40% - 강조색6 26" xfId="2680"/>
    <cellStyle name="40% - 강조색6 27" xfId="2681"/>
    <cellStyle name="40% - 강조색6 27 2" xfId="2682"/>
    <cellStyle name="40% - 강조색6 28" xfId="2683"/>
    <cellStyle name="40% - 강조색6 29" xfId="2684"/>
    <cellStyle name="40% - 강조색6 3" xfId="2685"/>
    <cellStyle name="40% - 강조색6 3 2" xfId="2686"/>
    <cellStyle name="40% - 강조색6 3 3" xfId="2687"/>
    <cellStyle name="40% - 강조색6 3 4" xfId="2688"/>
    <cellStyle name="40% - 강조색6 30" xfId="2689"/>
    <cellStyle name="40% - 강조색6 31" xfId="2690"/>
    <cellStyle name="40% - 강조색6 32" xfId="2691"/>
    <cellStyle name="40% - 강조색6 33" xfId="2692"/>
    <cellStyle name="40% - 강조색6 34" xfId="2693"/>
    <cellStyle name="40% - 강조색6 35" xfId="2694"/>
    <cellStyle name="40% - 강조색6 35 2" xfId="2695"/>
    <cellStyle name="40% - 강조색6 35 2 2" xfId="2696"/>
    <cellStyle name="40% - 강조색6 35 2 3" xfId="2697"/>
    <cellStyle name="40% - 강조색6 35 3" xfId="2698"/>
    <cellStyle name="40% - 강조색6 35 4" xfId="2699"/>
    <cellStyle name="40% - 강조색6 36" xfId="2700"/>
    <cellStyle name="40% - 강조색6 36 2" xfId="2701"/>
    <cellStyle name="40% - 강조색6 36 2 2" xfId="2702"/>
    <cellStyle name="40% - 강조색6 36 2 3" xfId="2703"/>
    <cellStyle name="40% - 강조색6 36 3" xfId="2704"/>
    <cellStyle name="40% - 강조색6 36 4" xfId="2705"/>
    <cellStyle name="40% - 강조색6 37" xfId="2706"/>
    <cellStyle name="40% - 강조색6 37 2" xfId="2707"/>
    <cellStyle name="40% - 강조색6 37 3" xfId="2708"/>
    <cellStyle name="40% - 강조색6 37 4" xfId="2709"/>
    <cellStyle name="40% - 강조색6 38" xfId="2710"/>
    <cellStyle name="40% - 강조색6 39" xfId="2711"/>
    <cellStyle name="40% - 강조색6 4" xfId="2712"/>
    <cellStyle name="40% - 강조색6 4 2" xfId="2713"/>
    <cellStyle name="40% - 강조색6 4 3" xfId="2714"/>
    <cellStyle name="40% - 강조색6 4 4" xfId="2715"/>
    <cellStyle name="40% - 강조색6 40" xfId="2716"/>
    <cellStyle name="40% - 강조색6 41" xfId="2717"/>
    <cellStyle name="40% - 강조색6 42" xfId="2718"/>
    <cellStyle name="40% - 강조색6 43" xfId="2719"/>
    <cellStyle name="40% - 강조색6 44" xfId="2720"/>
    <cellStyle name="40% - 강조색6 44 2" xfId="2721"/>
    <cellStyle name="40% - 강조색6 44 3" xfId="2722"/>
    <cellStyle name="40% - 강조색6 45" xfId="2723"/>
    <cellStyle name="40% - 강조색6 45 2" xfId="2724"/>
    <cellStyle name="40% - 강조색6 45 3" xfId="2725"/>
    <cellStyle name="40% - 강조색6 46" xfId="2726"/>
    <cellStyle name="40% - 강조색6 47" xfId="2727"/>
    <cellStyle name="40% - 강조색6 48" xfId="2728"/>
    <cellStyle name="40% - 강조색6 49" xfId="2729"/>
    <cellStyle name="40% - 강조색6 5" xfId="2730"/>
    <cellStyle name="40% - 강조색6 5 2" xfId="2731"/>
    <cellStyle name="40% - 강조색6 5 3" xfId="2732"/>
    <cellStyle name="40% - 강조색6 5 4" xfId="2733"/>
    <cellStyle name="40% - 강조색6 50" xfId="2734"/>
    <cellStyle name="40% - 강조색6 51" xfId="2735"/>
    <cellStyle name="40% - 강조색6 52" xfId="2736"/>
    <cellStyle name="40% - 강조색6 53" xfId="2737"/>
    <cellStyle name="40% - 강조색6 54" xfId="2738"/>
    <cellStyle name="40% - 강조색6 55" xfId="2739"/>
    <cellStyle name="40% - 강조색6 6" xfId="2740"/>
    <cellStyle name="40% - 강조색6 6 2" xfId="2741"/>
    <cellStyle name="40% - 강조색6 6 3" xfId="2742"/>
    <cellStyle name="40% - 강조색6 6 4" xfId="2743"/>
    <cellStyle name="40% - 강조색6 7" xfId="2744"/>
    <cellStyle name="40% - 강조색6 7 2" xfId="2745"/>
    <cellStyle name="40% - 강조색6 7 3" xfId="2746"/>
    <cellStyle name="40% - 강조색6 7 4" xfId="2747"/>
    <cellStyle name="40% - 강조색6 8" xfId="2748"/>
    <cellStyle name="40% - 강조색6 9" xfId="2749"/>
    <cellStyle name="60% - Accent1" xfId="2750"/>
    <cellStyle name="60% - Accent2" xfId="2751"/>
    <cellStyle name="60% - Accent3" xfId="2752"/>
    <cellStyle name="60% - Accent4" xfId="2753"/>
    <cellStyle name="60% - Accent5" xfId="2754"/>
    <cellStyle name="60% - Accent6" xfId="2755"/>
    <cellStyle name="60% - 강조색1 10" xfId="2756"/>
    <cellStyle name="60% - 강조색1 11" xfId="2757"/>
    <cellStyle name="60% - 강조색1 12" xfId="2758"/>
    <cellStyle name="60% - 강조색1 13" xfId="2759"/>
    <cellStyle name="60% - 강조색1 14" xfId="2760"/>
    <cellStyle name="60% - 강조색1 14 2" xfId="2761"/>
    <cellStyle name="60% - 강조색1 14 3" xfId="2762"/>
    <cellStyle name="60% - 강조색1 15" xfId="2763"/>
    <cellStyle name="60% - 강조색1 15 2" xfId="2764"/>
    <cellStyle name="60% - 강조색1 15 3" xfId="2765"/>
    <cellStyle name="60% - 강조색1 16" xfId="2766"/>
    <cellStyle name="60% - 강조색1 16 2" xfId="2767"/>
    <cellStyle name="60% - 강조색1 16 3" xfId="2768"/>
    <cellStyle name="60% - 강조색1 17" xfId="2769"/>
    <cellStyle name="60% - 강조색1 17 2" xfId="2770"/>
    <cellStyle name="60% - 강조색1 17 3" xfId="2771"/>
    <cellStyle name="60% - 강조색1 18" xfId="2772"/>
    <cellStyle name="60% - 강조색1 18 2" xfId="2773"/>
    <cellStyle name="60% - 강조색1 18 3" xfId="2774"/>
    <cellStyle name="60% - 강조색1 19" xfId="2775"/>
    <cellStyle name="60% - 강조색1 19 2" xfId="2776"/>
    <cellStyle name="60% - 강조색1 19 3" xfId="2777"/>
    <cellStyle name="60% - 강조색1 2" xfId="2778"/>
    <cellStyle name="60% - 강조색1 2 10" xfId="2779"/>
    <cellStyle name="60% - 강조색1 2 11" xfId="2780"/>
    <cellStyle name="60% - 강조색1 2 12" xfId="2781"/>
    <cellStyle name="60% - 강조색1 2 13" xfId="2782"/>
    <cellStyle name="60% - 강조색1 2 14" xfId="2783"/>
    <cellStyle name="60% - 강조색1 2 15" xfId="2784"/>
    <cellStyle name="60% - 강조색1 2 16" xfId="2785"/>
    <cellStyle name="60% - 강조색1 2 17" xfId="2786"/>
    <cellStyle name="60% - 강조색1 2 18" xfId="2787"/>
    <cellStyle name="60% - 강조색1 2 19" xfId="2788"/>
    <cellStyle name="60% - 강조색1 2 2" xfId="2789"/>
    <cellStyle name="60% - 강조색1 2 20" xfId="2790"/>
    <cellStyle name="60% - 강조색1 2 21" xfId="2791"/>
    <cellStyle name="60% - 강조색1 2 22" xfId="2792"/>
    <cellStyle name="60% - 강조색1 2 23" xfId="2793"/>
    <cellStyle name="60% - 강조색1 2 24" xfId="2794"/>
    <cellStyle name="60% - 강조색1 2 25" xfId="2795"/>
    <cellStyle name="60% - 강조색1 2 26" xfId="2796"/>
    <cellStyle name="60% - 강조색1 2 27" xfId="2797"/>
    <cellStyle name="60% - 강조색1 2 28" xfId="2798"/>
    <cellStyle name="60% - 강조색1 2 29" xfId="2799"/>
    <cellStyle name="60% - 강조색1 2 3" xfId="2800"/>
    <cellStyle name="60% - 강조색1 2 30" xfId="2801"/>
    <cellStyle name="60% - 강조색1 2 31" xfId="2802"/>
    <cellStyle name="60% - 강조색1 2 32" xfId="2803"/>
    <cellStyle name="60% - 강조색1 2 33" xfId="2804"/>
    <cellStyle name="60% - 강조색1 2 34" xfId="2805"/>
    <cellStyle name="60% - 강조색1 2 35" xfId="2806"/>
    <cellStyle name="60% - 강조색1 2 36" xfId="2807"/>
    <cellStyle name="60% - 강조색1 2 37" xfId="2808"/>
    <cellStyle name="60% - 강조색1 2 38" xfId="2809"/>
    <cellStyle name="60% - 강조색1 2 39" xfId="2810"/>
    <cellStyle name="60% - 강조색1 2 4" xfId="2811"/>
    <cellStyle name="60% - 강조색1 2 5" xfId="2812"/>
    <cellStyle name="60% - 강조색1 2 6" xfId="2813"/>
    <cellStyle name="60% - 강조색1 2 7" xfId="2814"/>
    <cellStyle name="60% - 강조색1 2 8" xfId="2815"/>
    <cellStyle name="60% - 강조색1 2 9" xfId="2816"/>
    <cellStyle name="60% - 강조색1 20" xfId="2817"/>
    <cellStyle name="60% - 강조색1 21" xfId="2818"/>
    <cellStyle name="60% - 강조색1 22" xfId="2819"/>
    <cellStyle name="60% - 강조색1 23" xfId="2820"/>
    <cellStyle name="60% - 강조색1 24" xfId="2821"/>
    <cellStyle name="60% - 강조색1 25" xfId="2822"/>
    <cellStyle name="60% - 강조색1 26" xfId="2823"/>
    <cellStyle name="60% - 강조색1 27" xfId="2824"/>
    <cellStyle name="60% - 강조색1 27 2" xfId="2825"/>
    <cellStyle name="60% - 강조색1 28" xfId="2826"/>
    <cellStyle name="60% - 강조색1 29" xfId="2827"/>
    <cellStyle name="60% - 강조색1 3" xfId="2828"/>
    <cellStyle name="60% - 강조색1 3 2" xfId="2829"/>
    <cellStyle name="60% - 강조색1 3 3" xfId="2830"/>
    <cellStyle name="60% - 강조색1 3 4" xfId="2831"/>
    <cellStyle name="60% - 강조색1 30" xfId="2832"/>
    <cellStyle name="60% - 강조색1 31" xfId="2833"/>
    <cellStyle name="60% - 강조색1 32" xfId="2834"/>
    <cellStyle name="60% - 강조색1 33" xfId="2835"/>
    <cellStyle name="60% - 강조색1 34" xfId="2836"/>
    <cellStyle name="60% - 강조색1 35" xfId="2837"/>
    <cellStyle name="60% - 강조색1 36" xfId="2838"/>
    <cellStyle name="60% - 강조색1 37" xfId="2839"/>
    <cellStyle name="60% - 강조색1 37 2" xfId="2840"/>
    <cellStyle name="60% - 강조색1 38" xfId="2841"/>
    <cellStyle name="60% - 강조색1 39" xfId="2842"/>
    <cellStyle name="60% - 강조색1 4" xfId="2843"/>
    <cellStyle name="60% - 강조색1 4 2" xfId="2844"/>
    <cellStyle name="60% - 강조색1 4 3" xfId="2845"/>
    <cellStyle name="60% - 강조색1 4 4" xfId="2846"/>
    <cellStyle name="60% - 강조색1 40" xfId="2847"/>
    <cellStyle name="60% - 강조색1 41" xfId="2848"/>
    <cellStyle name="60% - 강조색1 42" xfId="2849"/>
    <cellStyle name="60% - 강조색1 43" xfId="2850"/>
    <cellStyle name="60% - 강조색1 44" xfId="2851"/>
    <cellStyle name="60% - 강조색1 45" xfId="2852"/>
    <cellStyle name="60% - 강조색1 45 2" xfId="2853"/>
    <cellStyle name="60% - 강조색1 45 3" xfId="2854"/>
    <cellStyle name="60% - 강조색1 46" xfId="2855"/>
    <cellStyle name="60% - 강조색1 47" xfId="2856"/>
    <cellStyle name="60% - 강조색1 48" xfId="2857"/>
    <cellStyle name="60% - 강조색1 49" xfId="2858"/>
    <cellStyle name="60% - 강조색1 5" xfId="2859"/>
    <cellStyle name="60% - 강조색1 5 2" xfId="2860"/>
    <cellStyle name="60% - 강조색1 5 3" xfId="2861"/>
    <cellStyle name="60% - 강조색1 5 4" xfId="2862"/>
    <cellStyle name="60% - 강조색1 50" xfId="2863"/>
    <cellStyle name="60% - 강조색1 51" xfId="2864"/>
    <cellStyle name="60% - 강조색1 52" xfId="2865"/>
    <cellStyle name="60% - 강조색1 53" xfId="2866"/>
    <cellStyle name="60% - 강조색1 54" xfId="2867"/>
    <cellStyle name="60% - 강조색1 55" xfId="2868"/>
    <cellStyle name="60% - 강조색1 6" xfId="2869"/>
    <cellStyle name="60% - 강조색1 6 2" xfId="2870"/>
    <cellStyle name="60% - 강조색1 6 3" xfId="2871"/>
    <cellStyle name="60% - 강조색1 6 4" xfId="2872"/>
    <cellStyle name="60% - 강조색1 7" xfId="2873"/>
    <cellStyle name="60% - 강조색1 7 2" xfId="2874"/>
    <cellStyle name="60% - 강조색1 7 3" xfId="2875"/>
    <cellStyle name="60% - 강조색1 7 4" xfId="2876"/>
    <cellStyle name="60% - 강조색1 8" xfId="2877"/>
    <cellStyle name="60% - 강조색1 9" xfId="2878"/>
    <cellStyle name="60% - 강조색2 10" xfId="2879"/>
    <cellStyle name="60% - 강조색2 11" xfId="2880"/>
    <cellStyle name="60% - 강조색2 12" xfId="2881"/>
    <cellStyle name="60% - 강조색2 13" xfId="2882"/>
    <cellStyle name="60% - 강조색2 14" xfId="2883"/>
    <cellStyle name="60% - 강조색2 14 2" xfId="2884"/>
    <cellStyle name="60% - 강조색2 14 3" xfId="2885"/>
    <cellStyle name="60% - 강조색2 15" xfId="2886"/>
    <cellStyle name="60% - 강조색2 15 2" xfId="2887"/>
    <cellStyle name="60% - 강조색2 15 3" xfId="2888"/>
    <cellStyle name="60% - 강조색2 16" xfId="2889"/>
    <cellStyle name="60% - 강조색2 16 2" xfId="2890"/>
    <cellStyle name="60% - 강조색2 16 3" xfId="2891"/>
    <cellStyle name="60% - 강조색2 17" xfId="2892"/>
    <cellStyle name="60% - 강조색2 17 2" xfId="2893"/>
    <cellStyle name="60% - 강조색2 17 3" xfId="2894"/>
    <cellStyle name="60% - 강조색2 18" xfId="2895"/>
    <cellStyle name="60% - 강조색2 18 2" xfId="2896"/>
    <cellStyle name="60% - 강조색2 18 3" xfId="2897"/>
    <cellStyle name="60% - 강조색2 19" xfId="2898"/>
    <cellStyle name="60% - 강조색2 19 2" xfId="2899"/>
    <cellStyle name="60% - 강조색2 19 3" xfId="2900"/>
    <cellStyle name="60% - 강조색2 2" xfId="2901"/>
    <cellStyle name="60% - 강조색2 2 10" xfId="2902"/>
    <cellStyle name="60% - 강조색2 2 11" xfId="2903"/>
    <cellStyle name="60% - 강조색2 2 12" xfId="2904"/>
    <cellStyle name="60% - 강조색2 2 13" xfId="2905"/>
    <cellStyle name="60% - 강조색2 2 14" xfId="2906"/>
    <cellStyle name="60% - 강조색2 2 15" xfId="2907"/>
    <cellStyle name="60% - 강조색2 2 16" xfId="2908"/>
    <cellStyle name="60% - 강조색2 2 17" xfId="2909"/>
    <cellStyle name="60% - 강조색2 2 18" xfId="2910"/>
    <cellStyle name="60% - 강조색2 2 19" xfId="2911"/>
    <cellStyle name="60% - 강조색2 2 2" xfId="2912"/>
    <cellStyle name="60% - 강조색2 2 20" xfId="2913"/>
    <cellStyle name="60% - 강조색2 2 21" xfId="2914"/>
    <cellStyle name="60% - 강조색2 2 22" xfId="2915"/>
    <cellStyle name="60% - 강조색2 2 23" xfId="2916"/>
    <cellStyle name="60% - 강조색2 2 24" xfId="2917"/>
    <cellStyle name="60% - 강조색2 2 25" xfId="2918"/>
    <cellStyle name="60% - 강조색2 2 26" xfId="2919"/>
    <cellStyle name="60% - 강조색2 2 27" xfId="2920"/>
    <cellStyle name="60% - 강조색2 2 28" xfId="2921"/>
    <cellStyle name="60% - 강조색2 2 29" xfId="2922"/>
    <cellStyle name="60% - 강조색2 2 3" xfId="2923"/>
    <cellStyle name="60% - 강조색2 2 30" xfId="2924"/>
    <cellStyle name="60% - 강조색2 2 31" xfId="2925"/>
    <cellStyle name="60% - 강조색2 2 32" xfId="2926"/>
    <cellStyle name="60% - 강조색2 2 33" xfId="2927"/>
    <cellStyle name="60% - 강조색2 2 34" xfId="2928"/>
    <cellStyle name="60% - 강조색2 2 35" xfId="2929"/>
    <cellStyle name="60% - 강조색2 2 36" xfId="2930"/>
    <cellStyle name="60% - 강조색2 2 37" xfId="2931"/>
    <cellStyle name="60% - 강조색2 2 38" xfId="2932"/>
    <cellStyle name="60% - 강조색2 2 39" xfId="2933"/>
    <cellStyle name="60% - 강조색2 2 4" xfId="2934"/>
    <cellStyle name="60% - 강조색2 2 5" xfId="2935"/>
    <cellStyle name="60% - 강조색2 2 6" xfId="2936"/>
    <cellStyle name="60% - 강조색2 2 7" xfId="2937"/>
    <cellStyle name="60% - 강조색2 2 8" xfId="2938"/>
    <cellStyle name="60% - 강조색2 2 9" xfId="2939"/>
    <cellStyle name="60% - 강조색2 20" xfId="2940"/>
    <cellStyle name="60% - 강조색2 21" xfId="2941"/>
    <cellStyle name="60% - 강조색2 22" xfId="2942"/>
    <cellStyle name="60% - 강조색2 23" xfId="2943"/>
    <cellStyle name="60% - 강조색2 24" xfId="2944"/>
    <cellStyle name="60% - 강조색2 25" xfId="2945"/>
    <cellStyle name="60% - 강조색2 26" xfId="2946"/>
    <cellStyle name="60% - 강조색2 27" xfId="2947"/>
    <cellStyle name="60% - 강조색2 27 2" xfId="2948"/>
    <cellStyle name="60% - 강조색2 28" xfId="2949"/>
    <cellStyle name="60% - 강조색2 29" xfId="2950"/>
    <cellStyle name="60% - 강조색2 3" xfId="2951"/>
    <cellStyle name="60% - 강조색2 3 2" xfId="2952"/>
    <cellStyle name="60% - 강조색2 3 3" xfId="2953"/>
    <cellStyle name="60% - 강조색2 3 4" xfId="2954"/>
    <cellStyle name="60% - 강조색2 30" xfId="2955"/>
    <cellStyle name="60% - 강조색2 31" xfId="2956"/>
    <cellStyle name="60% - 강조색2 32" xfId="2957"/>
    <cellStyle name="60% - 강조색2 33" xfId="2958"/>
    <cellStyle name="60% - 강조색2 34" xfId="2959"/>
    <cellStyle name="60% - 강조색2 35" xfId="2960"/>
    <cellStyle name="60% - 강조색2 36" xfId="2961"/>
    <cellStyle name="60% - 강조색2 37" xfId="2962"/>
    <cellStyle name="60% - 강조색2 37 2" xfId="2963"/>
    <cellStyle name="60% - 강조색2 38" xfId="2964"/>
    <cellStyle name="60% - 강조색2 39" xfId="2965"/>
    <cellStyle name="60% - 강조색2 4" xfId="2966"/>
    <cellStyle name="60% - 강조색2 4 2" xfId="2967"/>
    <cellStyle name="60% - 강조색2 4 3" xfId="2968"/>
    <cellStyle name="60% - 강조색2 4 4" xfId="2969"/>
    <cellStyle name="60% - 강조색2 40" xfId="2970"/>
    <cellStyle name="60% - 강조색2 41" xfId="2971"/>
    <cellStyle name="60% - 강조색2 42" xfId="2972"/>
    <cellStyle name="60% - 강조색2 43" xfId="2973"/>
    <cellStyle name="60% - 강조색2 44" xfId="2974"/>
    <cellStyle name="60% - 강조색2 45" xfId="2975"/>
    <cellStyle name="60% - 강조색2 45 2" xfId="2976"/>
    <cellStyle name="60% - 강조색2 45 3" xfId="2977"/>
    <cellStyle name="60% - 강조색2 46" xfId="2978"/>
    <cellStyle name="60% - 강조색2 47" xfId="2979"/>
    <cellStyle name="60% - 강조색2 48" xfId="2980"/>
    <cellStyle name="60% - 강조색2 49" xfId="2981"/>
    <cellStyle name="60% - 강조색2 5" xfId="2982"/>
    <cellStyle name="60% - 강조색2 5 2" xfId="2983"/>
    <cellStyle name="60% - 강조색2 5 3" xfId="2984"/>
    <cellStyle name="60% - 강조색2 5 4" xfId="2985"/>
    <cellStyle name="60% - 강조색2 50" xfId="2986"/>
    <cellStyle name="60% - 강조색2 51" xfId="2987"/>
    <cellStyle name="60% - 강조색2 52" xfId="2988"/>
    <cellStyle name="60% - 강조색2 53" xfId="2989"/>
    <cellStyle name="60% - 강조색2 54" xfId="2990"/>
    <cellStyle name="60% - 강조색2 55" xfId="2991"/>
    <cellStyle name="60% - 강조색2 6" xfId="2992"/>
    <cellStyle name="60% - 강조색2 6 2" xfId="2993"/>
    <cellStyle name="60% - 강조색2 6 3" xfId="2994"/>
    <cellStyle name="60% - 강조색2 6 4" xfId="2995"/>
    <cellStyle name="60% - 강조색2 7" xfId="2996"/>
    <cellStyle name="60% - 강조색2 7 2" xfId="2997"/>
    <cellStyle name="60% - 강조색2 7 3" xfId="2998"/>
    <cellStyle name="60% - 강조색2 7 4" xfId="2999"/>
    <cellStyle name="60% - 강조색2 8" xfId="3000"/>
    <cellStyle name="60% - 강조색2 9" xfId="3001"/>
    <cellStyle name="60% - 강조색3 10" xfId="3002"/>
    <cellStyle name="60% - 강조색3 11" xfId="3003"/>
    <cellStyle name="60% - 강조색3 12" xfId="3004"/>
    <cellStyle name="60% - 강조색3 13" xfId="3005"/>
    <cellStyle name="60% - 강조색3 14" xfId="3006"/>
    <cellStyle name="60% - 강조색3 14 2" xfId="3007"/>
    <cellStyle name="60% - 강조색3 14 3" xfId="3008"/>
    <cellStyle name="60% - 강조색3 15" xfId="3009"/>
    <cellStyle name="60% - 강조색3 15 2" xfId="3010"/>
    <cellStyle name="60% - 강조색3 15 3" xfId="3011"/>
    <cellStyle name="60% - 강조색3 16" xfId="3012"/>
    <cellStyle name="60% - 강조색3 16 2" xfId="3013"/>
    <cellStyle name="60% - 강조색3 16 3" xfId="3014"/>
    <cellStyle name="60% - 강조색3 17" xfId="3015"/>
    <cellStyle name="60% - 강조색3 17 2" xfId="3016"/>
    <cellStyle name="60% - 강조색3 17 3" xfId="3017"/>
    <cellStyle name="60% - 강조색3 18" xfId="3018"/>
    <cellStyle name="60% - 강조색3 18 2" xfId="3019"/>
    <cellStyle name="60% - 강조색3 18 3" xfId="3020"/>
    <cellStyle name="60% - 강조색3 19" xfId="3021"/>
    <cellStyle name="60% - 강조색3 19 2" xfId="3022"/>
    <cellStyle name="60% - 강조색3 19 3" xfId="3023"/>
    <cellStyle name="60% - 강조색3 2" xfId="3024"/>
    <cellStyle name="60% - 강조색3 2 10" xfId="3025"/>
    <cellStyle name="60% - 강조색3 2 11" xfId="3026"/>
    <cellStyle name="60% - 강조색3 2 12" xfId="3027"/>
    <cellStyle name="60% - 강조색3 2 13" xfId="3028"/>
    <cellStyle name="60% - 강조색3 2 14" xfId="3029"/>
    <cellStyle name="60% - 강조색3 2 15" xfId="3030"/>
    <cellStyle name="60% - 강조색3 2 16" xfId="3031"/>
    <cellStyle name="60% - 강조색3 2 17" xfId="3032"/>
    <cellStyle name="60% - 강조색3 2 18" xfId="3033"/>
    <cellStyle name="60% - 강조색3 2 19" xfId="3034"/>
    <cellStyle name="60% - 강조색3 2 2" xfId="3035"/>
    <cellStyle name="60% - 강조색3 2 20" xfId="3036"/>
    <cellStyle name="60% - 강조색3 2 21" xfId="3037"/>
    <cellStyle name="60% - 강조색3 2 22" xfId="3038"/>
    <cellStyle name="60% - 강조색3 2 23" xfId="3039"/>
    <cellStyle name="60% - 강조색3 2 24" xfId="3040"/>
    <cellStyle name="60% - 강조색3 2 25" xfId="3041"/>
    <cellStyle name="60% - 강조색3 2 26" xfId="3042"/>
    <cellStyle name="60% - 강조색3 2 27" xfId="3043"/>
    <cellStyle name="60% - 강조색3 2 28" xfId="3044"/>
    <cellStyle name="60% - 강조색3 2 29" xfId="3045"/>
    <cellStyle name="60% - 강조색3 2 3" xfId="3046"/>
    <cellStyle name="60% - 강조색3 2 30" xfId="3047"/>
    <cellStyle name="60% - 강조색3 2 31" xfId="3048"/>
    <cellStyle name="60% - 강조색3 2 32" xfId="3049"/>
    <cellStyle name="60% - 강조색3 2 33" xfId="3050"/>
    <cellStyle name="60% - 강조색3 2 34" xfId="3051"/>
    <cellStyle name="60% - 강조색3 2 35" xfId="3052"/>
    <cellStyle name="60% - 강조색3 2 36" xfId="3053"/>
    <cellStyle name="60% - 강조색3 2 37" xfId="3054"/>
    <cellStyle name="60% - 강조색3 2 38" xfId="3055"/>
    <cellStyle name="60% - 강조색3 2 39" xfId="3056"/>
    <cellStyle name="60% - 강조색3 2 4" xfId="3057"/>
    <cellStyle name="60% - 강조색3 2 5" xfId="3058"/>
    <cellStyle name="60% - 강조색3 2 6" xfId="3059"/>
    <cellStyle name="60% - 강조색3 2 7" xfId="3060"/>
    <cellStyle name="60% - 강조색3 2 8" xfId="3061"/>
    <cellStyle name="60% - 강조색3 2 9" xfId="3062"/>
    <cellStyle name="60% - 강조색3 20" xfId="3063"/>
    <cellStyle name="60% - 강조색3 21" xfId="3064"/>
    <cellStyle name="60% - 강조색3 22" xfId="3065"/>
    <cellStyle name="60% - 강조색3 23" xfId="3066"/>
    <cellStyle name="60% - 강조색3 24" xfId="3067"/>
    <cellStyle name="60% - 강조색3 25" xfId="3068"/>
    <cellStyle name="60% - 강조색3 26" xfId="3069"/>
    <cellStyle name="60% - 강조색3 27" xfId="3070"/>
    <cellStyle name="60% - 강조색3 27 2" xfId="3071"/>
    <cellStyle name="60% - 강조색3 28" xfId="3072"/>
    <cellStyle name="60% - 강조색3 29" xfId="3073"/>
    <cellStyle name="60% - 강조색3 3" xfId="3074"/>
    <cellStyle name="60% - 강조색3 3 2" xfId="3075"/>
    <cellStyle name="60% - 강조색3 3 3" xfId="3076"/>
    <cellStyle name="60% - 강조색3 3 4" xfId="3077"/>
    <cellStyle name="60% - 강조색3 30" xfId="3078"/>
    <cellStyle name="60% - 강조색3 31" xfId="3079"/>
    <cellStyle name="60% - 강조색3 32" xfId="3080"/>
    <cellStyle name="60% - 강조색3 33" xfId="3081"/>
    <cellStyle name="60% - 강조색3 34" xfId="3082"/>
    <cellStyle name="60% - 강조색3 35" xfId="3083"/>
    <cellStyle name="60% - 강조색3 36" xfId="3084"/>
    <cellStyle name="60% - 강조색3 37" xfId="3085"/>
    <cellStyle name="60% - 강조색3 37 2" xfId="3086"/>
    <cellStyle name="60% - 강조색3 38" xfId="3087"/>
    <cellStyle name="60% - 강조색3 39" xfId="3088"/>
    <cellStyle name="60% - 강조색3 4" xfId="3089"/>
    <cellStyle name="60% - 강조색3 4 2" xfId="3090"/>
    <cellStyle name="60% - 강조색3 4 3" xfId="3091"/>
    <cellStyle name="60% - 강조색3 4 4" xfId="3092"/>
    <cellStyle name="60% - 강조색3 40" xfId="3093"/>
    <cellStyle name="60% - 강조색3 41" xfId="3094"/>
    <cellStyle name="60% - 강조색3 42" xfId="3095"/>
    <cellStyle name="60% - 강조색3 43" xfId="3096"/>
    <cellStyle name="60% - 강조색3 44" xfId="3097"/>
    <cellStyle name="60% - 강조색3 45" xfId="3098"/>
    <cellStyle name="60% - 강조색3 45 2" xfId="3099"/>
    <cellStyle name="60% - 강조색3 45 3" xfId="3100"/>
    <cellStyle name="60% - 강조색3 46" xfId="3101"/>
    <cellStyle name="60% - 강조색3 47" xfId="3102"/>
    <cellStyle name="60% - 강조색3 48" xfId="3103"/>
    <cellStyle name="60% - 강조색3 49" xfId="3104"/>
    <cellStyle name="60% - 강조색3 5" xfId="3105"/>
    <cellStyle name="60% - 강조색3 5 2" xfId="3106"/>
    <cellStyle name="60% - 강조색3 5 3" xfId="3107"/>
    <cellStyle name="60% - 강조색3 5 4" xfId="3108"/>
    <cellStyle name="60% - 강조색3 50" xfId="3109"/>
    <cellStyle name="60% - 강조색3 51" xfId="3110"/>
    <cellStyle name="60% - 강조색3 52" xfId="3111"/>
    <cellStyle name="60% - 강조색3 53" xfId="3112"/>
    <cellStyle name="60% - 강조색3 54" xfId="3113"/>
    <cellStyle name="60% - 강조색3 55" xfId="3114"/>
    <cellStyle name="60% - 강조색3 6" xfId="3115"/>
    <cellStyle name="60% - 강조색3 6 2" xfId="3116"/>
    <cellStyle name="60% - 강조색3 6 3" xfId="3117"/>
    <cellStyle name="60% - 강조색3 6 4" xfId="3118"/>
    <cellStyle name="60% - 강조색3 7" xfId="3119"/>
    <cellStyle name="60% - 강조색3 7 2" xfId="3120"/>
    <cellStyle name="60% - 강조색3 7 3" xfId="3121"/>
    <cellStyle name="60% - 강조색3 7 4" xfId="3122"/>
    <cellStyle name="60% - 강조색3 8" xfId="3123"/>
    <cellStyle name="60% - 강조색3 9" xfId="3124"/>
    <cellStyle name="60% - 강조색4 10" xfId="3125"/>
    <cellStyle name="60% - 강조색4 11" xfId="3126"/>
    <cellStyle name="60% - 강조색4 12" xfId="3127"/>
    <cellStyle name="60% - 강조색4 13" xfId="3128"/>
    <cellStyle name="60% - 강조색4 14" xfId="3129"/>
    <cellStyle name="60% - 강조색4 14 2" xfId="3130"/>
    <cellStyle name="60% - 강조색4 14 3" xfId="3131"/>
    <cellStyle name="60% - 강조색4 15" xfId="3132"/>
    <cellStyle name="60% - 강조색4 15 2" xfId="3133"/>
    <cellStyle name="60% - 강조색4 15 3" xfId="3134"/>
    <cellStyle name="60% - 강조색4 16" xfId="3135"/>
    <cellStyle name="60% - 강조색4 16 2" xfId="3136"/>
    <cellStyle name="60% - 강조색4 16 3" xfId="3137"/>
    <cellStyle name="60% - 강조색4 17" xfId="3138"/>
    <cellStyle name="60% - 강조색4 17 2" xfId="3139"/>
    <cellStyle name="60% - 강조색4 17 3" xfId="3140"/>
    <cellStyle name="60% - 강조색4 18" xfId="3141"/>
    <cellStyle name="60% - 강조색4 18 2" xfId="3142"/>
    <cellStyle name="60% - 강조색4 18 3" xfId="3143"/>
    <cellStyle name="60% - 강조색4 19" xfId="3144"/>
    <cellStyle name="60% - 강조색4 19 2" xfId="3145"/>
    <cellStyle name="60% - 강조색4 19 3" xfId="3146"/>
    <cellStyle name="60% - 강조색4 2" xfId="3147"/>
    <cellStyle name="60% - 강조색4 2 10" xfId="3148"/>
    <cellStyle name="60% - 강조색4 2 11" xfId="3149"/>
    <cellStyle name="60% - 강조색4 2 12" xfId="3150"/>
    <cellStyle name="60% - 강조색4 2 13" xfId="3151"/>
    <cellStyle name="60% - 강조색4 2 14" xfId="3152"/>
    <cellStyle name="60% - 강조색4 2 15" xfId="3153"/>
    <cellStyle name="60% - 강조색4 2 16" xfId="3154"/>
    <cellStyle name="60% - 강조색4 2 17" xfId="3155"/>
    <cellStyle name="60% - 강조색4 2 18" xfId="3156"/>
    <cellStyle name="60% - 강조색4 2 19" xfId="3157"/>
    <cellStyle name="60% - 강조색4 2 2" xfId="3158"/>
    <cellStyle name="60% - 강조색4 2 20" xfId="3159"/>
    <cellStyle name="60% - 강조색4 2 21" xfId="3160"/>
    <cellStyle name="60% - 강조색4 2 22" xfId="3161"/>
    <cellStyle name="60% - 강조색4 2 23" xfId="3162"/>
    <cellStyle name="60% - 강조색4 2 24" xfId="3163"/>
    <cellStyle name="60% - 강조색4 2 25" xfId="3164"/>
    <cellStyle name="60% - 강조색4 2 26" xfId="3165"/>
    <cellStyle name="60% - 강조색4 2 27" xfId="3166"/>
    <cellStyle name="60% - 강조색4 2 28" xfId="3167"/>
    <cellStyle name="60% - 강조색4 2 29" xfId="3168"/>
    <cellStyle name="60% - 강조색4 2 3" xfId="3169"/>
    <cellStyle name="60% - 강조색4 2 30" xfId="3170"/>
    <cellStyle name="60% - 강조색4 2 31" xfId="3171"/>
    <cellStyle name="60% - 강조색4 2 32" xfId="3172"/>
    <cellStyle name="60% - 강조색4 2 33" xfId="3173"/>
    <cellStyle name="60% - 강조색4 2 34" xfId="3174"/>
    <cellStyle name="60% - 강조색4 2 35" xfId="3175"/>
    <cellStyle name="60% - 강조색4 2 36" xfId="3176"/>
    <cellStyle name="60% - 강조색4 2 37" xfId="3177"/>
    <cellStyle name="60% - 강조색4 2 38" xfId="3178"/>
    <cellStyle name="60% - 강조색4 2 39" xfId="3179"/>
    <cellStyle name="60% - 강조색4 2 4" xfId="3180"/>
    <cellStyle name="60% - 강조색4 2 5" xfId="3181"/>
    <cellStyle name="60% - 강조색4 2 6" xfId="3182"/>
    <cellStyle name="60% - 강조색4 2 7" xfId="3183"/>
    <cellStyle name="60% - 강조색4 2 8" xfId="3184"/>
    <cellStyle name="60% - 강조색4 2 9" xfId="3185"/>
    <cellStyle name="60% - 강조색4 20" xfId="3186"/>
    <cellStyle name="60% - 강조색4 21" xfId="3187"/>
    <cellStyle name="60% - 강조색4 22" xfId="3188"/>
    <cellStyle name="60% - 강조색4 23" xfId="3189"/>
    <cellStyle name="60% - 강조색4 24" xfId="3190"/>
    <cellStyle name="60% - 강조색4 25" xfId="3191"/>
    <cellStyle name="60% - 강조색4 26" xfId="3192"/>
    <cellStyle name="60% - 강조색4 27" xfId="3193"/>
    <cellStyle name="60% - 강조색4 27 2" xfId="3194"/>
    <cellStyle name="60% - 강조색4 28" xfId="3195"/>
    <cellStyle name="60% - 강조색4 29" xfId="3196"/>
    <cellStyle name="60% - 강조색4 3" xfId="3197"/>
    <cellStyle name="60% - 강조색4 3 2" xfId="3198"/>
    <cellStyle name="60% - 강조색4 3 3" xfId="3199"/>
    <cellStyle name="60% - 강조색4 3 4" xfId="3200"/>
    <cellStyle name="60% - 강조색4 30" xfId="3201"/>
    <cellStyle name="60% - 강조색4 31" xfId="3202"/>
    <cellStyle name="60% - 강조색4 32" xfId="3203"/>
    <cellStyle name="60% - 강조색4 33" xfId="3204"/>
    <cellStyle name="60% - 강조색4 34" xfId="3205"/>
    <cellStyle name="60% - 강조색4 35" xfId="3206"/>
    <cellStyle name="60% - 강조색4 36" xfId="3207"/>
    <cellStyle name="60% - 강조색4 37" xfId="3208"/>
    <cellStyle name="60% - 강조색4 37 2" xfId="3209"/>
    <cellStyle name="60% - 강조색4 38" xfId="3210"/>
    <cellStyle name="60% - 강조색4 39" xfId="3211"/>
    <cellStyle name="60% - 강조색4 4" xfId="3212"/>
    <cellStyle name="60% - 강조색4 4 2" xfId="3213"/>
    <cellStyle name="60% - 강조색4 4 3" xfId="3214"/>
    <cellStyle name="60% - 강조색4 4 4" xfId="3215"/>
    <cellStyle name="60% - 강조색4 40" xfId="3216"/>
    <cellStyle name="60% - 강조색4 41" xfId="3217"/>
    <cellStyle name="60% - 강조색4 42" xfId="3218"/>
    <cellStyle name="60% - 강조색4 43" xfId="3219"/>
    <cellStyle name="60% - 강조색4 44" xfId="3220"/>
    <cellStyle name="60% - 강조색4 45" xfId="3221"/>
    <cellStyle name="60% - 강조색4 45 2" xfId="3222"/>
    <cellStyle name="60% - 강조색4 45 3" xfId="3223"/>
    <cellStyle name="60% - 강조색4 46" xfId="3224"/>
    <cellStyle name="60% - 강조색4 47" xfId="3225"/>
    <cellStyle name="60% - 강조색4 48" xfId="3226"/>
    <cellStyle name="60% - 강조색4 49" xfId="3227"/>
    <cellStyle name="60% - 강조색4 5" xfId="3228"/>
    <cellStyle name="60% - 강조색4 5 2" xfId="3229"/>
    <cellStyle name="60% - 강조색4 5 3" xfId="3230"/>
    <cellStyle name="60% - 강조색4 5 4" xfId="3231"/>
    <cellStyle name="60% - 강조색4 50" xfId="3232"/>
    <cellStyle name="60% - 강조색4 51" xfId="3233"/>
    <cellStyle name="60% - 강조색4 52" xfId="3234"/>
    <cellStyle name="60% - 강조색4 53" xfId="3235"/>
    <cellStyle name="60% - 강조색4 54" xfId="3236"/>
    <cellStyle name="60% - 강조색4 55" xfId="3237"/>
    <cellStyle name="60% - 강조색4 6" xfId="3238"/>
    <cellStyle name="60% - 강조색4 6 2" xfId="3239"/>
    <cellStyle name="60% - 강조색4 6 3" xfId="3240"/>
    <cellStyle name="60% - 강조색4 6 4" xfId="3241"/>
    <cellStyle name="60% - 강조색4 7" xfId="3242"/>
    <cellStyle name="60% - 강조색4 7 2" xfId="3243"/>
    <cellStyle name="60% - 강조색4 7 3" xfId="3244"/>
    <cellStyle name="60% - 강조색4 7 4" xfId="3245"/>
    <cellStyle name="60% - 강조색4 8" xfId="3246"/>
    <cellStyle name="60% - 강조색4 9" xfId="3247"/>
    <cellStyle name="60% - 강조색5 10" xfId="3248"/>
    <cellStyle name="60% - 강조색5 11" xfId="3249"/>
    <cellStyle name="60% - 강조색5 12" xfId="3250"/>
    <cellStyle name="60% - 강조색5 13" xfId="3251"/>
    <cellStyle name="60% - 강조색5 14" xfId="3252"/>
    <cellStyle name="60% - 강조색5 14 2" xfId="3253"/>
    <cellStyle name="60% - 강조색5 14 3" xfId="3254"/>
    <cellStyle name="60% - 강조색5 15" xfId="3255"/>
    <cellStyle name="60% - 강조색5 15 2" xfId="3256"/>
    <cellStyle name="60% - 강조색5 15 3" xfId="3257"/>
    <cellStyle name="60% - 강조색5 16" xfId="3258"/>
    <cellStyle name="60% - 강조색5 16 2" xfId="3259"/>
    <cellStyle name="60% - 강조색5 16 3" xfId="3260"/>
    <cellStyle name="60% - 강조색5 17" xfId="3261"/>
    <cellStyle name="60% - 강조색5 17 2" xfId="3262"/>
    <cellStyle name="60% - 강조색5 17 3" xfId="3263"/>
    <cellStyle name="60% - 강조색5 18" xfId="3264"/>
    <cellStyle name="60% - 강조색5 18 2" xfId="3265"/>
    <cellStyle name="60% - 강조색5 18 3" xfId="3266"/>
    <cellStyle name="60% - 강조색5 19" xfId="3267"/>
    <cellStyle name="60% - 강조색5 19 2" xfId="3268"/>
    <cellStyle name="60% - 강조색5 19 3" xfId="3269"/>
    <cellStyle name="60% - 강조색5 2" xfId="3270"/>
    <cellStyle name="60% - 강조색5 2 10" xfId="3271"/>
    <cellStyle name="60% - 강조색5 2 11" xfId="3272"/>
    <cellStyle name="60% - 강조색5 2 12" xfId="3273"/>
    <cellStyle name="60% - 강조색5 2 13" xfId="3274"/>
    <cellStyle name="60% - 강조색5 2 14" xfId="3275"/>
    <cellStyle name="60% - 강조색5 2 15" xfId="3276"/>
    <cellStyle name="60% - 강조색5 2 16" xfId="3277"/>
    <cellStyle name="60% - 강조색5 2 17" xfId="3278"/>
    <cellStyle name="60% - 강조색5 2 18" xfId="3279"/>
    <cellStyle name="60% - 강조색5 2 19" xfId="3280"/>
    <cellStyle name="60% - 강조색5 2 2" xfId="3281"/>
    <cellStyle name="60% - 강조색5 2 20" xfId="3282"/>
    <cellStyle name="60% - 강조색5 2 21" xfId="3283"/>
    <cellStyle name="60% - 강조색5 2 22" xfId="3284"/>
    <cellStyle name="60% - 강조색5 2 23" xfId="3285"/>
    <cellStyle name="60% - 강조색5 2 24" xfId="3286"/>
    <cellStyle name="60% - 강조색5 2 25" xfId="3287"/>
    <cellStyle name="60% - 강조색5 2 26" xfId="3288"/>
    <cellStyle name="60% - 강조색5 2 27" xfId="3289"/>
    <cellStyle name="60% - 강조색5 2 28" xfId="3290"/>
    <cellStyle name="60% - 강조색5 2 29" xfId="3291"/>
    <cellStyle name="60% - 강조색5 2 3" xfId="3292"/>
    <cellStyle name="60% - 강조색5 2 30" xfId="3293"/>
    <cellStyle name="60% - 강조색5 2 31" xfId="3294"/>
    <cellStyle name="60% - 강조색5 2 32" xfId="3295"/>
    <cellStyle name="60% - 강조색5 2 33" xfId="3296"/>
    <cellStyle name="60% - 강조색5 2 34" xfId="3297"/>
    <cellStyle name="60% - 강조색5 2 35" xfId="3298"/>
    <cellStyle name="60% - 강조색5 2 36" xfId="3299"/>
    <cellStyle name="60% - 강조색5 2 37" xfId="3300"/>
    <cellStyle name="60% - 강조색5 2 38" xfId="3301"/>
    <cellStyle name="60% - 강조색5 2 39" xfId="3302"/>
    <cellStyle name="60% - 강조색5 2 4" xfId="3303"/>
    <cellStyle name="60% - 강조색5 2 5" xfId="3304"/>
    <cellStyle name="60% - 강조색5 2 6" xfId="3305"/>
    <cellStyle name="60% - 강조색5 2 7" xfId="3306"/>
    <cellStyle name="60% - 강조색5 2 8" xfId="3307"/>
    <cellStyle name="60% - 강조색5 2 9" xfId="3308"/>
    <cellStyle name="60% - 강조색5 20" xfId="3309"/>
    <cellStyle name="60% - 강조색5 21" xfId="3310"/>
    <cellStyle name="60% - 강조색5 22" xfId="3311"/>
    <cellStyle name="60% - 강조색5 23" xfId="3312"/>
    <cellStyle name="60% - 강조색5 24" xfId="3313"/>
    <cellStyle name="60% - 강조색5 25" xfId="3314"/>
    <cellStyle name="60% - 강조색5 26" xfId="3315"/>
    <cellStyle name="60% - 강조색5 27" xfId="3316"/>
    <cellStyle name="60% - 강조색5 27 2" xfId="3317"/>
    <cellStyle name="60% - 강조색5 28" xfId="3318"/>
    <cellStyle name="60% - 강조색5 29" xfId="3319"/>
    <cellStyle name="60% - 강조색5 3" xfId="3320"/>
    <cellStyle name="60% - 강조색5 3 2" xfId="3321"/>
    <cellStyle name="60% - 강조색5 3 3" xfId="3322"/>
    <cellStyle name="60% - 강조색5 3 4" xfId="3323"/>
    <cellStyle name="60% - 강조색5 30" xfId="3324"/>
    <cellStyle name="60% - 강조색5 31" xfId="3325"/>
    <cellStyle name="60% - 강조색5 32" xfId="3326"/>
    <cellStyle name="60% - 강조색5 33" xfId="3327"/>
    <cellStyle name="60% - 강조색5 34" xfId="3328"/>
    <cellStyle name="60% - 강조색5 35" xfId="3329"/>
    <cellStyle name="60% - 강조색5 36" xfId="3330"/>
    <cellStyle name="60% - 강조색5 37" xfId="3331"/>
    <cellStyle name="60% - 강조색5 37 2" xfId="3332"/>
    <cellStyle name="60% - 강조색5 38" xfId="3333"/>
    <cellStyle name="60% - 강조색5 39" xfId="3334"/>
    <cellStyle name="60% - 강조색5 4" xfId="3335"/>
    <cellStyle name="60% - 강조색5 4 2" xfId="3336"/>
    <cellStyle name="60% - 강조색5 4 3" xfId="3337"/>
    <cellStyle name="60% - 강조색5 4 4" xfId="3338"/>
    <cellStyle name="60% - 강조색5 40" xfId="3339"/>
    <cellStyle name="60% - 강조색5 41" xfId="3340"/>
    <cellStyle name="60% - 강조색5 42" xfId="3341"/>
    <cellStyle name="60% - 강조색5 43" xfId="3342"/>
    <cellStyle name="60% - 강조색5 44" xfId="3343"/>
    <cellStyle name="60% - 강조색5 45" xfId="3344"/>
    <cellStyle name="60% - 강조색5 45 2" xfId="3345"/>
    <cellStyle name="60% - 강조색5 45 3" xfId="3346"/>
    <cellStyle name="60% - 강조색5 46" xfId="3347"/>
    <cellStyle name="60% - 강조색5 47" xfId="3348"/>
    <cellStyle name="60% - 강조색5 48" xfId="3349"/>
    <cellStyle name="60% - 강조색5 49" xfId="3350"/>
    <cellStyle name="60% - 강조색5 5" xfId="3351"/>
    <cellStyle name="60% - 강조색5 5 2" xfId="3352"/>
    <cellStyle name="60% - 강조색5 5 3" xfId="3353"/>
    <cellStyle name="60% - 강조색5 5 4" xfId="3354"/>
    <cellStyle name="60% - 강조색5 50" xfId="3355"/>
    <cellStyle name="60% - 강조색5 51" xfId="3356"/>
    <cellStyle name="60% - 강조색5 52" xfId="3357"/>
    <cellStyle name="60% - 강조색5 53" xfId="3358"/>
    <cellStyle name="60% - 강조색5 54" xfId="3359"/>
    <cellStyle name="60% - 강조색5 55" xfId="3360"/>
    <cellStyle name="60% - 강조색5 6" xfId="3361"/>
    <cellStyle name="60% - 강조색5 6 2" xfId="3362"/>
    <cellStyle name="60% - 강조색5 6 3" xfId="3363"/>
    <cellStyle name="60% - 강조색5 6 4" xfId="3364"/>
    <cellStyle name="60% - 강조색5 7" xfId="3365"/>
    <cellStyle name="60% - 강조색5 7 2" xfId="3366"/>
    <cellStyle name="60% - 강조색5 7 3" xfId="3367"/>
    <cellStyle name="60% - 강조색5 7 4" xfId="3368"/>
    <cellStyle name="60% - 강조색5 8" xfId="3369"/>
    <cellStyle name="60% - 강조색5 9" xfId="3370"/>
    <cellStyle name="60% - 강조색6 10" xfId="3371"/>
    <cellStyle name="60% - 강조색6 11" xfId="3372"/>
    <cellStyle name="60% - 강조색6 12" xfId="3373"/>
    <cellStyle name="60% - 강조색6 13" xfId="3374"/>
    <cellStyle name="60% - 강조색6 14" xfId="3375"/>
    <cellStyle name="60% - 강조색6 14 2" xfId="3376"/>
    <cellStyle name="60% - 강조색6 14 3" xfId="3377"/>
    <cellStyle name="60% - 강조색6 15" xfId="3378"/>
    <cellStyle name="60% - 강조색6 15 2" xfId="3379"/>
    <cellStyle name="60% - 강조색6 15 3" xfId="3380"/>
    <cellStyle name="60% - 강조색6 16" xfId="3381"/>
    <cellStyle name="60% - 강조색6 16 2" xfId="3382"/>
    <cellStyle name="60% - 강조색6 16 3" xfId="3383"/>
    <cellStyle name="60% - 강조색6 17" xfId="3384"/>
    <cellStyle name="60% - 강조색6 17 2" xfId="3385"/>
    <cellStyle name="60% - 강조색6 17 3" xfId="3386"/>
    <cellStyle name="60% - 강조색6 18" xfId="3387"/>
    <cellStyle name="60% - 강조색6 18 2" xfId="3388"/>
    <cellStyle name="60% - 강조색6 18 3" xfId="3389"/>
    <cellStyle name="60% - 강조색6 19" xfId="3390"/>
    <cellStyle name="60% - 강조색6 19 2" xfId="3391"/>
    <cellStyle name="60% - 강조색6 19 3" xfId="3392"/>
    <cellStyle name="60% - 강조색6 2" xfId="3393"/>
    <cellStyle name="60% - 강조색6 2 10" xfId="3394"/>
    <cellStyle name="60% - 강조색6 2 11" xfId="3395"/>
    <cellStyle name="60% - 강조색6 2 12" xfId="3396"/>
    <cellStyle name="60% - 강조색6 2 13" xfId="3397"/>
    <cellStyle name="60% - 강조색6 2 14" xfId="3398"/>
    <cellStyle name="60% - 강조색6 2 15" xfId="3399"/>
    <cellStyle name="60% - 강조색6 2 16" xfId="3400"/>
    <cellStyle name="60% - 강조색6 2 17" xfId="3401"/>
    <cellStyle name="60% - 강조색6 2 18" xfId="3402"/>
    <cellStyle name="60% - 강조색6 2 19" xfId="3403"/>
    <cellStyle name="60% - 강조색6 2 2" xfId="3404"/>
    <cellStyle name="60% - 강조색6 2 20" xfId="3405"/>
    <cellStyle name="60% - 강조색6 2 21" xfId="3406"/>
    <cellStyle name="60% - 강조색6 2 22" xfId="3407"/>
    <cellStyle name="60% - 강조색6 2 23" xfId="3408"/>
    <cellStyle name="60% - 강조색6 2 24" xfId="3409"/>
    <cellStyle name="60% - 강조색6 2 25" xfId="3410"/>
    <cellStyle name="60% - 강조색6 2 26" xfId="3411"/>
    <cellStyle name="60% - 강조색6 2 27" xfId="3412"/>
    <cellStyle name="60% - 강조색6 2 28" xfId="3413"/>
    <cellStyle name="60% - 강조색6 2 29" xfId="3414"/>
    <cellStyle name="60% - 강조색6 2 3" xfId="3415"/>
    <cellStyle name="60% - 강조색6 2 30" xfId="3416"/>
    <cellStyle name="60% - 강조색6 2 31" xfId="3417"/>
    <cellStyle name="60% - 강조색6 2 32" xfId="3418"/>
    <cellStyle name="60% - 강조색6 2 33" xfId="3419"/>
    <cellStyle name="60% - 강조색6 2 34" xfId="3420"/>
    <cellStyle name="60% - 강조색6 2 35" xfId="3421"/>
    <cellStyle name="60% - 강조색6 2 36" xfId="3422"/>
    <cellStyle name="60% - 강조색6 2 37" xfId="3423"/>
    <cellStyle name="60% - 강조색6 2 38" xfId="3424"/>
    <cellStyle name="60% - 강조색6 2 39" xfId="3425"/>
    <cellStyle name="60% - 강조색6 2 4" xfId="3426"/>
    <cellStyle name="60% - 강조색6 2 5" xfId="3427"/>
    <cellStyle name="60% - 강조색6 2 6" xfId="3428"/>
    <cellStyle name="60% - 강조색6 2 7" xfId="3429"/>
    <cellStyle name="60% - 강조색6 2 8" xfId="3430"/>
    <cellStyle name="60% - 강조색6 2 9" xfId="3431"/>
    <cellStyle name="60% - 강조색6 20" xfId="3432"/>
    <cellStyle name="60% - 강조색6 21" xfId="3433"/>
    <cellStyle name="60% - 강조색6 22" xfId="3434"/>
    <cellStyle name="60% - 강조색6 23" xfId="3435"/>
    <cellStyle name="60% - 강조색6 24" xfId="3436"/>
    <cellStyle name="60% - 강조색6 25" xfId="3437"/>
    <cellStyle name="60% - 강조색6 26" xfId="3438"/>
    <cellStyle name="60% - 강조색6 27" xfId="3439"/>
    <cellStyle name="60% - 강조색6 27 2" xfId="3440"/>
    <cellStyle name="60% - 강조색6 28" xfId="3441"/>
    <cellStyle name="60% - 강조색6 29" xfId="3442"/>
    <cellStyle name="60% - 강조색6 3" xfId="3443"/>
    <cellStyle name="60% - 강조색6 3 2" xfId="3444"/>
    <cellStyle name="60% - 강조색6 3 3" xfId="3445"/>
    <cellStyle name="60% - 강조색6 3 4" xfId="3446"/>
    <cellStyle name="60% - 강조색6 30" xfId="3447"/>
    <cellStyle name="60% - 강조색6 31" xfId="3448"/>
    <cellStyle name="60% - 강조색6 32" xfId="3449"/>
    <cellStyle name="60% - 강조색6 33" xfId="3450"/>
    <cellStyle name="60% - 강조색6 34" xfId="3451"/>
    <cellStyle name="60% - 강조색6 35" xfId="3452"/>
    <cellStyle name="60% - 강조색6 36" xfId="3453"/>
    <cellStyle name="60% - 강조색6 37" xfId="3454"/>
    <cellStyle name="60% - 강조색6 37 2" xfId="3455"/>
    <cellStyle name="60% - 강조색6 38" xfId="3456"/>
    <cellStyle name="60% - 강조색6 39" xfId="3457"/>
    <cellStyle name="60% - 강조색6 4" xfId="3458"/>
    <cellStyle name="60% - 강조색6 4 2" xfId="3459"/>
    <cellStyle name="60% - 강조색6 4 3" xfId="3460"/>
    <cellStyle name="60% - 강조색6 4 4" xfId="3461"/>
    <cellStyle name="60% - 강조색6 40" xfId="3462"/>
    <cellStyle name="60% - 강조색6 41" xfId="3463"/>
    <cellStyle name="60% - 강조색6 42" xfId="3464"/>
    <cellStyle name="60% - 강조색6 43" xfId="3465"/>
    <cellStyle name="60% - 강조색6 44" xfId="3466"/>
    <cellStyle name="60% - 강조색6 45" xfId="3467"/>
    <cellStyle name="60% - 강조색6 45 2" xfId="3468"/>
    <cellStyle name="60% - 강조색6 45 3" xfId="3469"/>
    <cellStyle name="60% - 강조색6 46" xfId="3470"/>
    <cellStyle name="60% - 강조색6 47" xfId="3471"/>
    <cellStyle name="60% - 강조색6 48" xfId="3472"/>
    <cellStyle name="60% - 강조색6 49" xfId="3473"/>
    <cellStyle name="60% - 강조색6 5" xfId="3474"/>
    <cellStyle name="60% - 강조색6 5 2" xfId="3475"/>
    <cellStyle name="60% - 강조색6 5 3" xfId="3476"/>
    <cellStyle name="60% - 강조색6 5 4" xfId="3477"/>
    <cellStyle name="60% - 강조색6 50" xfId="3478"/>
    <cellStyle name="60% - 강조색6 51" xfId="3479"/>
    <cellStyle name="60% - 강조색6 52" xfId="3480"/>
    <cellStyle name="60% - 강조색6 53" xfId="3481"/>
    <cellStyle name="60% - 강조색6 54" xfId="3482"/>
    <cellStyle name="60% - 강조색6 55" xfId="3483"/>
    <cellStyle name="60% - 강조색6 6" xfId="3484"/>
    <cellStyle name="60% - 강조색6 6 2" xfId="3485"/>
    <cellStyle name="60% - 강조색6 6 3" xfId="3486"/>
    <cellStyle name="60% - 강조색6 6 4" xfId="3487"/>
    <cellStyle name="60% - 강조색6 7" xfId="3488"/>
    <cellStyle name="60% - 강조색6 7 2" xfId="3489"/>
    <cellStyle name="60% - 강조색6 7 3" xfId="3490"/>
    <cellStyle name="60% - 강조색6 7 4" xfId="3491"/>
    <cellStyle name="60% - 강조색6 8" xfId="3492"/>
    <cellStyle name="60% - 강조색6 9" xfId="3493"/>
    <cellStyle name="7_WH-PAYRO_1" xfId="3494"/>
    <cellStyle name="9" xfId="3495"/>
    <cellStyle name="A" xfId="3496"/>
    <cellStyle name="A???[0]_97 ?? " xfId="3497"/>
    <cellStyle name="A???97 ?? " xfId="3498"/>
    <cellStyle name="A???97?a?u? " xfId="3499"/>
    <cellStyle name="A???97Ae?A? " xfId="3500"/>
    <cellStyle name="A???98Ae?A? " xfId="3501"/>
    <cellStyle name="A???AoAUAy캿C? " xfId="3502"/>
    <cellStyle name="A???C?Ao_AoAUAy캿C? " xfId="3503"/>
    <cellStyle name="A???CASH FLOW " xfId="3504"/>
    <cellStyle name="A??[0]_CASH FLOW " xfId="3505"/>
    <cellStyle name="A??CASH FLOW " xfId="3506"/>
    <cellStyle name="Ä?¸¶ [0]_´ëÇü±¸ " xfId="3507"/>
    <cellStyle name="Ä?¸¶_´ëÇü±¸ " xfId="3508"/>
    <cellStyle name="A_01_AM monthly_Lease_200208" xfId="3509"/>
    <cellStyle name="A_02_AM monthly_analysis_2000208" xfId="3510"/>
    <cellStyle name="A_03_yardi_한화_20028" xfId="3511"/>
    <cellStyle name="A_05_yardi_대한_200208" xfId="3512"/>
    <cellStyle name="A_cover_yardi_Yvette" xfId="3513"/>
    <cellStyle name="A_PM Monthly report_한화_송부" xfId="3514"/>
    <cellStyle name="A_Rev1_IS Report_by C&amp;W_for Sep" xfId="3515"/>
    <cellStyle name="A_Sheet11" xfId="3516"/>
    <cellStyle name="A_Sheet12" xfId="3517"/>
    <cellStyle name="A_Sheet5" xfId="3518"/>
    <cellStyle name="A_Sheet6" xfId="3519"/>
    <cellStyle name="A_한화_수익편차" xfId="3520"/>
    <cellStyle name="A¡§¡ⓒ¡E¡þ¡EO [0]_¡§￠Ri¡§u¡§¡þ¡§¡þI¡§u￠R¨I" xfId="3521"/>
    <cellStyle name="A¡§¡ⓒ¡E¡þ¡EO_¡§￠Ri¡§u¡§¡þ¡§¡þI¡§u￠R¨I" xfId="3522"/>
    <cellStyle name="A¨­???? [0]_2000¨?OER " xfId="3523"/>
    <cellStyle name="A¨­????_2000¨?OER " xfId="3524"/>
    <cellStyle name="A¨­￠￢￠O [0]_¡¾aA￠￢" xfId="3525"/>
    <cellStyle name="A¨­¢¬¢Ò [0]_2000¨ùOER " xfId="3526"/>
    <cellStyle name="A¨­￠￢￠O_¡¾aA￠￢" xfId="3527"/>
    <cellStyle name="A¨­¢¬¢Ò_2000¨ùOER " xfId="3528"/>
    <cellStyle name="A￠RERER¡ERER￠RER￠RE?￠RERER￠RER¡ER￠R￠?I￠RERERE￠RERER¡ER￠R¡¿I￠RER￠R¡×I￠REREREO [0]_¡ERER￠RER¡ER¡E?I￠RER¡ER￠R￠?I￠RER¡ER￠R￠?￠RERIa¡ERERER¡ERER￠RER¡ER¡E?￠RERER¡ERERERI￠RERER¡ERER￠RER￠RE?uc￠RERER¡ERER￠RER￠RE?oA" xfId="3529"/>
    <cellStyle name="A￠RERER¡ERER￠RER￠RE?￠RERER￠RER¡ER￠R￠?I￠RERERE￠RERER¡ER￠R¡¿I￠RER￠R¡×I￠REREREO_¡ERER￠RER¡ER¡E?I￠RER¡ER￠R￠?I￠RER¡ER￠R￠?￠RERIa¡ERERER¡ERER￠RER¡ER¡E?￠RERER¡ERERERI￠RERER¡ERER￠RER￠RE?uc￠RERER¡ERER￠RER￠RE?oA" xfId="3530"/>
    <cellStyle name="aa" xfId="3531"/>
    <cellStyle name="Accent1" xfId="3532"/>
    <cellStyle name="Accent2" xfId="3533"/>
    <cellStyle name="Accent3" xfId="3534"/>
    <cellStyle name="Accent4" xfId="3535"/>
    <cellStyle name="Accent5" xfId="3536"/>
    <cellStyle name="Accent6" xfId="3537"/>
    <cellStyle name="active" xfId="3538"/>
    <cellStyle name="Actual Date" xfId="3539"/>
    <cellStyle name="add" xfId="3540"/>
    <cellStyle name="Åëè­" xfId="3541"/>
    <cellStyle name="Åëè­ [0]" xfId="3542"/>
    <cellStyle name="AeE­ [0]_  A¾  CO  " xfId="3543"/>
    <cellStyle name="ÅëÈ­ [0]_´ë¿©±Ý" xfId="3544"/>
    <cellStyle name="AeE­ [0]_´e¿i" xfId="3545"/>
    <cellStyle name="AëE­ [0]_´ëÇü±¸ " xfId="3546"/>
    <cellStyle name="ÅëÈ­ [0]_´ëÇü±¸ " xfId="3547"/>
    <cellStyle name="AeE­ [0]_´U±aA÷AO98.12(A¶A¤)CR¾i¼­ " xfId="3548"/>
    <cellStyle name="ÅëÈ­ [0]_´Ü°èº° ±¸Ãà¾È" xfId="3549"/>
    <cellStyle name="AeE­ [0]_¸Þ¸ðAa" xfId="3550"/>
    <cellStyle name="ÅëÈ­ [0]_¿µ¾÷ÀÌÀÍÁß°ø¾÷ " xfId="3551"/>
    <cellStyle name="AeE­ [0]_±aA¸" xfId="3552"/>
    <cellStyle name="ÅëÈ­ [0]_±âÅ¸" xfId="3553"/>
    <cellStyle name="AeE­ [0]_±aA¸ 10" xfId="3554"/>
    <cellStyle name="ÅëÈ­ [0]_°ü¸®¿ø°¡" xfId="3555"/>
    <cellStyle name="AëE­ [0]_°ü¸®Ç×¸n_3÷Á3o° " xfId="3556"/>
    <cellStyle name="AeE­ [0]_¼oAa½CAu " xfId="3557"/>
    <cellStyle name="ÅëÈ­ [0]_½ÇÀû " xfId="3558"/>
    <cellStyle name="AëE­ [0]_1ÇAu " xfId="3559"/>
    <cellStyle name="ÅëÈ­ [0]_³»ºÎ°èÈ¹´ë ÃßÁ¤Â÷ÀÌ " xfId="3560"/>
    <cellStyle name="AeE­ [0]_³≫ºI°eE¹´e AßA¤A÷AI " xfId="3561"/>
    <cellStyle name="ÅëÈ­ [0]_Á¦Á¶1ºÎ1°ú ÇöÈ² " xfId="3562"/>
    <cellStyle name="AeE­ [0]_Ac°i°u¸® " xfId="3563"/>
    <cellStyle name="AëE­ [0]_Aç°í°ü¸® " xfId="3564"/>
    <cellStyle name="ÅëÈ­ [0]_Àç°í°ü¸® " xfId="3565"/>
    <cellStyle name="AeE­ [0]_AMT " xfId="3566"/>
    <cellStyle name="ÅëÈ­ [0]_INQUIRY ¿µ¾÷ÃßÁø " xfId="3567"/>
    <cellStyle name="AeE­ [0]_INQUIRY ¿μ¾÷AßAø " xfId="3568"/>
    <cellStyle name="ÅëÈ­ [0]_PERSONAL" xfId="3569"/>
    <cellStyle name="AëE­ [0]_SP 1°µ?1× ?ÜÁÖ " xfId="3570"/>
    <cellStyle name="ÅëÈ­ [0]_SP ¹°µ¿¹× ¿ÜÁÖ " xfId="3571"/>
    <cellStyle name="AeE­ [0]_SP ¹°μ¿¹× ¿UAO " xfId="3572"/>
    <cellStyle name="AeE?[0]_97 ?? " xfId="3573"/>
    <cellStyle name="AeE?97 ?? " xfId="3574"/>
    <cellStyle name="AeE?97?a?u? " xfId="3575"/>
    <cellStyle name="AeE?97Ae?A? " xfId="3576"/>
    <cellStyle name="AeE?98Ae?A? " xfId="3577"/>
    <cellStyle name="AeE?AoAUAy캿C? " xfId="3578"/>
    <cellStyle name="AeE?C?Ao_AoAUAy캿C? " xfId="3579"/>
    <cellStyle name="AeE?CASH FLOW " xfId="3580"/>
    <cellStyle name="AeE­_  A¾  CO  " xfId="3581"/>
    <cellStyle name="ÅëÈ­_´ë¿©±Ý" xfId="3582"/>
    <cellStyle name="AeE­_´e¿i" xfId="3583"/>
    <cellStyle name="ÅëÈ­_´ë¿ìÀÚµ¿Â÷°ü·Ã~~~" xfId="3584"/>
    <cellStyle name="AeE­_´e¿iAUμ¿A÷°u·A~~~" xfId="3585"/>
    <cellStyle name="AëE­_´ëÇü±¸ " xfId="3586"/>
    <cellStyle name="ÅëÈ­_´ëÇü±¸ " xfId="3587"/>
    <cellStyle name="AeE­_´U±aA÷AO98.12(A¶A¤)CR¾i¼­ " xfId="3588"/>
    <cellStyle name="ÅëÈ­_´Ü°èº° ±¸Ãà¾È" xfId="3589"/>
    <cellStyle name="AeE­_¸Þ¸ðAa" xfId="3590"/>
    <cellStyle name="ÅëÈ­_¿µ¾÷ÀÌÀÍÁß°ø¾÷ " xfId="3591"/>
    <cellStyle name="AeE­_±aA¸" xfId="3592"/>
    <cellStyle name="ÅëÈ­_±âÅ¸" xfId="3593"/>
    <cellStyle name="AeE­_±aA¸ 10" xfId="3594"/>
    <cellStyle name="AëE­_°ü¸®Ç×¸n_3÷Á3o° " xfId="3595"/>
    <cellStyle name="AeE­_¼oAa½CAu " xfId="3596"/>
    <cellStyle name="ÅëÈ­_½ÇÀû " xfId="3597"/>
    <cellStyle name="AëE­_1ÇAu " xfId="3598"/>
    <cellStyle name="ÅëÈ­_³»ºÎ°èÈ¹´ë ÃßÁ¤Â÷ÀÌ " xfId="3599"/>
    <cellStyle name="AeE­_³≫ºI°eE¹´e AßA¤A÷AI " xfId="3600"/>
    <cellStyle name="ÅëÈ­_Á¦Á¶1ºÎ1°ú ÇöÈ² " xfId="3601"/>
    <cellStyle name="AeE­_Ac°i°u¸® " xfId="3602"/>
    <cellStyle name="AëE­_Aç°í°ü¸® " xfId="3603"/>
    <cellStyle name="ÅëÈ­_Àç°í°ü¸® " xfId="3604"/>
    <cellStyle name="AeE­_AMT " xfId="3605"/>
    <cellStyle name="ÅëÈ­_INQUIRY ¿µ¾÷ÃßÁø " xfId="3606"/>
    <cellStyle name="AeE­_INQUIRY ¿μ¾÷AßAø " xfId="3607"/>
    <cellStyle name="ÅëÈ­_PERSONAL" xfId="3608"/>
    <cellStyle name="AëE­_SP 1°µ?1× ?ÜÁÖ " xfId="3609"/>
    <cellStyle name="ÅëÈ­_SP ¹°µ¿¹× ¿ÜÁÖ " xfId="3610"/>
    <cellStyle name="AeE­_SP ¹°μ¿¹× ¿UAO " xfId="3611"/>
    <cellStyle name="AeE¡? [0]_2000¨?OER " xfId="3612"/>
    <cellStyle name="AeE¡?_2000¨?OER " xfId="3613"/>
    <cellStyle name="AeE¡© [0]_2000¨ùOER " xfId="3614"/>
    <cellStyle name="AeE¡©_2000¨ùOER " xfId="3615"/>
    <cellStyle name="AeE¡ⓒ [0]_¡¾aA￠￢" xfId="3616"/>
    <cellStyle name="AeE¡ⓒ_¡¾aA￠￢" xfId="3617"/>
    <cellStyle name="AeE¡ERERER¡ERER￠RER¡ER¡E?I [0]_¡ERER￠RER¡ER¡E?I￠RER¡ER￠R￠?I￠RER¡ER￠R￠?￠RERIa¡ERERER¡ERER￠RER¡ER¡E?￠RERER¡ERERERI￠RERER¡ERER￠RER￠RE?uc￠RERER¡ERER￠RER￠RE?oA" xfId="3618"/>
    <cellStyle name="AeE¡ERERER¡ERER￠RER¡ER¡E?I_¡ERER￠RER¡ER¡E?I￠RER¡ER￠R￠?I￠RER¡ER￠R￠?￠RERIa¡ERERER¡ERER￠RER¡ER¡E?￠RERER¡ERERERI￠RERER¡ERER￠RER￠RE?uc￠RERER¡ERER￠RER￠RE?oA" xfId="3619"/>
    <cellStyle name="AeE￠R¨I [0]_¡§￠Ri¡§u¡§¡þ¡§¡þI¡§u￠R¨I" xfId="3620"/>
    <cellStyle name="AeE￠R¨I_¡§￠Ri¡§u¡§¡þ¡§¡þI¡§u￠R¨I" xfId="3621"/>
    <cellStyle name="ALIGNMENT" xfId="3622"/>
    <cellStyle name="args.style" xfId="3623"/>
    <cellStyle name="Arial 10" xfId="3624"/>
    <cellStyle name="Arial 12" xfId="3625"/>
    <cellStyle name="Äþ¸¶" xfId="3626"/>
    <cellStyle name="AÞ¸¶ [0]" xfId="3627"/>
    <cellStyle name="Äþ¸¶ [0]" xfId="3628"/>
    <cellStyle name="AÞ¸¶ [0]_  A¾  CO  " xfId="3629"/>
    <cellStyle name="ÄÞ¸¶ [0]_´ãº¸±ÇÀÌÀÚ" xfId="3630"/>
    <cellStyle name="AÞ¸¶ [0]_´e¿i" xfId="3631"/>
    <cellStyle name="ÄÞ¸¶ [0]_´ëÇü±¸ " xfId="3632"/>
    <cellStyle name="AÞ¸¶ [0]_´U±aA÷AO98.12(A¶A¤)CR¾i¼­ " xfId="3633"/>
    <cellStyle name="ÄÞ¸¶ [0]_´Ü°èº° ±¸Ãà¾È" xfId="3634"/>
    <cellStyle name="AÞ¸¶ [0]_¸Þ¸ðAa" xfId="3635"/>
    <cellStyle name="ÄÞ¸¶ [0]_¿µ¾÷ÀÌÀÍÁß°ø¾÷ " xfId="3636"/>
    <cellStyle name="AÞ¸¶ [0]_±aA¸" xfId="3637"/>
    <cellStyle name="ÄÞ¸¶ [0]_±âÅ¸" xfId="3638"/>
    <cellStyle name="AÞ¸¶ [0]_±aA¸ 10" xfId="3639"/>
    <cellStyle name="ÄÞ¸¶ [0]_°ü¸®¿ø°¡" xfId="3640"/>
    <cellStyle name="AÞ¸¶ [0]_¼oAa½CAu " xfId="3641"/>
    <cellStyle name="ÄÞ¸¶ [0]_³»ºÎ°èÈ¹´ë ÃßÁ¤Â÷ÀÌ " xfId="3642"/>
    <cellStyle name="AÞ¸¶ [0]_³≫ºI°eE¹´e AßA¤A÷AI " xfId="3643"/>
    <cellStyle name="ÄÞ¸¶ [0]_Á¤»êÇ¥(ÃßÁ¤) " xfId="3644"/>
    <cellStyle name="AÞ¸¶ [0]_AN°y(1.25) " xfId="3645"/>
    <cellStyle name="ÄÞ¸¶ [0]_INQUIRY ¿µ¾÷ÃßÁø " xfId="3646"/>
    <cellStyle name="AÞ¸¶ [0]_INQUIRY ¿μ¾÷AßAø " xfId="3647"/>
    <cellStyle name="ÄÞ¸¶ [0]_PERSONAL" xfId="3648"/>
    <cellStyle name="AÞ¸¶_  A¾  CO  " xfId="3649"/>
    <cellStyle name="ÄÞ¸¶_´ë¿©±Ý" xfId="3650"/>
    <cellStyle name="AÞ¸¶_´e¿i" xfId="3651"/>
    <cellStyle name="ÄÞ¸¶_´ë¿ìÀÚµ¿Â÷°ü·Ã~~~" xfId="3652"/>
    <cellStyle name="AÞ¸¶_´e¿iAUμ¿A÷°u·A~~~" xfId="3653"/>
    <cellStyle name="ÄÞ¸¶_´ëÇü±¸ " xfId="3654"/>
    <cellStyle name="AÞ¸¶_´U±aA÷AO98.12(A¶A¤)CR¾i¼­ " xfId="3655"/>
    <cellStyle name="ÄÞ¸¶_´Ü°èº° ±¸Ãà¾È" xfId="3656"/>
    <cellStyle name="AÞ¸¶_¸Þ¸ðAa" xfId="3657"/>
    <cellStyle name="ÄÞ¸¶_¿µ¾÷ÀÌÀÍÁß°ø¾÷ " xfId="3658"/>
    <cellStyle name="AÞ¸¶_±aA¸" xfId="3659"/>
    <cellStyle name="ÄÞ¸¶_±âÅ¸" xfId="3660"/>
    <cellStyle name="AÞ¸¶_±aA¸ 10" xfId="3661"/>
    <cellStyle name="ÄÞ¸¶_³»ºÎ°èÈ¹´ë ÃßÁ¤Â÷ÀÌ " xfId="3662"/>
    <cellStyle name="AÞ¸¶_³≫ºI°eE¹´e AßA¤A÷AI " xfId="3663"/>
    <cellStyle name="ÄÞ¸¶_Á¤»êÇ¥(ÃßÁ¤) " xfId="3664"/>
    <cellStyle name="AÞ¸¶_AN°y(1.25) " xfId="3665"/>
    <cellStyle name="ÄÞ¸¶_INQUIRY ¿µ¾÷ÃßÁø " xfId="3666"/>
    <cellStyle name="AÞ¸¶_INQUIRY ¿μ¾÷AßAø " xfId="3667"/>
    <cellStyle name="ÄÞ¸¶_PERSONAL" xfId="3668"/>
    <cellStyle name="_x0001_b" xfId="3669"/>
    <cellStyle name="_x0001_b 2" xfId="3670"/>
    <cellStyle name="Bad" xfId="3671"/>
    <cellStyle name="bb" xfId="3672"/>
    <cellStyle name="black" xfId="3673"/>
    <cellStyle name="blank" xfId="3674"/>
    <cellStyle name="blank - Style1" xfId="3675"/>
    <cellStyle name="blank_현대자산운용 201003_중요성기준_최종" xfId="3676"/>
    <cellStyle name="bloue" xfId="3677"/>
    <cellStyle name="blue" xfId="3678"/>
    <cellStyle name="blue2" xfId="3679"/>
    <cellStyle name="Body" xfId="3680"/>
    <cellStyle name="BOM-DOWN" xfId="3681"/>
    <cellStyle name="BookMult" xfId="3682"/>
    <cellStyle name="Border" xfId="3683"/>
    <cellStyle name="box" xfId="3684"/>
    <cellStyle name="bp--" xfId="3685"/>
    <cellStyle name="Break" xfId="3686"/>
    <cellStyle name="British Pound" xfId="3687"/>
    <cellStyle name="BuiltOption_Content" xfId="3688"/>
    <cellStyle name="C?AO_?? " xfId="3689"/>
    <cellStyle name="C?AØ_¿?¾÷CoE² " xfId="3690"/>
    <cellStyle name="C¡?A¨ª_2000¨?OER " xfId="3691"/>
    <cellStyle name="C¡ERERERIA￠RERER¡ERER￠RER￠RE?¡ERER￠RER¡ER¡E?¡ERERI_(A￠RERERE¡ERERE¡ERERI￠RERER¡ERER￠RER￠RE?￠RERER¡ER￠R¡¿I￠RER￠R¡×I￠RERERE￠RERER¡ER￠R¡¿I￠RER￠R¡×I￠RERER¡ERER￠RER￠RE?￠RERER¡ER￠R¡¿I￠RER￠R¡×II¡ERER￠RER¡ER¡E?" xfId="3692"/>
    <cellStyle name="C¡ERIA￠R¡×¡§¡I_A¡ERAAO¡ER¡§uY6 (2)" xfId="3693"/>
    <cellStyle name="C¡IA¨ª_ ¡Æⓒøⓒoⓒ￢" xfId="3694"/>
    <cellStyle name="C¡ÍA¨ª_2000¨ùOER " xfId="3695"/>
    <cellStyle name="C¡IA¨ª_2000¨uOER _1월채권" xfId="3696"/>
    <cellStyle name="C￠RIA¡§¨￡_#1,2" xfId="3697"/>
    <cellStyle name="Ç¥áø" xfId="3698"/>
    <cellStyle name="C￥AØ_  A¾  CO  " xfId="3699"/>
    <cellStyle name="Ç¥ÁØ_(Á¤º¸ºÎ¹®)¿ùº°ÀÎ¿ø°èÈ¹" xfId="3700"/>
    <cellStyle name="C￥AØ_(A¤º¸ºI¹R)¿uº°AI¿ø°eE¹" xfId="3701"/>
    <cellStyle name="Ç¥ÁØ_´ç¿ùÀÚ±Ý¼öÁö" xfId="3702"/>
    <cellStyle name="C￥AØ_´U±aA÷AO98.12(A¶A¤)CR¾i¼­ " xfId="3703"/>
    <cellStyle name="Ç¥ÁØ_´Ü°èº° ±¸Ãà¾È" xfId="3704"/>
    <cellStyle name="C￥AØ_¸AAa.¼OAI " xfId="3705"/>
    <cellStyle name="Ç¥ÁØ_¸í¼¼Ç¥" xfId="3706"/>
    <cellStyle name="C￥AØ_¿­¸° INT" xfId="3707"/>
    <cellStyle name="Ç¥ÁØ_¿µ¾÷ÀÌÀÍÁß°ø¾÷ " xfId="3708"/>
    <cellStyle name="C￥AØ_¿¹≫e¿aA≫ " xfId="3709"/>
    <cellStyle name="Ç¥ÁØ_¿ù°£¿ä¾àº¸°í" xfId="3710"/>
    <cellStyle name="C￥AØ_¿uº°A¸≫c½CAu_³≫ºI°eE¹´e AßA¤A÷AI " xfId="3711"/>
    <cellStyle name="Ç¥ÁØ_±â¾È¾ç½Ä (3)" xfId="3712"/>
    <cellStyle name="C￥AØ_≫c¾÷ºIº° AN°e " xfId="3713"/>
    <cellStyle name="Ç¥ÁØ_°ü¸®¿ø°¡" xfId="3714"/>
    <cellStyle name="C￥AØ_¼±³³9804" xfId="3715"/>
    <cellStyle name="Ç¥ÁØ_¼±ÅõÀç°í_³»ºÎ°èÈ¹´ë ÃßÁ¤Â÷ÀÌ " xfId="3716"/>
    <cellStyle name="C￥AØ_¼±AoAc°i_³≫ºI°eE¹´e AßA¤A÷AI " xfId="3717"/>
    <cellStyle name="Ç¥ÁØ_¼ÕÀÍÂ÷ (2)_1_³»ºÎ°èÈ¹´ë ÃßÁ¤Â÷ÀÌ " xfId="3718"/>
    <cellStyle name="C￥AØ_¼OAIA÷ (2)_1_³≫ºI°eE¹´e AßA¤A÷AI " xfId="3719"/>
    <cellStyle name="Ç¥ÁØ_¼ÕÀÍÂ÷ (2)_³»ºÎ°èÈ¹´ë ÃßÁ¤Â÷ÀÌ " xfId="3720"/>
    <cellStyle name="C￥AØ_¼OAIA÷ (2)_³≫ºI°eE¹´e AßA¤A÷AI " xfId="3721"/>
    <cellStyle name="Ç¥ÁØ_¼ÕÀÍÂ÷ÀÌ ¿øÀÎ " xfId="3722"/>
    <cellStyle name="C￥AØ_12¿u " xfId="3723"/>
    <cellStyle name="Ç¥ÁØ_12¿ù " xfId="3724"/>
    <cellStyle name="C￥AØ_³≫ºI°eE¹´e AßA¤A÷AI " xfId="3725"/>
    <cellStyle name="Ç¥ÁØ_5-1±¤°í " xfId="3726"/>
    <cellStyle name="C￥AØ_5-1±¤°i _●aBS계정비교" xfId="3727"/>
    <cellStyle name="Ç¥ÁØ_5-1±¤°í _●aBS계정비교" xfId="3728"/>
    <cellStyle name="C￥AØ_5-1±¤°i _●aBS계정비교 10" xfId="3729"/>
    <cellStyle name="Ç¥ÁØ_5-1±¤°í _○보고완3분기" xfId="3730"/>
    <cellStyle name="C￥AØ_5-1±¤°i _○보고완3분기 10" xfId="3731"/>
    <cellStyle name="Ç¥ÁØ_5-1±¤°í _○보고완3분기 10" xfId="3732"/>
    <cellStyle name="C￥AØ_5-1±¤°i _○보고완3분기 11" xfId="3733"/>
    <cellStyle name="Ç¥ÁØ_5-1±¤°í _○보고완3분기 11" xfId="3734"/>
    <cellStyle name="C￥AØ_5-1±¤°i _○보고완3분기 12" xfId="3735"/>
    <cellStyle name="Ç¥ÁØ_5-1±¤°í _○보고완3분기 12" xfId="3736"/>
    <cellStyle name="C￥AØ_5-1±¤°i _○보고완3분기 13" xfId="3737"/>
    <cellStyle name="Ç¥ÁØ_5-1±¤°í _○보고완3분기 13" xfId="3738"/>
    <cellStyle name="C￥AØ_5-1±¤°i _○보고완3분기 14" xfId="3739"/>
    <cellStyle name="Ç¥ÁØ_5-1±¤°í _○보고완3분기 14" xfId="3740"/>
    <cellStyle name="C￥AØ_5-1±¤°i _○보고완3분기 15" xfId="3741"/>
    <cellStyle name="Ç¥ÁØ_5-1±¤°í _○보고완3분기 15" xfId="3742"/>
    <cellStyle name="C￥AØ_5-1±¤°i _○보고완3분기 2" xfId="3743"/>
    <cellStyle name="Ç¥ÁØ_5-1±¤°í _○보고완3분기 2" xfId="3744"/>
    <cellStyle name="C￥AØ_5-1±¤°i _○보고완3분기 2 2" xfId="3745"/>
    <cellStyle name="Ç¥ÁØ_5-1±¤°í _○보고완3분기 3" xfId="3746"/>
    <cellStyle name="C￥AØ_5-1±¤°i _○보고완3분기 4" xfId="3747"/>
    <cellStyle name="Ç¥ÁØ_5-1±¤°í _○보고완3분기 4" xfId="3748"/>
    <cellStyle name="C￥AØ_5-1±¤°i _○보고완3분기 5" xfId="3749"/>
    <cellStyle name="Ç¥ÁØ_5-1±¤°í _○보고완3분기 5" xfId="3750"/>
    <cellStyle name="C￥AØ_5-1±¤°i _○보고완3분기 6" xfId="3751"/>
    <cellStyle name="Ç¥ÁØ_5-1±¤°í _○보고완3분기 6" xfId="3752"/>
    <cellStyle name="C￥AØ_5-1±¤°i _○보고완3분기 7" xfId="3753"/>
    <cellStyle name="Ç¥ÁØ_5-1±¤°í _○보고완3분기 7" xfId="3754"/>
    <cellStyle name="C￥AØ_5-1±¤°i _○보고완3분기 8" xfId="3755"/>
    <cellStyle name="Ç¥ÁØ_5-1±¤°í _○보고완3분기 8" xfId="3756"/>
    <cellStyle name="C￥AØ_5-1±¤°i _○보고완3분기 9" xfId="3757"/>
    <cellStyle name="Ç¥ÁØ_5-1±¤°í _○보고완3분기 9" xfId="3758"/>
    <cellStyle name="C￥AØ_5-1±¤°i _○보고완3분기_당좌자산" xfId="3759"/>
    <cellStyle name="Ç¥ÁØ_5-1±¤°í _○보고완3분기_당좌자산" xfId="3760"/>
    <cellStyle name="C￥AØ_5-1±¤°i _○보고완3분기_당좌자산 2" xfId="3761"/>
    <cellStyle name="Ç¥ÁØ_5-1±¤°í _02.12.대손세액xls" xfId="3762"/>
    <cellStyle name="C￥AØ_5-1±¤°i _02.12.대손세액xls 10" xfId="3763"/>
    <cellStyle name="Ç¥ÁØ_5-1±¤°í _34대손충당금완" xfId="3764"/>
    <cellStyle name="C￥AØ_5-1±¤°i _34대손충당금완 10" xfId="3765"/>
    <cellStyle name="Ç¥ÁØ_5-1±¤°í _34대손충당금완 10" xfId="3766"/>
    <cellStyle name="C￥AØ_5-1±¤°i _34대손충당금완 11" xfId="3767"/>
    <cellStyle name="Ç¥ÁØ_5-1±¤°í _34대손충당금완 11" xfId="3768"/>
    <cellStyle name="C￥AØ_5-1±¤°i _34대손충당금완 12" xfId="3769"/>
    <cellStyle name="Ç¥ÁØ_5-1±¤°í _34대손충당금완 12" xfId="3770"/>
    <cellStyle name="C￥AØ_5-1±¤°i _34대손충당금완 13" xfId="3771"/>
    <cellStyle name="Ç¥ÁØ_5-1±¤°í _34대손충당금완 13" xfId="3772"/>
    <cellStyle name="C￥AØ_5-1±¤°i _34대손충당금완 14" xfId="3773"/>
    <cellStyle name="Ç¥ÁØ_5-1±¤°í _34대손충당금완 14" xfId="3774"/>
    <cellStyle name="C￥AØ_5-1±¤°i _34대손충당금완 15" xfId="3775"/>
    <cellStyle name="Ç¥ÁØ_5-1±¤°í _34대손충당금완 15" xfId="3776"/>
    <cellStyle name="C￥AØ_5-1±¤°i _34대손충당금완 2" xfId="3777"/>
    <cellStyle name="Ç¥ÁØ_5-1±¤°í _34대손충당금완 2" xfId="3778"/>
    <cellStyle name="C￥AØ_5-1±¤°i _34대손충당금완 2 2" xfId="3779"/>
    <cellStyle name="Ç¥ÁØ_5-1±¤°í _34대손충당금완 3" xfId="3780"/>
    <cellStyle name="C￥AØ_5-1±¤°i _34대손충당금완 4" xfId="3781"/>
    <cellStyle name="Ç¥ÁØ_5-1±¤°í _34대손충당금완 4" xfId="3782"/>
    <cellStyle name="C￥AØ_5-1±¤°i _34대손충당금완 5" xfId="3783"/>
    <cellStyle name="Ç¥ÁØ_5-1±¤°í _34대손충당금완 5" xfId="3784"/>
    <cellStyle name="C￥AØ_5-1±¤°i _34대손충당금완 6" xfId="3785"/>
    <cellStyle name="Ç¥ÁØ_5-1±¤°í _34대손충당금완 6" xfId="3786"/>
    <cellStyle name="C￥AØ_5-1±¤°i _34대손충당금완 7" xfId="3787"/>
    <cellStyle name="Ç¥ÁØ_5-1±¤°í _34대손충당금완 7" xfId="3788"/>
    <cellStyle name="C￥AØ_5-1±¤°i _34대손충당금완 8" xfId="3789"/>
    <cellStyle name="Ç¥ÁØ_5-1±¤°í _34대손충당금완 8" xfId="3790"/>
    <cellStyle name="C￥AØ_5-1±¤°i _34대손충당금완 9" xfId="3791"/>
    <cellStyle name="Ç¥ÁØ_5-1±¤°í _34대손충당금완 9" xfId="3792"/>
    <cellStyle name="C￥AØ_5-1±¤°i _34대손충당금완_당좌자산" xfId="3793"/>
    <cellStyle name="Ç¥ÁØ_5-1±¤°í _34대손충당금완_당좌자산" xfId="3794"/>
    <cellStyle name="C￥AØ_5-1±¤°i _34대손충당금완_당좌자산 2" xfId="3795"/>
    <cellStyle name="Ç¥ÁØ_5-1±¤°í _34현할차(장기성채권)" xfId="3796"/>
    <cellStyle name="C￥AØ_5-1±¤°i _34현할차(장기성채권) 10" xfId="3797"/>
    <cellStyle name="Ç¥ÁØ_5-1±¤°í _34현할차(장기성채권) 10" xfId="3798"/>
    <cellStyle name="C￥AØ_5-1±¤°i _34현할차(장기성채권) 11" xfId="3799"/>
    <cellStyle name="Ç¥ÁØ_5-1±¤°í _34현할차(장기성채권) 11" xfId="3800"/>
    <cellStyle name="C￥AØ_5-1±¤°i _34현할차(장기성채권) 12" xfId="3801"/>
    <cellStyle name="Ç¥ÁØ_5-1±¤°í _34현할차(장기성채권) 12" xfId="3802"/>
    <cellStyle name="C￥AØ_5-1±¤°i _34현할차(장기성채권) 13" xfId="3803"/>
    <cellStyle name="Ç¥ÁØ_5-1±¤°í _34현할차(장기성채권) 13" xfId="3804"/>
    <cellStyle name="C￥AØ_5-1±¤°i _34현할차(장기성채권) 14" xfId="3805"/>
    <cellStyle name="Ç¥ÁØ_5-1±¤°í _34현할차(장기성채권) 14" xfId="3806"/>
    <cellStyle name="C￥AØ_5-1±¤°i _34현할차(장기성채권) 15" xfId="3807"/>
    <cellStyle name="Ç¥ÁØ_5-1±¤°í _34현할차(장기성채권) 15" xfId="3808"/>
    <cellStyle name="C￥AØ_5-1±¤°i _34현할차(장기성채권) 2" xfId="3809"/>
    <cellStyle name="Ç¥ÁØ_5-1±¤°í _34현할차(장기성채권) 2" xfId="3810"/>
    <cellStyle name="C￥AØ_5-1±¤°i _34현할차(장기성채권) 2 2" xfId="3811"/>
    <cellStyle name="Ç¥ÁØ_5-1±¤°í _34현할차(장기성채권) 3" xfId="3812"/>
    <cellStyle name="C￥AØ_5-1±¤°i _34현할차(장기성채권) 4" xfId="3813"/>
    <cellStyle name="Ç¥ÁØ_5-1±¤°í _34현할차(장기성채권) 4" xfId="3814"/>
    <cellStyle name="C￥AØ_5-1±¤°i _34현할차(장기성채권) 5" xfId="3815"/>
    <cellStyle name="Ç¥ÁØ_5-1±¤°í _34현할차(장기성채권) 5" xfId="3816"/>
    <cellStyle name="C￥AØ_5-1±¤°i _34현할차(장기성채권) 6" xfId="3817"/>
    <cellStyle name="Ç¥ÁØ_5-1±¤°í _34현할차(장기성채권) 6" xfId="3818"/>
    <cellStyle name="C￥AØ_5-1±¤°i _34현할차(장기성채권) 7" xfId="3819"/>
    <cellStyle name="Ç¥ÁØ_5-1±¤°í _34현할차(장기성채권) 7" xfId="3820"/>
    <cellStyle name="C￥AØ_5-1±¤°i _34현할차(장기성채권) 8" xfId="3821"/>
    <cellStyle name="Ç¥ÁØ_5-1±¤°í _34현할차(장기성채권) 8" xfId="3822"/>
    <cellStyle name="C￥AØ_5-1±¤°i _34현할차(장기성채권) 9" xfId="3823"/>
    <cellStyle name="Ç¥ÁØ_5-1±¤°í _34현할차(장기성채권) 9" xfId="3824"/>
    <cellStyle name="C￥AØ_5-1±¤°i _44현할차(장기성채권)" xfId="3825"/>
    <cellStyle name="Ç¥ÁØ_5-1±¤°í _44현할차(장기성채권)" xfId="3826"/>
    <cellStyle name="C￥AØ_5-1±¤°i _44현할차(장기성채권) 2" xfId="3827"/>
    <cellStyle name="Ç¥ÁØ_5-1±¤°í _44현할차(장기성채권) 2" xfId="3828"/>
    <cellStyle name="C￥AØ_5-1±¤°i _44현할차(장기성채권) 2 2" xfId="3829"/>
    <cellStyle name="Ç¥ÁØ_5-1±¤°í _44현할차(장기성채권) 3" xfId="3830"/>
    <cellStyle name="C￥AØ_5-1±¤°i _44현할차(장기성채권) 4" xfId="3831"/>
    <cellStyle name="Ç¥ÁØ_5-1±¤°í _44현할차(장기성채권) 4" xfId="3832"/>
    <cellStyle name="C￥AØ_5-1±¤°i _44현할차(장기성채권) 5" xfId="3833"/>
    <cellStyle name="Ç¥ÁØ_5-1±¤°í _44현할차(장기성채권) 5" xfId="3834"/>
    <cellStyle name="C￥AØ_5-1±¤°i _44현할차(장기성채권) 6" xfId="3835"/>
    <cellStyle name="Ç¥ÁØ_5-1±¤°í _44현할차(장기성채권) 6" xfId="3836"/>
    <cellStyle name="C￥AØ_5-1±¤°i _44현할차(장기성채권) 7" xfId="3837"/>
    <cellStyle name="Ç¥ÁØ_5-1±¤°í _44현할차(장기성채권) 7" xfId="3838"/>
    <cellStyle name="C￥AØ_5-1±¤°i _6RCB1 " xfId="3839"/>
    <cellStyle name="Ç¥ÁØ_5-1±¤°í _결산보고-2003120" xfId="3840"/>
    <cellStyle name="C￥AØ_5-1±¤°i _대손설정3분기" xfId="3841"/>
    <cellStyle name="Ç¥ÁØ_5-1±¤°í _대손설정3분기" xfId="3842"/>
    <cellStyle name="C￥AØ_5-1±¤°i _대손설정3분기 10" xfId="3843"/>
    <cellStyle name="Ç¥ÁØ_5-1±¤°í _대손설정3분기 10" xfId="3844"/>
    <cellStyle name="C￥AØ_5-1±¤°i _대손설정3분기 11" xfId="3845"/>
    <cellStyle name="Ç¥ÁØ_5-1±¤°í _대손설정3분기 11" xfId="3846"/>
    <cellStyle name="C￥AØ_5-1±¤°i _대손설정3분기 12" xfId="3847"/>
    <cellStyle name="Ç¥ÁØ_5-1±¤°í _대손설정3분기 12" xfId="3848"/>
    <cellStyle name="C￥AØ_5-1±¤°i _대손설정3분기 13" xfId="3849"/>
    <cellStyle name="Ç¥ÁØ_5-1±¤°í _대손설정3분기 13" xfId="3850"/>
    <cellStyle name="C￥AØ_5-1±¤°i _대손설정3분기 14" xfId="3851"/>
    <cellStyle name="Ç¥ÁØ_5-1±¤°í _대손설정3분기 14" xfId="3852"/>
    <cellStyle name="C￥AØ_5-1±¤°i _대손설정3분기 15" xfId="3853"/>
    <cellStyle name="Ç¥ÁØ_5-1±¤°í _대손설정3분기 15" xfId="3854"/>
    <cellStyle name="C￥AØ_5-1±¤°i _대손설정3분기 2" xfId="3855"/>
    <cellStyle name="Ç¥ÁØ_5-1±¤°í _대손설정3분기 2" xfId="3856"/>
    <cellStyle name="C￥AØ_5-1±¤°i _대손설정3분기 2 2" xfId="3857"/>
    <cellStyle name="Ç¥ÁØ_5-1±¤°í _대손설정3분기 3" xfId="3858"/>
    <cellStyle name="C￥AØ_5-1±¤°i _대손설정3분기 4" xfId="3859"/>
    <cellStyle name="Ç¥ÁØ_5-1±¤°í _대손설정3분기 4" xfId="3860"/>
    <cellStyle name="C￥AØ_5-1±¤°i _대손설정3분기 5" xfId="3861"/>
    <cellStyle name="Ç¥ÁØ_5-1±¤°í _대손설정3분기 5" xfId="3862"/>
    <cellStyle name="C￥AØ_5-1±¤°i _대손설정3분기 6" xfId="3863"/>
    <cellStyle name="Ç¥ÁØ_5-1±¤°í _대손설정3분기 6" xfId="3864"/>
    <cellStyle name="C￥AØ_5-1±¤°i _대손설정3분기 7" xfId="3865"/>
    <cellStyle name="Ç¥ÁØ_5-1±¤°í _대손설정3분기 7" xfId="3866"/>
    <cellStyle name="C￥AØ_5-1±¤°i _대손설정3분기 8" xfId="3867"/>
    <cellStyle name="Ç¥ÁØ_5-1±¤°í _대손설정3분기 8" xfId="3868"/>
    <cellStyle name="C￥AØ_5-1±¤°i _대손설정3분기 9" xfId="3869"/>
    <cellStyle name="Ç¥ÁØ_5-1±¤°í _대손설정3분기 9" xfId="3870"/>
    <cellStyle name="C￥AØ_5-1±¤°i _배당가능익(잉여금처분)" xfId="3871"/>
    <cellStyle name="Ç¥ÁØ_5-1±¤°í _배당가능익(잉여금처분)" xfId="3872"/>
    <cellStyle name="C￥AØ_5-1±¤°i _배당가능익(잉여금처분) 2" xfId="3873"/>
    <cellStyle name="Ç¥ÁØ_5-1±¤°í _상각" xfId="3874"/>
    <cellStyle name="C￥AØ_5-1±¤°i _상각 10" xfId="3875"/>
    <cellStyle name="Ç¥ÁØ_5-1±¤°í _상각(용)" xfId="3876"/>
    <cellStyle name="C￥AØ_5-1±¤°i _상각(용) 10" xfId="3877"/>
    <cellStyle name="Ç¥ÁØ_5-1±¤°í _상각(용) 10" xfId="3878"/>
    <cellStyle name="C￥AØ_5-1±¤°i _상각(용) 11" xfId="3879"/>
    <cellStyle name="Ç¥ÁØ_5-1±¤°í _상각(용) 11" xfId="3880"/>
    <cellStyle name="C￥AØ_5-1±¤°i _상각(용) 12" xfId="3881"/>
    <cellStyle name="Ç¥ÁØ_5-1±¤°í _상각(용) 12" xfId="3882"/>
    <cellStyle name="C￥AØ_5-1±¤°i _상각(용) 13" xfId="3883"/>
    <cellStyle name="Ç¥ÁØ_5-1±¤°í _상각(용) 13" xfId="3884"/>
    <cellStyle name="C￥AØ_5-1±¤°i _상각(용) 14" xfId="3885"/>
    <cellStyle name="Ç¥ÁØ_5-1±¤°í _상각(용) 14" xfId="3886"/>
    <cellStyle name="C￥AØ_5-1±¤°i _상각(용) 15" xfId="3887"/>
    <cellStyle name="Ç¥ÁØ_5-1±¤°í _상각(용) 15" xfId="3888"/>
    <cellStyle name="C￥AØ_5-1±¤°i _상각(용) 2" xfId="3889"/>
    <cellStyle name="Ç¥ÁØ_5-1±¤°í _상각(용) 2" xfId="3890"/>
    <cellStyle name="C￥AØ_5-1±¤°i _상각(용) 2 2" xfId="3891"/>
    <cellStyle name="Ç¥ÁØ_5-1±¤°í _상각(용) 3" xfId="3892"/>
    <cellStyle name="C￥AØ_5-1±¤°i _상각(용) 4" xfId="3893"/>
    <cellStyle name="Ç¥ÁØ_5-1±¤°í _상각(용) 4" xfId="3894"/>
    <cellStyle name="C￥AØ_5-1±¤°i _상각(용) 5" xfId="3895"/>
    <cellStyle name="Ç¥ÁØ_5-1±¤°í _상각(용) 5" xfId="3896"/>
    <cellStyle name="C￥AØ_5-1±¤°i _상각(용) 6" xfId="3897"/>
    <cellStyle name="Ç¥ÁØ_5-1±¤°í _상각(용) 6" xfId="3898"/>
    <cellStyle name="C￥AØ_5-1±¤°i _상각(용) 7" xfId="3899"/>
    <cellStyle name="Ç¥ÁØ_5-1±¤°í _상각(용) 7" xfId="3900"/>
    <cellStyle name="C￥AØ_5-1±¤°i _상각(용) 8" xfId="3901"/>
    <cellStyle name="Ç¥ÁØ_5-1±¤°í _상각(용) 8" xfId="3902"/>
    <cellStyle name="C￥AØ_5-1±¤°i _상각(용) 9" xfId="3903"/>
    <cellStyle name="Ç¥ÁØ_5-1±¤°í _상각(용) 9" xfId="3904"/>
    <cellStyle name="C￥AØ_5-1±¤°i _상각_●11BS계정비교" xfId="3905"/>
    <cellStyle name="Ç¥ÁØ_5-1±¤°í _상각_●11BS계정비교" xfId="3906"/>
    <cellStyle name="C￥AØ_5-1±¤°i _상각_●11BS계정비교 2" xfId="3907"/>
    <cellStyle name="Ç¥ÁØ_5-1±¤°í _상각_●11BS계정비교 2" xfId="3908"/>
    <cellStyle name="C￥AØ_5-1±¤°i _상각_●11BS계정비교 2 2" xfId="3909"/>
    <cellStyle name="Ç¥ÁØ_5-1±¤°í _상각_●11BS계정비교 3" xfId="3910"/>
    <cellStyle name="C￥AØ_5-1±¤°i _상각_●11BS계정비교 4" xfId="3911"/>
    <cellStyle name="Ç¥ÁØ_5-1±¤°í _상각_●11BS계정비교 4" xfId="3912"/>
    <cellStyle name="C￥AØ_5-1±¤°i _상각_●11BS계정비교 5" xfId="3913"/>
    <cellStyle name="Ç¥ÁØ_5-1±¤°í _상각_●11BS계정비교 5" xfId="3914"/>
    <cellStyle name="C￥AØ_5-1±¤°i _상각_●11BS계정비교 6" xfId="3915"/>
    <cellStyle name="Ç¥ÁØ_5-1±¤°í _상각_●11BS계정비교 6" xfId="3916"/>
    <cellStyle name="C￥AØ_5-1±¤°i _상각_●11BS계정비교 7" xfId="3917"/>
    <cellStyle name="Ç¥ÁØ_5-1±¤°í _상각_●11BS계정비교 7" xfId="3918"/>
    <cellStyle name="C￥AØ_5-1±¤°i _상각_●6월결산전표내역정리" xfId="3919"/>
    <cellStyle name="Ç¥ÁØ_5-1±¤°í _상각_●6월결산전표내역정리" xfId="3920"/>
    <cellStyle name="C￥AØ_5-1±¤°i _상각_●6월결산전표내역정리 2" xfId="3921"/>
    <cellStyle name="Ç¥ÁØ_5-1±¤°í _상각_●6월결산전표내역정리 2" xfId="3922"/>
    <cellStyle name="C￥AØ_5-1±¤°i _상각_●6월결산전표내역정리 2 2" xfId="3923"/>
    <cellStyle name="Ç¥ÁØ_5-1±¤°í _상각_●6월결산전표내역정리 3" xfId="3924"/>
    <cellStyle name="C￥AØ_5-1±¤°i _상각_●6월결산전표내역정리 4" xfId="3925"/>
    <cellStyle name="Ç¥ÁØ_5-1±¤°í _상각_●6월결산전표내역정리 4" xfId="3926"/>
    <cellStyle name="C￥AØ_5-1±¤°i _상각_●6월결산전표내역정리 5" xfId="3927"/>
    <cellStyle name="Ç¥ÁØ_5-1±¤°í _상각_●6월결산전표내역정리 5" xfId="3928"/>
    <cellStyle name="C￥AØ_5-1±¤°i _상각_●6월결산전표내역정리 6" xfId="3929"/>
    <cellStyle name="Ç¥ÁØ_5-1±¤°í _상각_●6월결산전표내역정리 6" xfId="3930"/>
    <cellStyle name="C￥AØ_5-1±¤°i _상각_●6월결산전표내역정리 7" xfId="3931"/>
    <cellStyle name="Ç¥ÁØ_5-1±¤°í _상각_●6월결산전표내역정리 7" xfId="3932"/>
    <cellStyle name="C￥AØ_5-1±¤°i _상각_●aBS계정비교" xfId="3933"/>
    <cellStyle name="Ç¥ÁØ_5-1±¤°í _상각_●aBS계정비교" xfId="3934"/>
    <cellStyle name="C￥AØ_5-1±¤°i _상각_●aBS계정비교 2" xfId="3935"/>
    <cellStyle name="Ç¥ÁØ_5-1±¤°í _상각_●분석적검토" xfId="3936"/>
    <cellStyle name="C￥AØ_5-1±¤°i _상각_●분석적검토 10" xfId="3937"/>
    <cellStyle name="Ç¥ÁØ_5-1±¤°í _상각_●분석적검토 10" xfId="3938"/>
    <cellStyle name="C￥AØ_5-1±¤°i _상각_●분석적검토 11" xfId="3939"/>
    <cellStyle name="Ç¥ÁØ_5-1±¤°í _상각_●분석적검토 11" xfId="3940"/>
    <cellStyle name="C￥AØ_5-1±¤°i _상각_●분석적검토 12" xfId="3941"/>
    <cellStyle name="Ç¥ÁØ_5-1±¤°í _상각_●분석적검토 12" xfId="3942"/>
    <cellStyle name="C￥AØ_5-1±¤°i _상각_●분석적검토 13" xfId="3943"/>
    <cellStyle name="Ç¥ÁØ_5-1±¤°í _상각_●분석적검토 13" xfId="3944"/>
    <cellStyle name="C￥AØ_5-1±¤°i _상각_●분석적검토 14" xfId="3945"/>
    <cellStyle name="Ç¥ÁØ_5-1±¤°í _상각_●분석적검토 14" xfId="3946"/>
    <cellStyle name="C￥AØ_5-1±¤°i _상각_●분석적검토 15" xfId="3947"/>
    <cellStyle name="Ç¥ÁØ_5-1±¤°í _상각_●분석적검토 15" xfId="3948"/>
    <cellStyle name="C￥AØ_5-1±¤°i _상각_●분석적검토 2" xfId="3949"/>
    <cellStyle name="Ç¥ÁØ_5-1±¤°í _상각_●분석적검토 2" xfId="3950"/>
    <cellStyle name="C￥AØ_5-1±¤°i _상각_●분석적검토 2 2" xfId="3951"/>
    <cellStyle name="Ç¥ÁØ_5-1±¤°í _상각_●분석적검토 3" xfId="3952"/>
    <cellStyle name="C￥AØ_5-1±¤°i _상각_●분석적검토 4" xfId="3953"/>
    <cellStyle name="Ç¥ÁØ_5-1±¤°í _상각_●분석적검토 4" xfId="3954"/>
    <cellStyle name="C￥AØ_5-1±¤°i _상각_●분석적검토 5" xfId="3955"/>
    <cellStyle name="Ç¥ÁØ_5-1±¤°í _상각_●분석적검토 5" xfId="3956"/>
    <cellStyle name="C￥AØ_5-1±¤°i _상각_●분석적검토 6" xfId="3957"/>
    <cellStyle name="Ç¥ÁØ_5-1±¤°í _상각_●분석적검토 6" xfId="3958"/>
    <cellStyle name="C￥AØ_5-1±¤°i _상각_●분석적검토 7" xfId="3959"/>
    <cellStyle name="Ç¥ÁØ_5-1±¤°í _상각_●분석적검토 7" xfId="3960"/>
    <cellStyle name="C￥AØ_5-1±¤°i _상각_●분석적검토 8" xfId="3961"/>
    <cellStyle name="Ç¥ÁØ_5-1±¤°í _상각_●분석적검토 8" xfId="3962"/>
    <cellStyle name="C￥AØ_5-1±¤°i _상각_●분석적검토 9" xfId="3963"/>
    <cellStyle name="Ç¥ÁØ_5-1±¤°í _상각_●분석적검토 9" xfId="3964"/>
    <cellStyle name="C￥AØ_5-1±¤°i _상각_★★3월결산전표내역정리" xfId="3965"/>
    <cellStyle name="Ç¥ÁØ_5-1±¤°í _상각_★★3월결산전표내역정리" xfId="3966"/>
    <cellStyle name="C￥AØ_5-1±¤°i _상각_★★3월결산전표내역정리 2" xfId="3967"/>
    <cellStyle name="Ç¥ÁØ_5-1±¤°í _상각_★★3월결산전표내역정리 2" xfId="3968"/>
    <cellStyle name="C￥AØ_5-1±¤°i _상각_★★3월결산전표내역정리 2 2" xfId="3969"/>
    <cellStyle name="Ç¥ÁØ_5-1±¤°í _상각_★★3월결산전표내역정리 3" xfId="3970"/>
    <cellStyle name="C￥AØ_5-1±¤°i _상각_★★3월결산전표내역정리 4" xfId="3971"/>
    <cellStyle name="Ç¥ÁØ_5-1±¤°í _상각_★★3월결산전표내역정리 4" xfId="3972"/>
    <cellStyle name="C￥AØ_5-1±¤°i _상각_★★3월결산전표내역정리 5" xfId="3973"/>
    <cellStyle name="Ç¥ÁØ_5-1±¤°í _상각_★★3월결산전표내역정리 5" xfId="3974"/>
    <cellStyle name="C￥AØ_5-1±¤°i _상각_★★3월결산전표내역정리 6" xfId="3975"/>
    <cellStyle name="Ç¥ÁØ_5-1±¤°í _상각_★★3월결산전표내역정리 6" xfId="3976"/>
    <cellStyle name="C￥AØ_5-1±¤°i _상각_★★3월결산전표내역정리 7" xfId="3977"/>
    <cellStyle name="Ç¥ÁØ_5-1±¤°í _상각_★★3월결산전표내역정리 7" xfId="3978"/>
    <cellStyle name="C￥AØ_5-1±¤°i _상각_★2004년6월BS(최종)" xfId="3979"/>
    <cellStyle name="Ç¥ÁØ_5-1±¤°í _상각_★2004년6월BS(최종)" xfId="3980"/>
    <cellStyle name="C￥AØ_5-1±¤°i _상각_★2004년6월BS(최종) 2" xfId="3981"/>
    <cellStyle name="Ç¥ÁØ_5-1±¤°í _상각_★2004년8월BS계정비교" xfId="3982"/>
    <cellStyle name="C￥AØ_5-1±¤°i _상각_★2004년8월BS계정비교 10" xfId="3983"/>
    <cellStyle name="Ç¥ÁØ_5-1±¤°í _상각_★3년3월BS계정비교" xfId="3984"/>
    <cellStyle name="C￥AØ_5-1±¤°i _상각_★3년3월BS계정비교 10" xfId="3985"/>
    <cellStyle name="Ç¥ÁØ_5-1±¤°í _상각_14분기BS계정" xfId="3986"/>
    <cellStyle name="C￥AØ_5-1±¤°i _상각_14분기BS계정 10" xfId="3987"/>
    <cellStyle name="Ç¥ÁØ_5-1±¤°í _상각_14손익" xfId="3988"/>
    <cellStyle name="C￥AØ_5-1±¤°i _상각_14손익 10" xfId="3989"/>
    <cellStyle name="Ç¥ÁØ_5-1±¤°í _상각_14손익 10" xfId="3990"/>
    <cellStyle name="C￥AØ_5-1±¤°i _상각_14손익 11" xfId="3991"/>
    <cellStyle name="Ç¥ÁØ_5-1±¤°í _상각_14손익 11" xfId="3992"/>
    <cellStyle name="C￥AØ_5-1±¤°i _상각_14손익 12" xfId="3993"/>
    <cellStyle name="Ç¥ÁØ_5-1±¤°í _상각_14손익 12" xfId="3994"/>
    <cellStyle name="C￥AØ_5-1±¤°i _상각_14손익 13" xfId="3995"/>
    <cellStyle name="Ç¥ÁØ_5-1±¤°í _상각_14손익 13" xfId="3996"/>
    <cellStyle name="C￥AØ_5-1±¤°i _상각_14손익 14" xfId="3997"/>
    <cellStyle name="Ç¥ÁØ_5-1±¤°í _상각_14손익 14" xfId="3998"/>
    <cellStyle name="C￥AØ_5-1±¤°i _상각_14손익 15" xfId="3999"/>
    <cellStyle name="Ç¥ÁØ_5-1±¤°í _상각_14손익 15" xfId="4000"/>
    <cellStyle name="C￥AØ_5-1±¤°i _상각_14손익 2" xfId="4001"/>
    <cellStyle name="Ç¥ÁØ_5-1±¤°í _상각_14손익 2" xfId="4002"/>
    <cellStyle name="C￥AØ_5-1±¤°i _상각_14손익 2 2" xfId="4003"/>
    <cellStyle name="Ç¥ÁØ_5-1±¤°í _상각_14손익 3" xfId="4004"/>
    <cellStyle name="C￥AØ_5-1±¤°i _상각_14손익 4" xfId="4005"/>
    <cellStyle name="Ç¥ÁØ_5-1±¤°í _상각_14손익 4" xfId="4006"/>
    <cellStyle name="C￥AØ_5-1±¤°i _상각_14손익 5" xfId="4007"/>
    <cellStyle name="Ç¥ÁØ_5-1±¤°í _상각_14손익 5" xfId="4008"/>
    <cellStyle name="C￥AØ_5-1±¤°i _상각_14손익 6" xfId="4009"/>
    <cellStyle name="Ç¥ÁØ_5-1±¤°í _상각_14손익 6" xfId="4010"/>
    <cellStyle name="C￥AØ_5-1±¤°i _상각_14손익 7" xfId="4011"/>
    <cellStyle name="Ç¥ÁØ_5-1±¤°í _상각_14손익 7" xfId="4012"/>
    <cellStyle name="C￥AØ_5-1±¤°i _상각_14손익 8" xfId="4013"/>
    <cellStyle name="Ç¥ÁØ_5-1±¤°í _상각_14손익 8" xfId="4014"/>
    <cellStyle name="C￥AØ_5-1±¤°i _상각_14손익 9" xfId="4015"/>
    <cellStyle name="Ç¥ÁØ_5-1±¤°í _상각_14손익 9" xfId="4016"/>
    <cellStyle name="C￥AØ_5-1±¤°i _상각_6투자자산" xfId="4017"/>
    <cellStyle name="Ç¥ÁØ_5-1±¤°í _상각_6투자자산" xfId="4018"/>
    <cellStyle name="C￥AØ_5-1±¤°i _상각_6투자자산 2" xfId="4019"/>
    <cellStyle name="Ç¥ÁØ_5-1±¤°í _상각_6투자자산 2" xfId="4020"/>
    <cellStyle name="C￥AØ_5-1±¤°i _상각_6투자자산 2 2" xfId="4021"/>
    <cellStyle name="Ç¥ÁØ_5-1±¤°í _상각_6투자자산 3" xfId="4022"/>
    <cellStyle name="C￥AØ_5-1±¤°i _상각_6투자자산 4" xfId="4023"/>
    <cellStyle name="Ç¥ÁØ_5-1±¤°í _상각_6투자자산 4" xfId="4024"/>
    <cellStyle name="C￥AØ_5-1±¤°i _상각_6투자자산 5" xfId="4025"/>
    <cellStyle name="Ç¥ÁØ_5-1±¤°í _상각_6투자자산 5" xfId="4026"/>
    <cellStyle name="C￥AØ_5-1±¤°i _상각_6투자자산 6" xfId="4027"/>
    <cellStyle name="Ç¥ÁØ_5-1±¤°í _상각_6투자자산 6" xfId="4028"/>
    <cellStyle name="C￥AØ_5-1±¤°i _상각_6투자자산 7" xfId="4029"/>
    <cellStyle name="Ç¥ÁØ_5-1±¤°í _상각_6투자자산 7" xfId="4030"/>
    <cellStyle name="C￥AØ_5-1±¤°i _상각_7월BS계정비교" xfId="4031"/>
    <cellStyle name="Ç¥ÁØ_5-1±¤°í _상각_7월BS계정비교" xfId="4032"/>
    <cellStyle name="C￥AØ_5-1±¤°i _상각_7월BS계정비교 2" xfId="4033"/>
    <cellStyle name="Ç¥ÁØ_5-1±¤°í _상각_감사후관리사항" xfId="4034"/>
    <cellStyle name="C￥AØ_5-1±¤°i _상각_감사후관리사항 10" xfId="4035"/>
    <cellStyle name="Ç¥ÁØ_5-1±¤°í _상각_기준서요약" xfId="4036"/>
    <cellStyle name="C￥AØ_5-1±¤°i _상각_기준서요약 10" xfId="4037"/>
    <cellStyle name="Ç¥ÁØ_5-1±¤°í _상각_기준서요약 10" xfId="4038"/>
    <cellStyle name="C￥AØ_5-1±¤°i _상각_기준서요약 11" xfId="4039"/>
    <cellStyle name="Ç¥ÁØ_5-1±¤°í _상각_기준서요약 11" xfId="4040"/>
    <cellStyle name="C￥AØ_5-1±¤°i _상각_기준서요약 12" xfId="4041"/>
    <cellStyle name="Ç¥ÁØ_5-1±¤°í _상각_기준서요약 12" xfId="4042"/>
    <cellStyle name="C￥AØ_5-1±¤°i _상각_기준서요약 13" xfId="4043"/>
    <cellStyle name="Ç¥ÁØ_5-1±¤°í _상각_기준서요약 13" xfId="4044"/>
    <cellStyle name="C￥AØ_5-1±¤°i _상각_기준서요약 14" xfId="4045"/>
    <cellStyle name="Ç¥ÁØ_5-1±¤°í _상각_기준서요약 14" xfId="4046"/>
    <cellStyle name="C￥AØ_5-1±¤°i _상각_기준서요약 15" xfId="4047"/>
    <cellStyle name="Ç¥ÁØ_5-1±¤°í _상각_기준서요약 15" xfId="4048"/>
    <cellStyle name="C￥AØ_5-1±¤°i _상각_기준서요약 2" xfId="4049"/>
    <cellStyle name="Ç¥ÁØ_5-1±¤°í _상각_기준서요약 2" xfId="4050"/>
    <cellStyle name="C￥AØ_5-1±¤°i _상각_기준서요약 2 2" xfId="4051"/>
    <cellStyle name="Ç¥ÁØ_5-1±¤°í _상각_기준서요약 3" xfId="4052"/>
    <cellStyle name="C￥AØ_5-1±¤°i _상각_기준서요약 4" xfId="4053"/>
    <cellStyle name="Ç¥ÁØ_5-1±¤°í _상각_기준서요약 4" xfId="4054"/>
    <cellStyle name="C￥AØ_5-1±¤°i _상각_기준서요약 5" xfId="4055"/>
    <cellStyle name="Ç¥ÁØ_5-1±¤°í _상각_기준서요약 5" xfId="4056"/>
    <cellStyle name="C￥AØ_5-1±¤°i _상각_기준서요약 6" xfId="4057"/>
    <cellStyle name="Ç¥ÁØ_5-1±¤°í _상각_기준서요약 6" xfId="4058"/>
    <cellStyle name="C￥AØ_5-1±¤°i _상각_기준서요약 7" xfId="4059"/>
    <cellStyle name="Ç¥ÁØ_5-1±¤°í _상각_기준서요약 7" xfId="4060"/>
    <cellStyle name="C￥AØ_5-1±¤°i _상각_기준서요약 8" xfId="4061"/>
    <cellStyle name="Ç¥ÁØ_5-1±¤°í _상각_기준서요약 8" xfId="4062"/>
    <cellStyle name="C￥AØ_5-1±¤°i _상각_기준서요약 9" xfId="4063"/>
    <cellStyle name="Ç¥ÁØ_5-1±¤°í _상각_기준서요약 9" xfId="4064"/>
    <cellStyle name="C￥AØ_5-1±¤°i _상각_당좌자산" xfId="4065"/>
    <cellStyle name="Ç¥ÁØ_5-1±¤°í _상각_당좌자산" xfId="4066"/>
    <cellStyle name="C￥AØ_5-1±¤°i _상각_당좌자산 2" xfId="4067"/>
    <cellStyle name="Ç¥ÁØ_5-1±¤°í _상각_대손충당금(정호)" xfId="4068"/>
    <cellStyle name="C￥AØ_5-1±¤°i _상각_대손충당금(정호) 10" xfId="4069"/>
    <cellStyle name="Ç¥ÁØ_5-1±¤°í _상각_대손충당금(정호) 10" xfId="4070"/>
    <cellStyle name="C￥AØ_5-1±¤°i _상각_대손충당금(정호) 11" xfId="4071"/>
    <cellStyle name="Ç¥ÁØ_5-1±¤°í _상각_대손충당금(정호) 11" xfId="4072"/>
    <cellStyle name="C￥AØ_5-1±¤°i _상각_대손충당금(정호) 12" xfId="4073"/>
    <cellStyle name="Ç¥ÁØ_5-1±¤°í _상각_대손충당금(정호) 12" xfId="4074"/>
    <cellStyle name="C￥AØ_5-1±¤°i _상각_대손충당금(정호) 13" xfId="4075"/>
    <cellStyle name="Ç¥ÁØ_5-1±¤°í _상각_대손충당금(정호) 13" xfId="4076"/>
    <cellStyle name="C￥AØ_5-1±¤°i _상각_대손충당금(정호) 14" xfId="4077"/>
    <cellStyle name="Ç¥ÁØ_5-1±¤°í _상각_대손충당금(정호) 14" xfId="4078"/>
    <cellStyle name="C￥AØ_5-1±¤°i _상각_대손충당금(정호) 15" xfId="4079"/>
    <cellStyle name="Ç¥ÁØ_5-1±¤°í _상각_대손충당금(정호) 15" xfId="4080"/>
    <cellStyle name="C￥AØ_5-1±¤°i _상각_대손충당금(정호) 2" xfId="4081"/>
    <cellStyle name="Ç¥ÁØ_5-1±¤°í _상각_대손충당금(정호) 2" xfId="4082"/>
    <cellStyle name="C￥AØ_5-1±¤°i _상각_대손충당금(정호) 2 2" xfId="4083"/>
    <cellStyle name="Ç¥ÁØ_5-1±¤°í _상각_대손충당금(정호) 3" xfId="4084"/>
    <cellStyle name="C￥AØ_5-1±¤°i _상각_대손충당금(정호) 4" xfId="4085"/>
    <cellStyle name="Ç¥ÁØ_5-1±¤°í _상각_대손충당금(정호) 4" xfId="4086"/>
    <cellStyle name="C￥AØ_5-1±¤°i _상각_대손충당금(정호) 5" xfId="4087"/>
    <cellStyle name="Ç¥ÁØ_5-1±¤°í _상각_대손충당금(정호) 5" xfId="4088"/>
    <cellStyle name="C￥AØ_5-1±¤°i _상각_대손충당금(정호) 6" xfId="4089"/>
    <cellStyle name="Ç¥ÁØ_5-1±¤°í _상각_대손충당금(정호) 6" xfId="4090"/>
    <cellStyle name="C￥AØ_5-1±¤°i _상각_대손충당금(정호) 7" xfId="4091"/>
    <cellStyle name="Ç¥ÁØ_5-1±¤°í _상각_대손충당금(정호) 7" xfId="4092"/>
    <cellStyle name="C￥AØ_5-1±¤°i _상각_대손충당금(정호) 8" xfId="4093"/>
    <cellStyle name="Ç¥ÁØ_5-1±¤°í _상각_대손충당금(정호) 8" xfId="4094"/>
    <cellStyle name="C￥AØ_5-1±¤°i _상각_대손충당금(정호) 9" xfId="4095"/>
    <cellStyle name="Ç¥ÁØ_5-1±¤°í _상각_대손충당금(정호) 9" xfId="4096"/>
    <cellStyle name="C￥AØ_5-1±¤°i _상각_반기" xfId="4097"/>
    <cellStyle name="Ç¥ÁØ_5-1±¤°í _상각_반기" xfId="4098"/>
    <cellStyle name="C￥AØ_5-1±¤°i _상각_반기 2" xfId="4099"/>
    <cellStyle name="Ç¥ÁØ_5-1±¤°í _상각_반기 2" xfId="4100"/>
    <cellStyle name="C￥AØ_5-1±¤°i _상각_반기 2 2" xfId="4101"/>
    <cellStyle name="Ç¥ÁØ_5-1±¤°í _상각_반기 3" xfId="4102"/>
    <cellStyle name="C￥AØ_5-1±¤°i _상각_반기 4" xfId="4103"/>
    <cellStyle name="Ç¥ÁØ_5-1±¤°í _상각_반기 4" xfId="4104"/>
    <cellStyle name="C￥AØ_5-1±¤°i _상각_반기 5" xfId="4105"/>
    <cellStyle name="Ç¥ÁØ_5-1±¤°í _상각_반기 5" xfId="4106"/>
    <cellStyle name="C￥AØ_5-1±¤°i _상각_반기 6" xfId="4107"/>
    <cellStyle name="Ç¥ÁØ_5-1±¤°í _상각_반기 6" xfId="4108"/>
    <cellStyle name="C￥AØ_5-1±¤°i _상각_반기 7" xfId="4109"/>
    <cellStyle name="Ç¥ÁØ_5-1±¤°í _상각_반기 7" xfId="4110"/>
    <cellStyle name="C￥AØ_5-1±¤°i _상각_사본 - 6월BS계정비교-200385-2003812" xfId="4111"/>
    <cellStyle name="Ç¥ÁØ_5-1±¤°í _상각_사본 - 6월BS계정비교-200385-2003812" xfId="4112"/>
    <cellStyle name="C￥AØ_5-1±¤°i _상각_사본 - 6월BS계정비교-200385-2003812 2" xfId="4113"/>
    <cellStyle name="Ç¥ÁØ_5-1±¤°í _상각_수정사항집계표" xfId="4114"/>
    <cellStyle name="C￥AØ_5-1±¤°i _상각_수정사항집계표 10" xfId="4115"/>
    <cellStyle name="Ç¥ÁØ_5-1±¤°í _상각_제시손익(02,03)" xfId="4116"/>
    <cellStyle name="C￥AØ_5-1±¤°i _상각_제시손익(02,03) 10" xfId="4117"/>
    <cellStyle name="Ç¥ÁØ_5-1±¤°í _상각_제시손익(02,03) 10" xfId="4118"/>
    <cellStyle name="C￥AØ_5-1±¤°i _상각_제시손익(02,03) 11" xfId="4119"/>
    <cellStyle name="Ç¥ÁØ_5-1±¤°í _상각_제시손익(02,03) 11" xfId="4120"/>
    <cellStyle name="C￥AØ_5-1±¤°i _상각_제시손익(02,03) 12" xfId="4121"/>
    <cellStyle name="Ç¥ÁØ_5-1±¤°í _상각_제시손익(02,03) 12" xfId="4122"/>
    <cellStyle name="C￥AØ_5-1±¤°i _상각_제시손익(02,03) 13" xfId="4123"/>
    <cellStyle name="Ç¥ÁØ_5-1±¤°í _상각_제시손익(02,03) 13" xfId="4124"/>
    <cellStyle name="C￥AØ_5-1±¤°i _상각_제시손익(02,03) 14" xfId="4125"/>
    <cellStyle name="Ç¥ÁØ_5-1±¤°í _상각_제시손익(02,03) 14" xfId="4126"/>
    <cellStyle name="C￥AØ_5-1±¤°i _상각_제시손익(02,03) 15" xfId="4127"/>
    <cellStyle name="Ç¥ÁØ_5-1±¤°í _상각_제시손익(02,03) 15" xfId="4128"/>
    <cellStyle name="C￥AØ_5-1±¤°i _상각_제시손익(02,03) 2" xfId="4129"/>
    <cellStyle name="Ç¥ÁØ_5-1±¤°í _상각_제시손익(02,03) 2" xfId="4130"/>
    <cellStyle name="C￥AØ_5-1±¤°i _상각_제시손익(02,03) 2 2" xfId="4131"/>
    <cellStyle name="Ç¥ÁØ_5-1±¤°í _상각_제시손익(02,03) 3" xfId="4132"/>
    <cellStyle name="C￥AØ_5-1±¤°i _상각_제시손익(02,03) 4" xfId="4133"/>
    <cellStyle name="Ç¥ÁØ_5-1±¤°í _상각_제시손익(02,03) 4" xfId="4134"/>
    <cellStyle name="C￥AØ_5-1±¤°i _상각_제시손익(02,03) 5" xfId="4135"/>
    <cellStyle name="Ç¥ÁØ_5-1±¤°í _상각_제시손익(02,03) 5" xfId="4136"/>
    <cellStyle name="C￥AØ_5-1±¤°i _상각_제시손익(02,03) 6" xfId="4137"/>
    <cellStyle name="Ç¥ÁØ_5-1±¤°í _상각_제시손익(02,03) 6" xfId="4138"/>
    <cellStyle name="C￥AØ_5-1±¤°i _상각_제시손익(02,03) 7" xfId="4139"/>
    <cellStyle name="Ç¥ÁØ_5-1±¤°í _상각_제시손익(02,03) 7" xfId="4140"/>
    <cellStyle name="C￥AØ_5-1±¤°i _상각_제시손익(02,03) 8" xfId="4141"/>
    <cellStyle name="Ç¥ÁØ_5-1±¤°í _상각_제시손익(02,03) 8" xfId="4142"/>
    <cellStyle name="C￥AØ_5-1±¤°i _상각_제시손익(02,03) 9" xfId="4143"/>
    <cellStyle name="Ç¥ÁØ_5-1±¤°í _상각_제시손익(02,03) 9" xfId="4144"/>
    <cellStyle name="C￥AØ_5-1±¤°i _상각_차입금증감" xfId="4145"/>
    <cellStyle name="Ç¥ÁØ_5-1±¤°í _상각_차입금증감" xfId="4146"/>
    <cellStyle name="C￥AØ_5-1±¤°i _상각_차입금증감 2" xfId="4147"/>
    <cellStyle name="Ç¥ÁØ_5-1±¤°í _상각_차입금증감 2" xfId="4148"/>
    <cellStyle name="C￥AØ_5-1±¤°i _상각_차입금증감 2 2" xfId="4149"/>
    <cellStyle name="Ç¥ÁØ_5-1±¤°í _상각_차입금증감 3" xfId="4150"/>
    <cellStyle name="C￥AØ_5-1±¤°i _상각_차입금증감 4" xfId="4151"/>
    <cellStyle name="Ç¥ÁØ_5-1±¤°í _상각_차입금증감 4" xfId="4152"/>
    <cellStyle name="C￥AØ_5-1±¤°i _상각_차입금증감 5" xfId="4153"/>
    <cellStyle name="Ç¥ÁØ_5-1±¤°í _상각_차입금증감 5" xfId="4154"/>
    <cellStyle name="C￥AØ_5-1±¤°i _상각_차입금증감 6" xfId="4155"/>
    <cellStyle name="Ç¥ÁØ_5-1±¤°í _상각_차입금증감 6" xfId="4156"/>
    <cellStyle name="C￥AØ_5-1±¤°i _상각_차입금증감 7" xfId="4157"/>
    <cellStyle name="Ç¥ÁØ_5-1±¤°í _상각_차입금증감 7" xfId="4158"/>
    <cellStyle name="C￥AØ_5-1±¤°i _상각_후순위채내역" xfId="4159"/>
    <cellStyle name="Ç¥ÁØ_5-1±¤°í _상각_후순위채내역" xfId="4160"/>
    <cellStyle name="C￥AØ_5-1±¤°i _상각_후순위채내역 2" xfId="4161"/>
    <cellStyle name="Ç¥ÁØ_5-1±¤°í _상각_후순위채내역 2" xfId="4162"/>
    <cellStyle name="C￥AØ_5-1±¤°i _상각_후순위채내역 2 2" xfId="4163"/>
    <cellStyle name="Ç¥ÁØ_5-1±¤°í _상각_후순위채내역 3" xfId="4164"/>
    <cellStyle name="C￥AØ_5-1±¤°i _상각_후순위채내역 4" xfId="4165"/>
    <cellStyle name="Ç¥ÁØ_5-1±¤°í _상각_후순위채내역 4" xfId="4166"/>
    <cellStyle name="C￥AØ_5-1±¤°i _상각_후순위채내역 5" xfId="4167"/>
    <cellStyle name="Ç¥ÁØ_5-1±¤°í _상각_후순위채내역 5" xfId="4168"/>
    <cellStyle name="C￥AØ_5-1±¤°i _상각_후순위채내역 6" xfId="4169"/>
    <cellStyle name="Ç¥ÁØ_5-1±¤°í _상각_후순위채내역 6" xfId="4170"/>
    <cellStyle name="C￥AØ_5-1±¤°i _상각_후순위채내역 7" xfId="4171"/>
    <cellStyle name="Ç¥ÁØ_5-1±¤°í _상각_후순위채내역 7" xfId="4172"/>
    <cellStyle name="C￥AØ_5-1±¤°i _상반기현할차(장기성채권)" xfId="4173"/>
    <cellStyle name="Ç¥ÁØ_5-1±¤°í _상반기현할차(장기성채권)" xfId="4174"/>
    <cellStyle name="C￥AØ_5-1±¤°i _상반기현할차(장기성채권) 2" xfId="4175"/>
    <cellStyle name="Ç¥ÁØ_5-1±¤°í _상반기현할차(장기성채권) 2" xfId="4176"/>
    <cellStyle name="C￥AØ_5-1±¤°i _상반기현할차(장기성채권) 2 2" xfId="4177"/>
    <cellStyle name="Ç¥ÁØ_5-1±¤°í _상반기현할차(장기성채권) 3" xfId="4178"/>
    <cellStyle name="C￥AØ_5-1±¤°i _상반기현할차(장기성채권) 4" xfId="4179"/>
    <cellStyle name="Ç¥ÁØ_5-1±¤°í _상반기현할차(장기성채권) 4" xfId="4180"/>
    <cellStyle name="C￥AØ_5-1±¤°i _상반기현할차(장기성채권) 5" xfId="4181"/>
    <cellStyle name="Ç¥ÁØ_5-1±¤°í _상반기현할차(장기성채권) 5" xfId="4182"/>
    <cellStyle name="C￥AØ_5-1±¤°i _상반기현할차(장기성채권) 6" xfId="4183"/>
    <cellStyle name="Ç¥ÁØ_5-1±¤°í _상반기현할차(장기성채권) 6" xfId="4184"/>
    <cellStyle name="C￥AØ_5-1±¤°i _상반기현할차(장기성채권) 7" xfId="4185"/>
    <cellStyle name="Ç¥ÁØ_5-1±¤°í _상반기현할차(장기성채권) 7" xfId="4186"/>
    <cellStyle name="C￥AØ_5-1±¤°i _손익첨부자료" xfId="4187"/>
    <cellStyle name="Ç¥ÁØ_5-1±¤°í _손익첨부자료" xfId="4188"/>
    <cellStyle name="C￥AØ_5-1±¤°i _손익첨부자료 2" xfId="4189"/>
    <cellStyle name="Ç¥ÁØ_5-1±¤°í _순천공장, 투자계획안(3차조정안)" xfId="4190"/>
    <cellStyle name="C￥AØ_5-1±¤°i _순천공장, 투자계획안(3차조정안) 10" xfId="4191"/>
    <cellStyle name="Ç¥ÁØ_5-1±¤°í _순천공장, 투자계획안(3차조정안)_투자계획" xfId="4192"/>
    <cellStyle name="C￥AØ_5-1±¤°i _순천공장, 투자계획안(3차조정안)_투자계획 10" xfId="4193"/>
    <cellStyle name="Ç¥ÁØ_5-1±¤°í _용준대손검토(장기성)" xfId="4194"/>
    <cellStyle name="C￥AØ_5-1±¤°i _용준대손검토(장기성) 10" xfId="4195"/>
    <cellStyle name="Ç¥ÁØ_5-1±¤°í _이월" xfId="4196"/>
    <cellStyle name="C￥AØ_5-1±¤°i _이월 10" xfId="4197"/>
    <cellStyle name="Ç¥ÁØ_5-1±¤°í _현재가치(1~4분기)" xfId="4198"/>
    <cellStyle name="C￥AØ_5-1±¤°i _현재가치(1~4분기) 10" xfId="4199"/>
    <cellStyle name="Ç¥ÁØ_5-1±¤°í _현재가치(1~4분기) 10" xfId="4200"/>
    <cellStyle name="C￥AØ_5-1±¤°i _현재가치(1~4분기) 11" xfId="4201"/>
    <cellStyle name="Ç¥ÁØ_5-1±¤°í _현재가치(1~4분기) 11" xfId="4202"/>
    <cellStyle name="C￥AØ_5-1±¤°i _현재가치(1~4분기) 12" xfId="4203"/>
    <cellStyle name="Ç¥ÁØ_5-1±¤°í _현재가치(1~4분기) 12" xfId="4204"/>
    <cellStyle name="C￥AØ_5-1±¤°i _현재가치(1~4분기) 13" xfId="4205"/>
    <cellStyle name="Ç¥ÁØ_5-1±¤°í _현재가치(1~4분기) 13" xfId="4206"/>
    <cellStyle name="C￥AØ_5-1±¤°i _현재가치(1~4분기) 14" xfId="4207"/>
    <cellStyle name="Ç¥ÁØ_5-1±¤°í _현재가치(1~4분기) 14" xfId="4208"/>
    <cellStyle name="C￥AØ_5-1±¤°i _현재가치(1~4분기) 15" xfId="4209"/>
    <cellStyle name="Ç¥ÁØ_5-1±¤°í _현재가치(1~4분기) 15" xfId="4210"/>
    <cellStyle name="C￥AØ_5-1±¤°i _현재가치(1~4분기) 2" xfId="4211"/>
    <cellStyle name="Ç¥ÁØ_5-1±¤°í _현재가치(1~4분기) 2" xfId="4212"/>
    <cellStyle name="C￥AØ_5-1±¤°i _현재가치(1~4분기) 2 2" xfId="4213"/>
    <cellStyle name="Ç¥ÁØ_5-1±¤°í _현재가치(1~4분기) 3" xfId="4214"/>
    <cellStyle name="C￥AØ_5-1±¤°i _현재가치(1~4분기) 4" xfId="4215"/>
    <cellStyle name="Ç¥ÁØ_5-1±¤°í _현재가치(1~4분기) 4" xfId="4216"/>
    <cellStyle name="C￥AØ_5-1±¤°i _현재가치(1~4분기) 5" xfId="4217"/>
    <cellStyle name="Ç¥ÁØ_5-1±¤°í _현재가치(1~4분기) 5" xfId="4218"/>
    <cellStyle name="C￥AØ_5-1±¤°i _현재가치(1~4분기) 6" xfId="4219"/>
    <cellStyle name="Ç¥ÁØ_5-1±¤°í _현재가치(1~4분기) 6" xfId="4220"/>
    <cellStyle name="C￥AØ_5-1±¤°i _현재가치(1~4분기) 7" xfId="4221"/>
    <cellStyle name="Ç¥ÁØ_5-1±¤°í _현재가치(1~4분기) 7" xfId="4222"/>
    <cellStyle name="C￥AØ_5-1±¤°i _현재가치(1~4분기) 8" xfId="4223"/>
    <cellStyle name="Ç¥ÁØ_5-1±¤°í _현재가치(1~4분기) 8" xfId="4224"/>
    <cellStyle name="C￥AØ_5-1±¤°i _현재가치(1~4분기) 9" xfId="4225"/>
    <cellStyle name="Ç¥ÁØ_5-1±¤°í _현재가치(1~4분기) 9" xfId="4226"/>
    <cellStyle name="C￥AØ_97°i°u´e≫o" xfId="4227"/>
    <cellStyle name="Ç¥ÁØ_Å¸»çºÐ_³»ºÎ°èÈ¹´ë ÃßÁ¤Â÷ÀÌ " xfId="4228"/>
    <cellStyle name="C￥AØ_A¸≫cºÐ_³≫ºI°eE¹´e AßA¤A÷AI " xfId="4229"/>
    <cellStyle name="Ç¥ÁØ_Àç°í°ü¸® " xfId="4230"/>
    <cellStyle name="C￥AØ_Ay°eC￥(2¿u) _●aBS계정비교" xfId="4231"/>
    <cellStyle name="Ç¥ÁØ_Áý°èÇ¥(2¿ù) _●aBS계정비교" xfId="4232"/>
    <cellStyle name="C￥AØ_Ay°eC￥(2¿u) _●aBS계정비교 10" xfId="4233"/>
    <cellStyle name="Ç¥ÁØ_Áý°èÇ¥(2¿ù) _○보고완3분기" xfId="4234"/>
    <cellStyle name="C￥AØ_Ay°eC￥(2¿u) _○보고완3분기 10" xfId="4235"/>
    <cellStyle name="Ç¥ÁØ_Áý°èÇ¥(2¿ù) _○보고완3분기 10" xfId="4236"/>
    <cellStyle name="C￥AØ_Ay°eC￥(2¿u) _○보고완3분기 11" xfId="4237"/>
    <cellStyle name="Ç¥ÁØ_Áý°èÇ¥(2¿ù) _○보고완3분기 11" xfId="4238"/>
    <cellStyle name="C￥AØ_Ay°eC￥(2¿u) _○보고완3분기 12" xfId="4239"/>
    <cellStyle name="Ç¥ÁØ_Áý°èÇ¥(2¿ù) _○보고완3분기 12" xfId="4240"/>
    <cellStyle name="C￥AØ_Ay°eC￥(2¿u) _○보고완3분기 13" xfId="4241"/>
    <cellStyle name="Ç¥ÁØ_Áý°èÇ¥(2¿ù) _○보고완3분기 13" xfId="4242"/>
    <cellStyle name="C￥AØ_Ay°eC￥(2¿u) _○보고완3분기 14" xfId="4243"/>
    <cellStyle name="Ç¥ÁØ_Áý°èÇ¥(2¿ù) _○보고완3분기 14" xfId="4244"/>
    <cellStyle name="C￥AØ_Ay°eC￥(2¿u) _○보고완3분기 15" xfId="4245"/>
    <cellStyle name="Ç¥ÁØ_Áý°èÇ¥(2¿ù) _○보고완3분기 15" xfId="4246"/>
    <cellStyle name="C￥AØ_Ay°eC￥(2¿u) _○보고완3분기 2" xfId="4247"/>
    <cellStyle name="Ç¥ÁØ_Áý°èÇ¥(2¿ù) _○보고완3분기 2" xfId="4248"/>
    <cellStyle name="C￥AØ_Ay°eC￥(2¿u) _○보고완3분기 2 2" xfId="4249"/>
    <cellStyle name="Ç¥ÁØ_Áý°èÇ¥(2¿ù) _○보고완3분기 3" xfId="4250"/>
    <cellStyle name="C￥AØ_Ay°eC￥(2¿u) _○보고완3분기 4" xfId="4251"/>
    <cellStyle name="Ç¥ÁØ_Áý°èÇ¥(2¿ù) _○보고완3분기 4" xfId="4252"/>
    <cellStyle name="C￥AØ_Ay°eC￥(2¿u) _○보고완3분기 5" xfId="4253"/>
    <cellStyle name="Ç¥ÁØ_Áý°èÇ¥(2¿ù) _○보고완3분기 5" xfId="4254"/>
    <cellStyle name="C￥AØ_Ay°eC￥(2¿u) _○보고완3분기 6" xfId="4255"/>
    <cellStyle name="Ç¥ÁØ_Áý°èÇ¥(2¿ù) _○보고완3분기 6" xfId="4256"/>
    <cellStyle name="C￥AØ_Ay°eC￥(2¿u) _○보고완3분기 7" xfId="4257"/>
    <cellStyle name="Ç¥ÁØ_Áý°èÇ¥(2¿ù) _○보고완3분기 7" xfId="4258"/>
    <cellStyle name="C￥AØ_Ay°eC￥(2¿u) _○보고완3분기 8" xfId="4259"/>
    <cellStyle name="Ç¥ÁØ_Áý°èÇ¥(2¿ù) _○보고완3분기 8" xfId="4260"/>
    <cellStyle name="C￥AØ_Ay°eC￥(2¿u) _○보고완3분기 9" xfId="4261"/>
    <cellStyle name="Ç¥ÁØ_Áý°èÇ¥(2¿ù) _○보고완3분기 9" xfId="4262"/>
    <cellStyle name="C￥AØ_Ay°eC￥(2¿u) _○보고완3분기_당좌자산" xfId="4263"/>
    <cellStyle name="Ç¥ÁØ_Áý°èÇ¥(2¿ù) _○보고완3분기_당좌자산" xfId="4264"/>
    <cellStyle name="C￥AØ_Ay°eC￥(2¿u) _○보고완3분기_당좌자산 2" xfId="4265"/>
    <cellStyle name="Ç¥ÁØ_Áý°èÇ¥(2¿ù) _02.12.대손세액xls" xfId="4266"/>
    <cellStyle name="C￥AØ_Ay°eC￥(2¿u) _02.12.대손세액xls 10" xfId="4267"/>
    <cellStyle name="Ç¥ÁØ_Áý°èÇ¥(2¿ù) _34대손충당금완" xfId="4268"/>
    <cellStyle name="C￥AØ_Ay°eC￥(2¿u) _34대손충당금완 10" xfId="4269"/>
    <cellStyle name="Ç¥ÁØ_Áý°èÇ¥(2¿ù) _34대손충당금완 10" xfId="4270"/>
    <cellStyle name="C￥AØ_Ay°eC￥(2¿u) _34대손충당금완 11" xfId="4271"/>
    <cellStyle name="Ç¥ÁØ_Áý°èÇ¥(2¿ù) _34대손충당금완 11" xfId="4272"/>
    <cellStyle name="C￥AØ_Ay°eC￥(2¿u) _34대손충당금완 12" xfId="4273"/>
    <cellStyle name="Ç¥ÁØ_Áý°èÇ¥(2¿ù) _34대손충당금완 12" xfId="4274"/>
    <cellStyle name="C￥AØ_Ay°eC￥(2¿u) _34대손충당금완 13" xfId="4275"/>
    <cellStyle name="Ç¥ÁØ_Áý°èÇ¥(2¿ù) _34대손충당금완 13" xfId="4276"/>
    <cellStyle name="C￥AØ_Ay°eC￥(2¿u) _34대손충당금완 14" xfId="4277"/>
    <cellStyle name="Ç¥ÁØ_Áý°èÇ¥(2¿ù) _34대손충당금완 14" xfId="4278"/>
    <cellStyle name="C￥AØ_Ay°eC￥(2¿u) _34대손충당금완 15" xfId="4279"/>
    <cellStyle name="Ç¥ÁØ_Áý°èÇ¥(2¿ù) _34대손충당금완 15" xfId="4280"/>
    <cellStyle name="C￥AØ_Ay°eC￥(2¿u) _34대손충당금완 2" xfId="4281"/>
    <cellStyle name="Ç¥ÁØ_Áý°èÇ¥(2¿ù) _34대손충당금완 2" xfId="4282"/>
    <cellStyle name="C￥AØ_Ay°eC￥(2¿u) _34대손충당금완 2 2" xfId="4283"/>
    <cellStyle name="Ç¥ÁØ_Áý°èÇ¥(2¿ù) _34대손충당금완 3" xfId="4284"/>
    <cellStyle name="C￥AØ_Ay°eC￥(2¿u) _34대손충당금완 4" xfId="4285"/>
    <cellStyle name="Ç¥ÁØ_Áý°èÇ¥(2¿ù) _34대손충당금완 4" xfId="4286"/>
    <cellStyle name="C￥AØ_Ay°eC￥(2¿u) _34대손충당금완 5" xfId="4287"/>
    <cellStyle name="Ç¥ÁØ_Áý°èÇ¥(2¿ù) _34대손충당금완 5" xfId="4288"/>
    <cellStyle name="C￥AØ_Ay°eC￥(2¿u) _34대손충당금완 6" xfId="4289"/>
    <cellStyle name="Ç¥ÁØ_Áý°èÇ¥(2¿ù) _34대손충당금완 6" xfId="4290"/>
    <cellStyle name="C￥AØ_Ay°eC￥(2¿u) _34대손충당금완 7" xfId="4291"/>
    <cellStyle name="Ç¥ÁØ_Áý°èÇ¥(2¿ù) _34대손충당금완 7" xfId="4292"/>
    <cellStyle name="C￥AØ_Ay°eC￥(2¿u) _34대손충당금완 8" xfId="4293"/>
    <cellStyle name="Ç¥ÁØ_Áý°èÇ¥(2¿ù) _34대손충당금완 8" xfId="4294"/>
    <cellStyle name="C￥AØ_Ay°eC￥(2¿u) _34대손충당금완 9" xfId="4295"/>
    <cellStyle name="Ç¥ÁØ_Áý°èÇ¥(2¿ù) _34대손충당금완 9" xfId="4296"/>
    <cellStyle name="C￥AØ_Ay°eC￥(2¿u) _34대손충당금완_당좌자산" xfId="4297"/>
    <cellStyle name="Ç¥ÁØ_Áý°èÇ¥(2¿ù) _34대손충당금완_당좌자산" xfId="4298"/>
    <cellStyle name="C￥AØ_Ay°eC￥(2¿u) _34대손충당금완_당좌자산 2" xfId="4299"/>
    <cellStyle name="Ç¥ÁØ_Áý°èÇ¥(2¿ù) _34현할차(장기성채권)" xfId="4300"/>
    <cellStyle name="C￥AØ_Ay°eC￥(2¿u) _34현할차(장기성채권) 10" xfId="4301"/>
    <cellStyle name="Ç¥ÁØ_Áý°èÇ¥(2¿ù) _34현할차(장기성채권) 10" xfId="4302"/>
    <cellStyle name="C￥AØ_Ay°eC￥(2¿u) _34현할차(장기성채권) 11" xfId="4303"/>
    <cellStyle name="Ç¥ÁØ_Áý°èÇ¥(2¿ù) _34현할차(장기성채권) 11" xfId="4304"/>
    <cellStyle name="C￥AØ_Ay°eC￥(2¿u) _34현할차(장기성채권) 12" xfId="4305"/>
    <cellStyle name="Ç¥ÁØ_Áý°èÇ¥(2¿ù) _34현할차(장기성채권) 12" xfId="4306"/>
    <cellStyle name="C￥AØ_Ay°eC￥(2¿u) _34현할차(장기성채권) 13" xfId="4307"/>
    <cellStyle name="Ç¥ÁØ_Áý°èÇ¥(2¿ù) _34현할차(장기성채권) 13" xfId="4308"/>
    <cellStyle name="C￥AØ_Ay°eC￥(2¿u) _34현할차(장기성채권) 14" xfId="4309"/>
    <cellStyle name="Ç¥ÁØ_Áý°èÇ¥(2¿ù) _34현할차(장기성채권) 14" xfId="4310"/>
    <cellStyle name="C￥AØ_Ay°eC￥(2¿u) _34현할차(장기성채권) 15" xfId="4311"/>
    <cellStyle name="Ç¥ÁØ_Áý°èÇ¥(2¿ù) _34현할차(장기성채권) 15" xfId="4312"/>
    <cellStyle name="C￥AØ_Ay°eC￥(2¿u) _34현할차(장기성채권) 2" xfId="4313"/>
    <cellStyle name="Ç¥ÁØ_Áý°èÇ¥(2¿ù) _34현할차(장기성채권) 2" xfId="4314"/>
    <cellStyle name="C￥AØ_Ay°eC￥(2¿u) _34현할차(장기성채권) 2 2" xfId="4315"/>
    <cellStyle name="Ç¥ÁØ_Áý°èÇ¥(2¿ù) _34현할차(장기성채권) 3" xfId="4316"/>
    <cellStyle name="C￥AØ_Ay°eC￥(2¿u) _34현할차(장기성채권) 4" xfId="4317"/>
    <cellStyle name="Ç¥ÁØ_Áý°èÇ¥(2¿ù) _34현할차(장기성채권) 4" xfId="4318"/>
    <cellStyle name="C￥AØ_Ay°eC￥(2¿u) _34현할차(장기성채권) 5" xfId="4319"/>
    <cellStyle name="Ç¥ÁØ_Áý°èÇ¥(2¿ù) _34현할차(장기성채권) 5" xfId="4320"/>
    <cellStyle name="C￥AØ_Ay°eC￥(2¿u) _34현할차(장기성채권) 6" xfId="4321"/>
    <cellStyle name="Ç¥ÁØ_Áý°èÇ¥(2¿ù) _34현할차(장기성채권) 6" xfId="4322"/>
    <cellStyle name="C￥AØ_Ay°eC￥(2¿u) _34현할차(장기성채권) 7" xfId="4323"/>
    <cellStyle name="Ç¥ÁØ_Áý°èÇ¥(2¿ù) _34현할차(장기성채권) 7" xfId="4324"/>
    <cellStyle name="C￥AØ_Ay°eC￥(2¿u) _34현할차(장기성채권) 8" xfId="4325"/>
    <cellStyle name="Ç¥ÁØ_Áý°èÇ¥(2¿ù) _34현할차(장기성채권) 8" xfId="4326"/>
    <cellStyle name="C￥AØ_Ay°eC￥(2¿u) _34현할차(장기성채권) 9" xfId="4327"/>
    <cellStyle name="Ç¥ÁØ_Áý°èÇ¥(2¿ù) _34현할차(장기성채권) 9" xfId="4328"/>
    <cellStyle name="C￥AØ_Ay°eC￥(2¿u) _44현할차(장기성채권)" xfId="4329"/>
    <cellStyle name="Ç¥ÁØ_Áý°èÇ¥(2¿ù) _44현할차(장기성채권)" xfId="4330"/>
    <cellStyle name="C￥AØ_Ay°eC￥(2¿u) _44현할차(장기성채권) 2" xfId="4331"/>
    <cellStyle name="Ç¥ÁØ_Áý°èÇ¥(2¿ù) _44현할차(장기성채권) 2" xfId="4332"/>
    <cellStyle name="C￥AØ_Ay°eC￥(2¿u) _44현할차(장기성채권) 2 2" xfId="4333"/>
    <cellStyle name="Ç¥ÁØ_Áý°èÇ¥(2¿ù) _44현할차(장기성채권) 3" xfId="4334"/>
    <cellStyle name="C￥AØ_Ay°eC￥(2¿u) _44현할차(장기성채권) 4" xfId="4335"/>
    <cellStyle name="Ç¥ÁØ_Áý°èÇ¥(2¿ù) _44현할차(장기성채권) 4" xfId="4336"/>
    <cellStyle name="C￥AØ_Ay°eC￥(2¿u) _44현할차(장기성채권) 5" xfId="4337"/>
    <cellStyle name="Ç¥ÁØ_Áý°èÇ¥(2¿ù) _44현할차(장기성채권) 5" xfId="4338"/>
    <cellStyle name="C￥AØ_Ay°eC￥(2¿u) _44현할차(장기성채권) 6" xfId="4339"/>
    <cellStyle name="Ç¥ÁØ_Áý°èÇ¥(2¿ù) _44현할차(장기성채권) 6" xfId="4340"/>
    <cellStyle name="C￥AØ_Ay°eC￥(2¿u) _44현할차(장기성채권) 7" xfId="4341"/>
    <cellStyle name="Ç¥ÁØ_Áý°èÇ¥(2¿ù) _44현할차(장기성채권) 7" xfId="4342"/>
    <cellStyle name="C￥AØ_Ay°eC￥(2¿u) _결산보고-2003120" xfId="4343"/>
    <cellStyle name="Ç¥ÁØ_Áý°èÇ¥(2¿ù) _결산보고-2003120" xfId="4344"/>
    <cellStyle name="C￥AØ_Ay°eC￥(2¿u) _결산보고-2003120 2" xfId="4345"/>
    <cellStyle name="Ç¥ÁØ_Áý°èÇ¥(2¿ù) _결산보고-2003120 2" xfId="4346"/>
    <cellStyle name="C￥AØ_Ay°eC￥(2¿u) _결산보고-2003120 2 2" xfId="4347"/>
    <cellStyle name="Ç¥ÁØ_Áý°èÇ¥(2¿ù) _결산보고-2003120 3" xfId="4348"/>
    <cellStyle name="C￥AØ_Ay°eC￥(2¿u) _결산보고-2003120 4" xfId="4349"/>
    <cellStyle name="Ç¥ÁØ_Áý°èÇ¥(2¿ù) _결산보고-2003120 4" xfId="4350"/>
    <cellStyle name="C￥AØ_Ay°eC￥(2¿u) _결산보고-2003120 5" xfId="4351"/>
    <cellStyle name="Ç¥ÁØ_Áý°èÇ¥(2¿ù) _결산보고-2003120 5" xfId="4352"/>
    <cellStyle name="C￥AØ_Ay°eC￥(2¿u) _결산보고-2003120 6" xfId="4353"/>
    <cellStyle name="Ç¥ÁØ_Áý°èÇ¥(2¿ù) _결산보고-2003120 6" xfId="4354"/>
    <cellStyle name="C￥AØ_Ay°eC￥(2¿u) _결산보고-2003120 7" xfId="4355"/>
    <cellStyle name="Ç¥ÁØ_Áý°èÇ¥(2¿ù) _결산보고-2003120 7" xfId="4356"/>
    <cellStyle name="C￥AØ_Ay°eC￥(2¿u) _결산송부(감사후)" xfId="4357"/>
    <cellStyle name="Ç¥ÁØ_Áý°èÇ¥(2¿ù) _결산송부(감사후)" xfId="4358"/>
    <cellStyle name="C￥AØ_Ay°eC￥(2¿u) _결산송부(감사후) 2" xfId="4359"/>
    <cellStyle name="Ç¥ÁØ_Áý°èÇ¥(2¿ù) _결산송부(감사후) 2" xfId="4360"/>
    <cellStyle name="C￥AØ_Ay°eC￥(2¿u) _결산송부(감사후) 2 2" xfId="4361"/>
    <cellStyle name="Ç¥ÁØ_Áý°èÇ¥(2¿ù) _결산송부(감사후) 3" xfId="4362"/>
    <cellStyle name="C￥AØ_Ay°eC￥(2¿u) _결산송부(감사후) 4" xfId="4363"/>
    <cellStyle name="Ç¥ÁØ_Áý°èÇ¥(2¿ù) _결산송부(감사후) 4" xfId="4364"/>
    <cellStyle name="C￥AØ_Ay°eC￥(2¿u) _결산송부(감사후) 5" xfId="4365"/>
    <cellStyle name="Ç¥ÁØ_Áý°èÇ¥(2¿ù) _결산송부(감사후) 5" xfId="4366"/>
    <cellStyle name="C￥AØ_Ay°eC￥(2¿u) _결산송부(감사후) 6" xfId="4367"/>
    <cellStyle name="Ç¥ÁØ_Áý°èÇ¥(2¿ù) _결산송부(감사후) 6" xfId="4368"/>
    <cellStyle name="C￥AØ_Ay°eC￥(2¿u) _결산송부(감사후) 7" xfId="4369"/>
    <cellStyle name="Ç¥ÁØ_Áý°èÇ¥(2¿ù) _결산송부(감사후) 7" xfId="4370"/>
    <cellStyle name="C￥AØ_Ay°eC￥(2¿u) _대손설정3분기" xfId="4371"/>
    <cellStyle name="Ç¥ÁØ_Áý°èÇ¥(2¿ù) _대손설정3분기" xfId="4372"/>
    <cellStyle name="C￥AØ_Ay°eC￥(2¿u) _대손설정3분기 2" xfId="4373"/>
    <cellStyle name="Ç¥ÁØ_Áý°èÇ¥(2¿ù) _대손설정3분기 2" xfId="4374"/>
    <cellStyle name="C￥AØ_Ay°eC￥(2¿u) _대손설정3분기 2 2" xfId="4375"/>
    <cellStyle name="Ç¥ÁØ_Áý°èÇ¥(2¿ù) _대손설정3분기 3" xfId="4376"/>
    <cellStyle name="C￥AØ_Ay°eC￥(2¿u) _대손설정3분기 4" xfId="4377"/>
    <cellStyle name="Ç¥ÁØ_Áý°èÇ¥(2¿ù) _대손설정3분기 4" xfId="4378"/>
    <cellStyle name="C￥AØ_Ay°eC￥(2¿u) _대손설정3분기 5" xfId="4379"/>
    <cellStyle name="Ç¥ÁØ_Áý°èÇ¥(2¿ù) _대손설정3분기 5" xfId="4380"/>
    <cellStyle name="C￥AØ_Ay°eC￥(2¿u) _대손설정3분기 6" xfId="4381"/>
    <cellStyle name="Ç¥ÁØ_Áý°èÇ¥(2¿ù) _대손설정3분기 6" xfId="4382"/>
    <cellStyle name="C￥AØ_Ay°eC￥(2¿u) _대손설정3분기 7" xfId="4383"/>
    <cellStyle name="Ç¥ÁØ_Áý°èÇ¥(2¿ù) _대손설정3분기 7" xfId="4384"/>
    <cellStyle name="C￥AØ_Ay°eC￥(2¿u) _배당가능익(잉여금처분)" xfId="4385"/>
    <cellStyle name="Ç¥ÁØ_Áý°èÇ¥(2¿ù) _배당가능익(잉여금처분)" xfId="4386"/>
    <cellStyle name="C￥AØ_Ay°eC￥(2¿u) _배당가능익(잉여금처분) 2" xfId="4387"/>
    <cellStyle name="Ç¥ÁØ_Áý°èÇ¥(2¿ù) _분기결산-2003312" xfId="4388"/>
    <cellStyle name="C￥AØ_Ay°eC￥(2¿u) _분기결산-2003312 10" xfId="4389"/>
    <cellStyle name="Ç¥ÁØ_Áý°èÇ¥(2¿ù) _분기결산-2003312 10" xfId="4390"/>
    <cellStyle name="C￥AØ_Ay°eC￥(2¿u) _분기결산-2003312 11" xfId="4391"/>
    <cellStyle name="Ç¥ÁØ_Áý°èÇ¥(2¿ù) _분기결산-2003312 11" xfId="4392"/>
    <cellStyle name="C￥AØ_Ay°eC￥(2¿u) _분기결산-2003312 12" xfId="4393"/>
    <cellStyle name="Ç¥ÁØ_Áý°èÇ¥(2¿ù) _분기결산-2003312 12" xfId="4394"/>
    <cellStyle name="C￥AØ_Ay°eC￥(2¿u) _분기결산-2003312 13" xfId="4395"/>
    <cellStyle name="Ç¥ÁØ_Áý°èÇ¥(2¿ù) _분기결산-2003312 13" xfId="4396"/>
    <cellStyle name="C￥AØ_Ay°eC￥(2¿u) _분기결산-2003312 14" xfId="4397"/>
    <cellStyle name="Ç¥ÁØ_Áý°èÇ¥(2¿ù) _분기결산-2003312 14" xfId="4398"/>
    <cellStyle name="C￥AØ_Ay°eC￥(2¿u) _분기결산-2003312 15" xfId="4399"/>
    <cellStyle name="Ç¥ÁØ_Áý°èÇ¥(2¿ù) _분기결산-2003312 15" xfId="4400"/>
    <cellStyle name="C￥AØ_Ay°eC￥(2¿u) _분기결산-2003312 2" xfId="4401"/>
    <cellStyle name="Ç¥ÁØ_Áý°èÇ¥(2¿ù) _분기결산-2003312 2" xfId="4402"/>
    <cellStyle name="C￥AØ_Ay°eC￥(2¿u) _분기결산-2003312 2 2" xfId="4403"/>
    <cellStyle name="Ç¥ÁØ_Áý°èÇ¥(2¿ù) _분기결산-2003312 3" xfId="4404"/>
    <cellStyle name="C￥AØ_Ay°eC￥(2¿u) _분기결산-2003312 4" xfId="4405"/>
    <cellStyle name="Ç¥ÁØ_Áý°èÇ¥(2¿ù) _분기결산-2003312 4" xfId="4406"/>
    <cellStyle name="C￥AØ_Ay°eC￥(2¿u) _분기결산-2003312 5" xfId="4407"/>
    <cellStyle name="Ç¥ÁØ_Áý°èÇ¥(2¿ù) _분기결산-2003312 5" xfId="4408"/>
    <cellStyle name="C￥AØ_Ay°eC￥(2¿u) _분기결산-2003312 6" xfId="4409"/>
    <cellStyle name="Ç¥ÁØ_Áý°èÇ¥(2¿ù) _분기결산-2003312 6" xfId="4410"/>
    <cellStyle name="C￥AØ_Ay°eC￥(2¿u) _분기결산-2003312 7" xfId="4411"/>
    <cellStyle name="Ç¥ÁØ_Áý°èÇ¥(2¿ù) _분기결산-2003312 7" xfId="4412"/>
    <cellStyle name="C￥AØ_Ay°eC￥(2¿u) _분기결산-2003312 8" xfId="4413"/>
    <cellStyle name="Ç¥ÁØ_Áý°èÇ¥(2¿ù) _분기결산-2003312 8" xfId="4414"/>
    <cellStyle name="C￥AØ_Ay°eC￥(2¿u) _분기결산-2003312 9" xfId="4415"/>
    <cellStyle name="Ç¥ÁØ_Áý°èÇ¥(2¿ù) _분기결산-2003312 9" xfId="4416"/>
    <cellStyle name="C￥AØ_Ay°eC￥(2¿u) _상각" xfId="4417"/>
    <cellStyle name="Ç¥ÁØ_Áý°èÇ¥(2¿ù) _상각" xfId="4418"/>
    <cellStyle name="C￥AØ_Ay°eC￥(2¿u) _상각 2" xfId="4419"/>
    <cellStyle name="Ç¥ÁØ_Áý°èÇ¥(2¿ù) _상각(용)" xfId="4420"/>
    <cellStyle name="C￥AØ_Ay°eC￥(2¿u) _상각(용) 10" xfId="4421"/>
    <cellStyle name="Ç¥ÁØ_Áý°èÇ¥(2¿ù) _상각(용) 10" xfId="4422"/>
    <cellStyle name="C￥AØ_Ay°eC￥(2¿u) _상각(용) 11" xfId="4423"/>
    <cellStyle name="Ç¥ÁØ_Áý°èÇ¥(2¿ù) _상각(용) 11" xfId="4424"/>
    <cellStyle name="C￥AØ_Ay°eC￥(2¿u) _상각(용) 12" xfId="4425"/>
    <cellStyle name="Ç¥ÁØ_Áý°èÇ¥(2¿ù) _상각(용) 12" xfId="4426"/>
    <cellStyle name="C￥AØ_Ay°eC￥(2¿u) _상각(용) 13" xfId="4427"/>
    <cellStyle name="Ç¥ÁØ_Áý°èÇ¥(2¿ù) _상각(용) 13" xfId="4428"/>
    <cellStyle name="C￥AØ_Ay°eC￥(2¿u) _상각(용) 14" xfId="4429"/>
    <cellStyle name="Ç¥ÁØ_Áý°èÇ¥(2¿ù) _상각(용) 14" xfId="4430"/>
    <cellStyle name="C￥AØ_Ay°eC￥(2¿u) _상각(용) 15" xfId="4431"/>
    <cellStyle name="Ç¥ÁØ_Áý°èÇ¥(2¿ù) _상각(용) 15" xfId="4432"/>
    <cellStyle name="C￥AØ_Ay°eC￥(2¿u) _상각(용) 2" xfId="4433"/>
    <cellStyle name="Ç¥ÁØ_Áý°èÇ¥(2¿ù) _상각(용) 2" xfId="4434"/>
    <cellStyle name="C￥AØ_Ay°eC￥(2¿u) _상각(용) 2 2" xfId="4435"/>
    <cellStyle name="Ç¥ÁØ_Áý°èÇ¥(2¿ù) _상각(용) 3" xfId="4436"/>
    <cellStyle name="C￥AØ_Ay°eC￥(2¿u) _상각(용) 4" xfId="4437"/>
    <cellStyle name="Ç¥ÁØ_Áý°èÇ¥(2¿ù) _상각(용) 4" xfId="4438"/>
    <cellStyle name="C￥AØ_Ay°eC￥(2¿u) _상각(용) 5" xfId="4439"/>
    <cellStyle name="Ç¥ÁØ_Áý°èÇ¥(2¿ù) _상각(용) 5" xfId="4440"/>
    <cellStyle name="C￥AØ_Ay°eC￥(2¿u) _상각(용) 6" xfId="4441"/>
    <cellStyle name="Ç¥ÁØ_Áý°èÇ¥(2¿ù) _상각(용) 6" xfId="4442"/>
    <cellStyle name="C￥AØ_Ay°eC￥(2¿u) _상각(용) 7" xfId="4443"/>
    <cellStyle name="Ç¥ÁØ_Áý°èÇ¥(2¿ù) _상각(용) 7" xfId="4444"/>
    <cellStyle name="C￥AØ_Ay°eC￥(2¿u) _상각(용) 8" xfId="4445"/>
    <cellStyle name="Ç¥ÁØ_Áý°èÇ¥(2¿ù) _상각(용) 8" xfId="4446"/>
    <cellStyle name="C￥AØ_Ay°eC￥(2¿u) _상각(용) 9" xfId="4447"/>
    <cellStyle name="Ç¥ÁØ_Áý°èÇ¥(2¿ù) _상각(용) 9" xfId="4448"/>
    <cellStyle name="C￥AØ_Ay°eC￥(2¿u) _상각_●11BS계정비교" xfId="4449"/>
    <cellStyle name="Ç¥ÁØ_Áý°èÇ¥(2¿ù) _상각_●11BS계정비교" xfId="4450"/>
    <cellStyle name="C￥AØ_Ay°eC￥(2¿u) _상각_●11BS계정비교 2" xfId="4451"/>
    <cellStyle name="Ç¥ÁØ_Áý°èÇ¥(2¿ù) _상각_●11BS계정비교 2" xfId="4452"/>
    <cellStyle name="C￥AØ_Ay°eC￥(2¿u) _상각_●11BS계정비교 2 2" xfId="4453"/>
    <cellStyle name="Ç¥ÁØ_Áý°èÇ¥(2¿ù) _상각_●11BS계정비교 3" xfId="4454"/>
    <cellStyle name="C￥AØ_Ay°eC￥(2¿u) _상각_●11BS계정비교 4" xfId="4455"/>
    <cellStyle name="Ç¥ÁØ_Áý°èÇ¥(2¿ù) _상각_●11BS계정비교 4" xfId="4456"/>
    <cellStyle name="C￥AØ_Ay°eC￥(2¿u) _상각_●11BS계정비교 5" xfId="4457"/>
    <cellStyle name="Ç¥ÁØ_Áý°èÇ¥(2¿ù) _상각_●11BS계정비교 5" xfId="4458"/>
    <cellStyle name="C￥AØ_Ay°eC￥(2¿u) _상각_●11BS계정비교 6" xfId="4459"/>
    <cellStyle name="Ç¥ÁØ_Áý°èÇ¥(2¿ù) _상각_●11BS계정비교 6" xfId="4460"/>
    <cellStyle name="C￥AØ_Ay°eC￥(2¿u) _상각_●11BS계정비교 7" xfId="4461"/>
    <cellStyle name="Ç¥ÁØ_Áý°èÇ¥(2¿ù) _상각_●11BS계정비교 7" xfId="4462"/>
    <cellStyle name="C￥AØ_Ay°eC￥(2¿u) _상각_●6월결산전표내역정리" xfId="4463"/>
    <cellStyle name="Ç¥ÁØ_Áý°èÇ¥(2¿ù) _상각_●6월결산전표내역정리" xfId="4464"/>
    <cellStyle name="C￥AØ_Ay°eC￥(2¿u) _상각_●6월결산전표내역정리 2" xfId="4465"/>
    <cellStyle name="Ç¥ÁØ_Áý°èÇ¥(2¿ù) _상각_●6월결산전표내역정리 2" xfId="4466"/>
    <cellStyle name="C￥AØ_Ay°eC￥(2¿u) _상각_●6월결산전표내역정리 2 2" xfId="4467"/>
    <cellStyle name="Ç¥ÁØ_Áý°èÇ¥(2¿ù) _상각_●6월결산전표내역정리 3" xfId="4468"/>
    <cellStyle name="C￥AØ_Ay°eC￥(2¿u) _상각_●6월결산전표내역정리 4" xfId="4469"/>
    <cellStyle name="Ç¥ÁØ_Áý°èÇ¥(2¿ù) _상각_●6월결산전표내역정리 4" xfId="4470"/>
    <cellStyle name="C￥AØ_Ay°eC￥(2¿u) _상각_●6월결산전표내역정리 5" xfId="4471"/>
    <cellStyle name="Ç¥ÁØ_Áý°èÇ¥(2¿ù) _상각_●6월결산전표내역정리 5" xfId="4472"/>
    <cellStyle name="C￥AØ_Ay°eC￥(2¿u) _상각_●6월결산전표내역정리 6" xfId="4473"/>
    <cellStyle name="Ç¥ÁØ_Áý°èÇ¥(2¿ù) _상각_●6월결산전표내역정리 6" xfId="4474"/>
    <cellStyle name="C￥AØ_Ay°eC￥(2¿u) _상각_●6월결산전표내역정리 7" xfId="4475"/>
    <cellStyle name="Ç¥ÁØ_Áý°èÇ¥(2¿ù) _상각_●6월결산전표내역정리 7" xfId="4476"/>
    <cellStyle name="C￥AØ_Ay°eC￥(2¿u) _상각_●aBS계정비교" xfId="4477"/>
    <cellStyle name="Ç¥ÁØ_Áý°èÇ¥(2¿ù) _상각_●aBS계정비교" xfId="4478"/>
    <cellStyle name="C￥AØ_Ay°eC￥(2¿u) _상각_●aBS계정비교 2" xfId="4479"/>
    <cellStyle name="Ç¥ÁØ_Áý°èÇ¥(2¿ù) _상각_●분석적검토" xfId="4480"/>
    <cellStyle name="C￥AØ_Ay°eC￥(2¿u) _상각_●분석적검토 10" xfId="4481"/>
    <cellStyle name="Ç¥ÁØ_Áý°èÇ¥(2¿ù) _상각_●분석적검토 10" xfId="4482"/>
    <cellStyle name="C￥AØ_Ay°eC￥(2¿u) _상각_●분석적검토 11" xfId="4483"/>
    <cellStyle name="Ç¥ÁØ_Áý°èÇ¥(2¿ù) _상각_●분석적검토 11" xfId="4484"/>
    <cellStyle name="C￥AØ_Ay°eC￥(2¿u) _상각_●분석적검토 12" xfId="4485"/>
    <cellStyle name="Ç¥ÁØ_Áý°èÇ¥(2¿ù) _상각_●분석적검토 12" xfId="4486"/>
    <cellStyle name="C￥AØ_Ay°eC￥(2¿u) _상각_●분석적검토 13" xfId="4487"/>
    <cellStyle name="Ç¥ÁØ_Áý°èÇ¥(2¿ù) _상각_●분석적검토 13" xfId="4488"/>
    <cellStyle name="C￥AØ_Ay°eC￥(2¿u) _상각_●분석적검토 14" xfId="4489"/>
    <cellStyle name="Ç¥ÁØ_Áý°èÇ¥(2¿ù) _상각_●분석적검토 14" xfId="4490"/>
    <cellStyle name="C￥AØ_Ay°eC￥(2¿u) _상각_●분석적검토 15" xfId="4491"/>
    <cellStyle name="Ç¥ÁØ_Áý°èÇ¥(2¿ù) _상각_●분석적검토 15" xfId="4492"/>
    <cellStyle name="C￥AØ_Ay°eC￥(2¿u) _상각_●분석적검토 2" xfId="4493"/>
    <cellStyle name="Ç¥ÁØ_Áý°èÇ¥(2¿ù) _상각_●분석적검토 2" xfId="4494"/>
    <cellStyle name="C￥AØ_Ay°eC￥(2¿u) _상각_●분석적검토 2 2" xfId="4495"/>
    <cellStyle name="Ç¥ÁØ_Áý°èÇ¥(2¿ù) _상각_●분석적검토 3" xfId="4496"/>
    <cellStyle name="C￥AØ_Ay°eC￥(2¿u) _상각_●분석적검토 4" xfId="4497"/>
    <cellStyle name="Ç¥ÁØ_Áý°èÇ¥(2¿ù) _상각_●분석적검토 4" xfId="4498"/>
    <cellStyle name="C￥AØ_Ay°eC￥(2¿u) _상각_●분석적검토 5" xfId="4499"/>
    <cellStyle name="Ç¥ÁØ_Áý°èÇ¥(2¿ù) _상각_●분석적검토 5" xfId="4500"/>
    <cellStyle name="C￥AØ_Ay°eC￥(2¿u) _상각_●분석적검토 6" xfId="4501"/>
    <cellStyle name="Ç¥ÁØ_Áý°èÇ¥(2¿ù) _상각_●분석적검토 6" xfId="4502"/>
    <cellStyle name="C￥AØ_Ay°eC￥(2¿u) _상각_●분석적검토 7" xfId="4503"/>
    <cellStyle name="Ç¥ÁØ_Áý°èÇ¥(2¿ù) _상각_●분석적검토 7" xfId="4504"/>
    <cellStyle name="C￥AØ_Ay°eC￥(2¿u) _상각_●분석적검토 8" xfId="4505"/>
    <cellStyle name="Ç¥ÁØ_Áý°èÇ¥(2¿ù) _상각_●분석적검토 8" xfId="4506"/>
    <cellStyle name="C￥AØ_Ay°eC￥(2¿u) _상각_●분석적검토 9" xfId="4507"/>
    <cellStyle name="Ç¥ÁØ_Áý°èÇ¥(2¿ù) _상각_●분석적검토 9" xfId="4508"/>
    <cellStyle name="C￥AØ_Ay°eC￥(2¿u) _상각_★★3월결산전표내역정리" xfId="4509"/>
    <cellStyle name="Ç¥ÁØ_Áý°èÇ¥(2¿ù) _상각_★★3월결산전표내역정리" xfId="4510"/>
    <cellStyle name="C￥AØ_Ay°eC￥(2¿u) _상각_★★3월결산전표내역정리 2" xfId="4511"/>
    <cellStyle name="Ç¥ÁØ_Áý°èÇ¥(2¿ù) _상각_★★3월결산전표내역정리 2" xfId="4512"/>
    <cellStyle name="C￥AØ_Ay°eC￥(2¿u) _상각_★★3월결산전표내역정리 2 2" xfId="4513"/>
    <cellStyle name="Ç¥ÁØ_Áý°èÇ¥(2¿ù) _상각_★★3월결산전표내역정리 3" xfId="4514"/>
    <cellStyle name="C￥AØ_Ay°eC￥(2¿u) _상각_★★3월결산전표내역정리 4" xfId="4515"/>
    <cellStyle name="Ç¥ÁØ_Áý°èÇ¥(2¿ù) _상각_★★3월결산전표내역정리 4" xfId="4516"/>
    <cellStyle name="C￥AØ_Ay°eC￥(2¿u) _상각_★★3월결산전표내역정리 5" xfId="4517"/>
    <cellStyle name="Ç¥ÁØ_Áý°èÇ¥(2¿ù) _상각_★★3월결산전표내역정리 5" xfId="4518"/>
    <cellStyle name="C￥AØ_Ay°eC￥(2¿u) _상각_★★3월결산전표내역정리 6" xfId="4519"/>
    <cellStyle name="Ç¥ÁØ_Áý°èÇ¥(2¿ù) _상각_★★3월결산전표내역정리 6" xfId="4520"/>
    <cellStyle name="C￥AØ_Ay°eC￥(2¿u) _상각_★★3월결산전표내역정리 7" xfId="4521"/>
    <cellStyle name="Ç¥ÁØ_Áý°èÇ¥(2¿ù) _상각_★★3월결산전표내역정리 7" xfId="4522"/>
    <cellStyle name="C￥AØ_Ay°eC￥(2¿u) _상각_★2004년6월BS(최종)" xfId="4523"/>
    <cellStyle name="Ç¥ÁØ_Áý°èÇ¥(2¿ù) _상각_★2004년6월BS(최종)" xfId="4524"/>
    <cellStyle name="C￥AØ_Ay°eC￥(2¿u) _상각_★2004년6월BS(최종) 2" xfId="4525"/>
    <cellStyle name="Ç¥ÁØ_Áý°èÇ¥(2¿ù) _상각_★2004년8월BS계정비교" xfId="4526"/>
    <cellStyle name="C￥AØ_Ay°eC￥(2¿u) _상각_★2004년8월BS계정비교 10" xfId="4527"/>
    <cellStyle name="Ç¥ÁØ_Áý°èÇ¥(2¿ù) _상각_★3년3월BS계정비교" xfId="4528"/>
    <cellStyle name="C￥AØ_Ay°eC￥(2¿u) _상각_★3년3월BS계정비교 10" xfId="4529"/>
    <cellStyle name="Ç¥ÁØ_Áý°èÇ¥(2¿ù) _상각_14분기BS계정" xfId="4530"/>
    <cellStyle name="C￥AØ_Ay°eC￥(2¿u) _상각_14분기BS계정 10" xfId="4531"/>
    <cellStyle name="Ç¥ÁØ_Áý°èÇ¥(2¿ù) _상각_14손익" xfId="4532"/>
    <cellStyle name="C￥AØ_Ay°eC￥(2¿u) _상각_14손익 10" xfId="4533"/>
    <cellStyle name="Ç¥ÁØ_Áý°èÇ¥(2¿ù) _상각_14손익 10" xfId="4534"/>
    <cellStyle name="C￥AØ_Ay°eC￥(2¿u) _상각_14손익 11" xfId="4535"/>
    <cellStyle name="Ç¥ÁØ_Áý°èÇ¥(2¿ù) _상각_14손익 11" xfId="4536"/>
    <cellStyle name="C￥AØ_Ay°eC￥(2¿u) _상각_14손익 12" xfId="4537"/>
    <cellStyle name="Ç¥ÁØ_Áý°èÇ¥(2¿ù) _상각_14손익 12" xfId="4538"/>
    <cellStyle name="C￥AØ_Ay°eC￥(2¿u) _상각_14손익 13" xfId="4539"/>
    <cellStyle name="Ç¥ÁØ_Áý°èÇ¥(2¿ù) _상각_14손익 13" xfId="4540"/>
    <cellStyle name="C￥AØ_Ay°eC￥(2¿u) _상각_14손익 14" xfId="4541"/>
    <cellStyle name="Ç¥ÁØ_Áý°èÇ¥(2¿ù) _상각_14손익 14" xfId="4542"/>
    <cellStyle name="C￥AØ_Ay°eC￥(2¿u) _상각_14손익 15" xfId="4543"/>
    <cellStyle name="Ç¥ÁØ_Áý°èÇ¥(2¿ù) _상각_14손익 15" xfId="4544"/>
    <cellStyle name="C￥AØ_Ay°eC￥(2¿u) _상각_14손익 2" xfId="4545"/>
    <cellStyle name="Ç¥ÁØ_Áý°èÇ¥(2¿ù) _상각_14손익 2" xfId="4546"/>
    <cellStyle name="C￥AØ_Ay°eC￥(2¿u) _상각_14손익 2 2" xfId="4547"/>
    <cellStyle name="Ç¥ÁØ_Áý°èÇ¥(2¿ù) _상각_14손익 3" xfId="4548"/>
    <cellStyle name="C￥AØ_Ay°eC￥(2¿u) _상각_14손익 4" xfId="4549"/>
    <cellStyle name="Ç¥ÁØ_Áý°èÇ¥(2¿ù) _상각_14손익 4" xfId="4550"/>
    <cellStyle name="C￥AØ_Ay°eC￥(2¿u) _상각_14손익 5" xfId="4551"/>
    <cellStyle name="Ç¥ÁØ_Áý°èÇ¥(2¿ù) _상각_14손익 5" xfId="4552"/>
    <cellStyle name="C￥AØ_Ay°eC￥(2¿u) _상각_14손익 6" xfId="4553"/>
    <cellStyle name="Ç¥ÁØ_Áý°èÇ¥(2¿ù) _상각_14손익 6" xfId="4554"/>
    <cellStyle name="C￥AØ_Ay°eC￥(2¿u) _상각_14손익 7" xfId="4555"/>
    <cellStyle name="Ç¥ÁØ_Áý°èÇ¥(2¿ù) _상각_14손익 7" xfId="4556"/>
    <cellStyle name="C￥AØ_Ay°eC￥(2¿u) _상각_14손익 8" xfId="4557"/>
    <cellStyle name="Ç¥ÁØ_Áý°èÇ¥(2¿ù) _상각_14손익 8" xfId="4558"/>
    <cellStyle name="C￥AØ_Ay°eC￥(2¿u) _상각_14손익 9" xfId="4559"/>
    <cellStyle name="Ç¥ÁØ_Áý°èÇ¥(2¿ù) _상각_14손익 9" xfId="4560"/>
    <cellStyle name="C￥AØ_Ay°eC￥(2¿u) _상각_6투자자산" xfId="4561"/>
    <cellStyle name="Ç¥ÁØ_Áý°èÇ¥(2¿ù) _상각_6투자자산" xfId="4562"/>
    <cellStyle name="C￥AØ_Ay°eC￥(2¿u) _상각_6투자자산 2" xfId="4563"/>
    <cellStyle name="Ç¥ÁØ_Áý°èÇ¥(2¿ù) _상각_6투자자산 2" xfId="4564"/>
    <cellStyle name="C￥AØ_Ay°eC￥(2¿u) _상각_6투자자산 2 2" xfId="4565"/>
    <cellStyle name="Ç¥ÁØ_Áý°èÇ¥(2¿ù) _상각_6투자자산 3" xfId="4566"/>
    <cellStyle name="C￥AØ_Ay°eC￥(2¿u) _상각_6투자자산 4" xfId="4567"/>
    <cellStyle name="Ç¥ÁØ_Áý°èÇ¥(2¿ù) _상각_6투자자산 4" xfId="4568"/>
    <cellStyle name="C￥AØ_Ay°eC￥(2¿u) _상각_6투자자산 5" xfId="4569"/>
    <cellStyle name="Ç¥ÁØ_Áý°èÇ¥(2¿ù) _상각_6투자자산 5" xfId="4570"/>
    <cellStyle name="C￥AØ_Ay°eC￥(2¿u) _상각_6투자자산 6" xfId="4571"/>
    <cellStyle name="Ç¥ÁØ_Áý°èÇ¥(2¿ù) _상각_6투자자산 6" xfId="4572"/>
    <cellStyle name="C￥AØ_Ay°eC￥(2¿u) _상각_6투자자산 7" xfId="4573"/>
    <cellStyle name="Ç¥ÁØ_Áý°èÇ¥(2¿ù) _상각_6투자자산 7" xfId="4574"/>
    <cellStyle name="C￥AØ_Ay°eC￥(2¿u) _상각_7월BS계정비교" xfId="4575"/>
    <cellStyle name="Ç¥ÁØ_Áý°èÇ¥(2¿ù) _상각_7월BS계정비교" xfId="4576"/>
    <cellStyle name="C￥AØ_Ay°eC￥(2¿u) _상각_7월BS계정비교 2" xfId="4577"/>
    <cellStyle name="Ç¥ÁØ_Áý°èÇ¥(2¿ù) _상각_감사후관리사항" xfId="4578"/>
    <cellStyle name="C￥AØ_Ay°eC￥(2¿u) _상각_감사후관리사항 10" xfId="4579"/>
    <cellStyle name="Ç¥ÁØ_Áý°èÇ¥(2¿ù) _상각_기준서요약" xfId="4580"/>
    <cellStyle name="C￥AØ_Ay°eC￥(2¿u) _상각_기준서요약 10" xfId="4581"/>
    <cellStyle name="Ç¥ÁØ_Áý°èÇ¥(2¿ù) _상각_기준서요약 10" xfId="4582"/>
    <cellStyle name="C￥AØ_Ay°eC￥(2¿u) _상각_기준서요약 11" xfId="4583"/>
    <cellStyle name="Ç¥ÁØ_Áý°èÇ¥(2¿ù) _상각_기준서요약 11" xfId="4584"/>
    <cellStyle name="C￥AØ_Ay°eC￥(2¿u) _상각_기준서요약 12" xfId="4585"/>
    <cellStyle name="Ç¥ÁØ_Áý°èÇ¥(2¿ù) _상각_기준서요약 12" xfId="4586"/>
    <cellStyle name="C￥AØ_Ay°eC￥(2¿u) _상각_기준서요약 13" xfId="4587"/>
    <cellStyle name="Ç¥ÁØ_Áý°èÇ¥(2¿ù) _상각_기준서요약 13" xfId="4588"/>
    <cellStyle name="C￥AØ_Ay°eC￥(2¿u) _상각_기준서요약 14" xfId="4589"/>
    <cellStyle name="Ç¥ÁØ_Áý°èÇ¥(2¿ù) _상각_기준서요약 14" xfId="4590"/>
    <cellStyle name="C￥AØ_Ay°eC￥(2¿u) _상각_기준서요약 15" xfId="4591"/>
    <cellStyle name="Ç¥ÁØ_Áý°èÇ¥(2¿ù) _상각_기준서요약 15" xfId="4592"/>
    <cellStyle name="C￥AØ_Ay°eC￥(2¿u) _상각_기준서요약 2" xfId="4593"/>
    <cellStyle name="Ç¥ÁØ_Áý°èÇ¥(2¿ù) _상각_기준서요약 2" xfId="4594"/>
    <cellStyle name="C￥AØ_Ay°eC￥(2¿u) _상각_기준서요약 2 2" xfId="4595"/>
    <cellStyle name="Ç¥ÁØ_Áý°èÇ¥(2¿ù) _상각_기준서요약 3" xfId="4596"/>
    <cellStyle name="C￥AØ_Ay°eC￥(2¿u) _상각_기준서요약 4" xfId="4597"/>
    <cellStyle name="Ç¥ÁØ_Áý°èÇ¥(2¿ù) _상각_기준서요약 4" xfId="4598"/>
    <cellStyle name="C￥AØ_Ay°eC￥(2¿u) _상각_기준서요약 5" xfId="4599"/>
    <cellStyle name="Ç¥ÁØ_Áý°èÇ¥(2¿ù) _상각_기준서요약 5" xfId="4600"/>
    <cellStyle name="C￥AØ_Ay°eC￥(2¿u) _상각_기준서요약 6" xfId="4601"/>
    <cellStyle name="Ç¥ÁØ_Áý°èÇ¥(2¿ù) _상각_기준서요약 6" xfId="4602"/>
    <cellStyle name="C￥AØ_Ay°eC￥(2¿u) _상각_기준서요약 7" xfId="4603"/>
    <cellStyle name="Ç¥ÁØ_Áý°èÇ¥(2¿ù) _상각_기준서요약 7" xfId="4604"/>
    <cellStyle name="C￥AØ_Ay°eC￥(2¿u) _상각_기준서요약 8" xfId="4605"/>
    <cellStyle name="Ç¥ÁØ_Áý°èÇ¥(2¿ù) _상각_기준서요약 8" xfId="4606"/>
    <cellStyle name="C￥AØ_Ay°eC￥(2¿u) _상각_기준서요약 9" xfId="4607"/>
    <cellStyle name="Ç¥ÁØ_Áý°èÇ¥(2¿ù) _상각_기준서요약 9" xfId="4608"/>
    <cellStyle name="C￥AØ_Ay°eC￥(2¿u) _상각_당좌자산" xfId="4609"/>
    <cellStyle name="Ç¥ÁØ_Áý°èÇ¥(2¿ù) _상각_당좌자산" xfId="4610"/>
    <cellStyle name="C￥AØ_Ay°eC￥(2¿u) _상각_당좌자산 2" xfId="4611"/>
    <cellStyle name="Ç¥ÁØ_Áý°èÇ¥(2¿ù) _상각_대손충당금(정호)" xfId="4612"/>
    <cellStyle name="C￥AØ_Ay°eC￥(2¿u) _상각_대손충당금(정호) 10" xfId="4613"/>
    <cellStyle name="Ç¥ÁØ_Áý°èÇ¥(2¿ù) _상각_대손충당금(정호) 10" xfId="4614"/>
    <cellStyle name="C￥AØ_Ay°eC￥(2¿u) _상각_대손충당금(정호) 11" xfId="4615"/>
    <cellStyle name="Ç¥ÁØ_Áý°èÇ¥(2¿ù) _상각_대손충당금(정호) 11" xfId="4616"/>
    <cellStyle name="C￥AØ_Ay°eC￥(2¿u) _상각_대손충당금(정호) 12" xfId="4617"/>
    <cellStyle name="Ç¥ÁØ_Áý°èÇ¥(2¿ù) _상각_대손충당금(정호) 12" xfId="4618"/>
    <cellStyle name="C￥AØ_Ay°eC￥(2¿u) _상각_대손충당금(정호) 13" xfId="4619"/>
    <cellStyle name="Ç¥ÁØ_Áý°èÇ¥(2¿ù) _상각_대손충당금(정호) 13" xfId="4620"/>
    <cellStyle name="C￥AØ_Ay°eC￥(2¿u) _상각_대손충당금(정호) 14" xfId="4621"/>
    <cellStyle name="Ç¥ÁØ_Áý°èÇ¥(2¿ù) _상각_대손충당금(정호) 14" xfId="4622"/>
    <cellStyle name="C￥AØ_Ay°eC￥(2¿u) _상각_대손충당금(정호) 15" xfId="4623"/>
    <cellStyle name="Ç¥ÁØ_Áý°èÇ¥(2¿ù) _상각_대손충당금(정호) 15" xfId="4624"/>
    <cellStyle name="C￥AØ_Ay°eC￥(2¿u) _상각_대손충당금(정호) 2" xfId="4625"/>
    <cellStyle name="Ç¥ÁØ_Áý°èÇ¥(2¿ù) _상각_대손충당금(정호) 2" xfId="4626"/>
    <cellStyle name="C￥AØ_Ay°eC￥(2¿u) _상각_대손충당금(정호) 2 2" xfId="4627"/>
    <cellStyle name="Ç¥ÁØ_Áý°èÇ¥(2¿ù) _상각_대손충당금(정호) 3" xfId="4628"/>
    <cellStyle name="C￥AØ_Ay°eC￥(2¿u) _상각_대손충당금(정호) 4" xfId="4629"/>
    <cellStyle name="Ç¥ÁØ_Áý°èÇ¥(2¿ù) _상각_대손충당금(정호) 4" xfId="4630"/>
    <cellStyle name="C￥AØ_Ay°eC￥(2¿u) _상각_대손충당금(정호) 5" xfId="4631"/>
    <cellStyle name="Ç¥ÁØ_Áý°èÇ¥(2¿ù) _상각_대손충당금(정호) 5" xfId="4632"/>
    <cellStyle name="C￥AØ_Ay°eC￥(2¿u) _상각_대손충당금(정호) 6" xfId="4633"/>
    <cellStyle name="Ç¥ÁØ_Áý°èÇ¥(2¿ù) _상각_대손충당금(정호) 6" xfId="4634"/>
    <cellStyle name="C￥AØ_Ay°eC￥(2¿u) _상각_대손충당금(정호) 7" xfId="4635"/>
    <cellStyle name="Ç¥ÁØ_Áý°èÇ¥(2¿ù) _상각_대손충당금(정호) 7" xfId="4636"/>
    <cellStyle name="C￥AØ_Ay°eC￥(2¿u) _상각_대손충당금(정호) 8" xfId="4637"/>
    <cellStyle name="Ç¥ÁØ_Áý°èÇ¥(2¿ù) _상각_대손충당금(정호) 8" xfId="4638"/>
    <cellStyle name="C￥AØ_Ay°eC￥(2¿u) _상각_대손충당금(정호) 9" xfId="4639"/>
    <cellStyle name="Ç¥ÁØ_Áý°èÇ¥(2¿ù) _상각_대손충당금(정호) 9" xfId="4640"/>
    <cellStyle name="C￥AØ_Ay°eC￥(2¿u) _상각_반기" xfId="4641"/>
    <cellStyle name="Ç¥ÁØ_Áý°èÇ¥(2¿ù) _상각_반기" xfId="4642"/>
    <cellStyle name="C￥AØ_Ay°eC￥(2¿u) _상각_반기 2" xfId="4643"/>
    <cellStyle name="Ç¥ÁØ_Áý°èÇ¥(2¿ù) _상각_반기 2" xfId="4644"/>
    <cellStyle name="C￥AØ_Ay°eC￥(2¿u) _상각_반기 2 2" xfId="4645"/>
    <cellStyle name="Ç¥ÁØ_Áý°èÇ¥(2¿ù) _상각_반기 3" xfId="4646"/>
    <cellStyle name="C￥AØ_Ay°eC￥(2¿u) _상각_반기 4" xfId="4647"/>
    <cellStyle name="Ç¥ÁØ_Áý°èÇ¥(2¿ù) _상각_반기 4" xfId="4648"/>
    <cellStyle name="C￥AØ_Ay°eC￥(2¿u) _상각_반기 5" xfId="4649"/>
    <cellStyle name="Ç¥ÁØ_Áý°èÇ¥(2¿ù) _상각_반기 5" xfId="4650"/>
    <cellStyle name="C￥AØ_Ay°eC￥(2¿u) _상각_반기 6" xfId="4651"/>
    <cellStyle name="Ç¥ÁØ_Áý°èÇ¥(2¿ù) _상각_반기 6" xfId="4652"/>
    <cellStyle name="C￥AØ_Ay°eC￥(2¿u) _상각_반기 7" xfId="4653"/>
    <cellStyle name="Ç¥ÁØ_Áý°èÇ¥(2¿ù) _상각_반기 7" xfId="4654"/>
    <cellStyle name="C￥AØ_Ay°eC￥(2¿u) _상각_사본 - 6월BS계정비교-200385-2003812" xfId="4655"/>
    <cellStyle name="Ç¥ÁØ_Áý°èÇ¥(2¿ù) _상각_사본 - 6월BS계정비교-200385-2003812" xfId="4656"/>
    <cellStyle name="C￥AØ_Ay°eC￥(2¿u) _상각_사본 - 6월BS계정비교-200385-2003812 2" xfId="4657"/>
    <cellStyle name="Ç¥ÁØ_Áý°èÇ¥(2¿ù) _상각_수정사항집계표" xfId="4658"/>
    <cellStyle name="C￥AØ_Ay°eC￥(2¿u) _상각_수정사항집계표 10" xfId="4659"/>
    <cellStyle name="Ç¥ÁØ_Áý°èÇ¥(2¿ù) _상각_제시손익(02,03)" xfId="4660"/>
    <cellStyle name="C￥AØ_Ay°eC￥(2¿u) _상각_제시손익(02,03) 10" xfId="4661"/>
    <cellStyle name="Ç¥ÁØ_Áý°èÇ¥(2¿ù) _상각_제시손익(02,03) 10" xfId="4662"/>
    <cellStyle name="C￥AØ_Ay°eC￥(2¿u) _상각_제시손익(02,03) 11" xfId="4663"/>
    <cellStyle name="Ç¥ÁØ_Áý°èÇ¥(2¿ù) _상각_제시손익(02,03) 11" xfId="4664"/>
    <cellStyle name="C￥AØ_Ay°eC￥(2¿u) _상각_제시손익(02,03) 12" xfId="4665"/>
    <cellStyle name="Ç¥ÁØ_Áý°èÇ¥(2¿ù) _상각_제시손익(02,03) 12" xfId="4666"/>
    <cellStyle name="C￥AØ_Ay°eC￥(2¿u) _상각_제시손익(02,03) 13" xfId="4667"/>
    <cellStyle name="Ç¥ÁØ_Áý°èÇ¥(2¿ù) _상각_제시손익(02,03) 13" xfId="4668"/>
    <cellStyle name="C￥AØ_Ay°eC￥(2¿u) _상각_제시손익(02,03) 14" xfId="4669"/>
    <cellStyle name="Ç¥ÁØ_Áý°èÇ¥(2¿ù) _상각_제시손익(02,03) 14" xfId="4670"/>
    <cellStyle name="C￥AØ_Ay°eC￥(2¿u) _상각_제시손익(02,03) 15" xfId="4671"/>
    <cellStyle name="Ç¥ÁØ_Áý°èÇ¥(2¿ù) _상각_제시손익(02,03) 15" xfId="4672"/>
    <cellStyle name="C￥AØ_Ay°eC￥(2¿u) _상각_제시손익(02,03) 2" xfId="4673"/>
    <cellStyle name="Ç¥ÁØ_Áý°èÇ¥(2¿ù) _상각_제시손익(02,03) 2" xfId="4674"/>
    <cellStyle name="C￥AØ_Ay°eC￥(2¿u) _상각_제시손익(02,03) 2 2" xfId="4675"/>
    <cellStyle name="Ç¥ÁØ_Áý°èÇ¥(2¿ù) _상각_제시손익(02,03) 3" xfId="4676"/>
    <cellStyle name="C￥AØ_Ay°eC￥(2¿u) _상각_제시손익(02,03) 4" xfId="4677"/>
    <cellStyle name="Ç¥ÁØ_Áý°èÇ¥(2¿ù) _상각_제시손익(02,03) 4" xfId="4678"/>
    <cellStyle name="C￥AØ_Ay°eC￥(2¿u) _상각_제시손익(02,03) 5" xfId="4679"/>
    <cellStyle name="Ç¥ÁØ_Áý°èÇ¥(2¿ù) _상각_제시손익(02,03) 5" xfId="4680"/>
    <cellStyle name="C￥AØ_Ay°eC￥(2¿u) _상각_제시손익(02,03) 6" xfId="4681"/>
    <cellStyle name="Ç¥ÁØ_Áý°èÇ¥(2¿ù) _상각_제시손익(02,03) 6" xfId="4682"/>
    <cellStyle name="C￥AØ_Ay°eC￥(2¿u) _상각_제시손익(02,03) 7" xfId="4683"/>
    <cellStyle name="Ç¥ÁØ_Áý°èÇ¥(2¿ù) _상각_제시손익(02,03) 7" xfId="4684"/>
    <cellStyle name="C￥AØ_Ay°eC￥(2¿u) _상각_제시손익(02,03) 8" xfId="4685"/>
    <cellStyle name="Ç¥ÁØ_Áý°èÇ¥(2¿ù) _상각_제시손익(02,03) 8" xfId="4686"/>
    <cellStyle name="C￥AØ_Ay°eC￥(2¿u) _상각_제시손익(02,03) 9" xfId="4687"/>
    <cellStyle name="Ç¥ÁØ_Áý°èÇ¥(2¿ù) _상각_제시손익(02,03) 9" xfId="4688"/>
    <cellStyle name="C￥AØ_Ay°eC￥(2¿u) _상각_차입금증감" xfId="4689"/>
    <cellStyle name="Ç¥ÁØ_Áý°èÇ¥(2¿ù) _상각_차입금증감" xfId="4690"/>
    <cellStyle name="C￥AØ_Ay°eC￥(2¿u) _상각_차입금증감 2" xfId="4691"/>
    <cellStyle name="Ç¥ÁØ_Áý°èÇ¥(2¿ù) _상각_차입금증감 2" xfId="4692"/>
    <cellStyle name="C￥AØ_Ay°eC￥(2¿u) _상각_차입금증감 2 2" xfId="4693"/>
    <cellStyle name="Ç¥ÁØ_Áý°èÇ¥(2¿ù) _상각_차입금증감 3" xfId="4694"/>
    <cellStyle name="C￥AØ_Ay°eC￥(2¿u) _상각_차입금증감 4" xfId="4695"/>
    <cellStyle name="Ç¥ÁØ_Áý°èÇ¥(2¿ù) _상각_차입금증감 4" xfId="4696"/>
    <cellStyle name="C￥AØ_Ay°eC￥(2¿u) _상각_차입금증감 5" xfId="4697"/>
    <cellStyle name="Ç¥ÁØ_Áý°èÇ¥(2¿ù) _상각_차입금증감 5" xfId="4698"/>
    <cellStyle name="C￥AØ_Ay°eC￥(2¿u) _상각_차입금증감 6" xfId="4699"/>
    <cellStyle name="Ç¥ÁØ_Áý°èÇ¥(2¿ù) _상각_차입금증감 6" xfId="4700"/>
    <cellStyle name="C￥AØ_Ay°eC￥(2¿u) _상각_차입금증감 7" xfId="4701"/>
    <cellStyle name="Ç¥ÁØ_Áý°èÇ¥(2¿ù) _상각_차입금증감 7" xfId="4702"/>
    <cellStyle name="C￥AØ_Ay°eC￥(2¿u) _상각_후순위채내역" xfId="4703"/>
    <cellStyle name="Ç¥ÁØ_Áý°èÇ¥(2¿ù) _상각_후순위채내역" xfId="4704"/>
    <cellStyle name="C￥AØ_Ay°eC￥(2¿u) _상각_후순위채내역 2" xfId="4705"/>
    <cellStyle name="Ç¥ÁØ_Áý°èÇ¥(2¿ù) _상각_후순위채내역 2" xfId="4706"/>
    <cellStyle name="C￥AØ_Ay°eC￥(2¿u) _상각_후순위채내역 2 2" xfId="4707"/>
    <cellStyle name="Ç¥ÁØ_Áý°èÇ¥(2¿ù) _상각_후순위채내역 3" xfId="4708"/>
    <cellStyle name="C￥AØ_Ay°eC￥(2¿u) _상각_후순위채내역 4" xfId="4709"/>
    <cellStyle name="Ç¥ÁØ_Áý°èÇ¥(2¿ù) _상각_후순위채내역 4" xfId="4710"/>
    <cellStyle name="C￥AØ_Ay°eC￥(2¿u) _상각_후순위채내역 5" xfId="4711"/>
    <cellStyle name="Ç¥ÁØ_Áý°èÇ¥(2¿ù) _상각_후순위채내역 5" xfId="4712"/>
    <cellStyle name="C￥AØ_Ay°eC￥(2¿u) _상각_후순위채내역 6" xfId="4713"/>
    <cellStyle name="Ç¥ÁØ_Áý°èÇ¥(2¿ù) _상각_후순위채내역 6" xfId="4714"/>
    <cellStyle name="C￥AØ_Ay°eC￥(2¿u) _상각_후순위채내역 7" xfId="4715"/>
    <cellStyle name="Ç¥ÁØ_Áý°èÇ¥(2¿ù) _상각_후순위채내역 7" xfId="4716"/>
    <cellStyle name="C￥AØ_Ay°eC￥(2¿u) _상반기현할차(장기성채권)" xfId="4717"/>
    <cellStyle name="Ç¥ÁØ_Áý°èÇ¥(2¿ù) _상반기현할차(장기성채권)" xfId="4718"/>
    <cellStyle name="C￥AØ_Ay°eC￥(2¿u) _상반기현할차(장기성채권) 2" xfId="4719"/>
    <cellStyle name="Ç¥ÁØ_Áý°èÇ¥(2¿ù) _상반기현할차(장기성채권) 2" xfId="4720"/>
    <cellStyle name="C￥AØ_Ay°eC￥(2¿u) _상반기현할차(장기성채권) 2 2" xfId="4721"/>
    <cellStyle name="Ç¥ÁØ_Áý°èÇ¥(2¿ù) _상반기현할차(장기성채권) 3" xfId="4722"/>
    <cellStyle name="C￥AØ_Ay°eC￥(2¿u) _상반기현할차(장기성채권) 4" xfId="4723"/>
    <cellStyle name="Ç¥ÁØ_Áý°èÇ¥(2¿ù) _상반기현할차(장기성채권) 4" xfId="4724"/>
    <cellStyle name="C￥AØ_Ay°eC￥(2¿u) _상반기현할차(장기성채권) 5" xfId="4725"/>
    <cellStyle name="Ç¥ÁØ_Áý°èÇ¥(2¿ù) _상반기현할차(장기성채권) 5" xfId="4726"/>
    <cellStyle name="C￥AØ_Ay°eC￥(2¿u) _상반기현할차(장기성채권) 6" xfId="4727"/>
    <cellStyle name="Ç¥ÁØ_Áý°èÇ¥(2¿ù) _상반기현할차(장기성채권) 6" xfId="4728"/>
    <cellStyle name="C￥AØ_Ay°eC￥(2¿u) _상반기현할차(장기성채권) 7" xfId="4729"/>
    <cellStyle name="Ç¥ÁØ_Áý°èÇ¥(2¿ù) _상반기현할차(장기성채권) 7" xfId="4730"/>
    <cellStyle name="C￥AØ_Ay°eC￥(2¿u) _손익첨부자료" xfId="4731"/>
    <cellStyle name="Ç¥ÁØ_Áý°èÇ¥(2¿ù) _손익첨부자료" xfId="4732"/>
    <cellStyle name="C￥AØ_Ay°eC￥(2¿u) _손익첨부자료 2" xfId="4733"/>
    <cellStyle name="Ç¥ÁØ_Áý°èÇ¥(2¿ù) _순천공장, 투자계획안(3차조정안)" xfId="4734"/>
    <cellStyle name="C￥AØ_Ay°eC￥(2¿u) _순천공장, 투자계획안(3차조정안) 10" xfId="4735"/>
    <cellStyle name="Ç¥ÁØ_Áý°èÇ¥(2¿ù) _순천공장, 투자계획안(3차조정안)_투자계획" xfId="4736"/>
    <cellStyle name="C￥AØ_Ay°eC￥(2¿u) _순천공장, 투자계획안(3차조정안)_투자계획 10" xfId="4737"/>
    <cellStyle name="Ç¥ÁØ_Áý°èÇ¥(2¿ù) _용준대손검토(장기성)" xfId="4738"/>
    <cellStyle name="C￥AØ_Ay°eC￥(2¿u) _용준대손검토(장기성) 10" xfId="4739"/>
    <cellStyle name="Ç¥ÁØ_Áý°èÇ¥(2¿ù) _이월" xfId="4740"/>
    <cellStyle name="C￥AØ_Ay°eC￥(2¿u) _이월 10" xfId="4741"/>
    <cellStyle name="Ç¥ÁØ_Áý°èÇ¥(2¿ù) _현재가치(1~4분기)" xfId="4742"/>
    <cellStyle name="C￥AØ_Ay°eC￥(2¿u) _현재가치(1~4분기) 10" xfId="4743"/>
    <cellStyle name="Ç¥ÁØ_Áý°èÇ¥(2¿ù) _현재가치(1~4분기) 10" xfId="4744"/>
    <cellStyle name="C￥AØ_Ay°eC￥(2¿u) _현재가치(1~4분기) 11" xfId="4745"/>
    <cellStyle name="Ç¥ÁØ_Áý°èÇ¥(2¿ù) _현재가치(1~4분기) 11" xfId="4746"/>
    <cellStyle name="C￥AØ_Ay°eC￥(2¿u) _현재가치(1~4분기) 12" xfId="4747"/>
    <cellStyle name="Ç¥ÁØ_Áý°èÇ¥(2¿ù) _현재가치(1~4분기) 12" xfId="4748"/>
    <cellStyle name="C￥AØ_Ay°eC￥(2¿u) _현재가치(1~4분기) 13" xfId="4749"/>
    <cellStyle name="Ç¥ÁØ_Áý°èÇ¥(2¿ù) _현재가치(1~4분기) 13" xfId="4750"/>
    <cellStyle name="C￥AØ_Ay°eC￥(2¿u) _현재가치(1~4분기) 14" xfId="4751"/>
    <cellStyle name="Ç¥ÁØ_Áý°èÇ¥(2¿ù) _현재가치(1~4분기) 14" xfId="4752"/>
    <cellStyle name="C￥AØ_Ay°eC￥(2¿u) _현재가치(1~4분기) 15" xfId="4753"/>
    <cellStyle name="Ç¥ÁØ_Áý°èÇ¥(2¿ù) _현재가치(1~4분기) 15" xfId="4754"/>
    <cellStyle name="C￥AØ_Ay°eC￥(2¿u) _현재가치(1~4분기) 2" xfId="4755"/>
    <cellStyle name="Ç¥ÁØ_Áý°èÇ¥(2¿ù) _현재가치(1~4분기) 2" xfId="4756"/>
    <cellStyle name="C￥AØ_Ay°eC￥(2¿u) _현재가치(1~4분기) 2 2" xfId="4757"/>
    <cellStyle name="Ç¥ÁØ_Áý°èÇ¥(2¿ù) _현재가치(1~4분기) 3" xfId="4758"/>
    <cellStyle name="C￥AØ_Ay°eC￥(2¿u) _현재가치(1~4분기) 4" xfId="4759"/>
    <cellStyle name="Ç¥ÁØ_Áý°èÇ¥(2¿ù) _현재가치(1~4분기) 4" xfId="4760"/>
    <cellStyle name="C￥AØ_Ay°eC￥(2¿u) _현재가치(1~4분기) 5" xfId="4761"/>
    <cellStyle name="Ç¥ÁØ_Áý°èÇ¥(2¿ù) _현재가치(1~4분기) 5" xfId="4762"/>
    <cellStyle name="C￥AØ_Ay°eC￥(2¿u) _현재가치(1~4분기) 6" xfId="4763"/>
    <cellStyle name="Ç¥ÁØ_Áý°èÇ¥(2¿ù) _현재가치(1~4분기) 6" xfId="4764"/>
    <cellStyle name="C￥AØ_Ay°eC￥(2¿u) _현재가치(1~4분기) 7" xfId="4765"/>
    <cellStyle name="Ç¥ÁØ_Áý°èÇ¥(2¿ù) _현재가치(1~4분기) 7" xfId="4766"/>
    <cellStyle name="C￥AØ_Ay°eC￥(2¿u) _현재가치(1~4분기) 8" xfId="4767"/>
    <cellStyle name="Ç¥ÁØ_Áý°èÇ¥(2¿ù) _현재가치(1~4분기) 8" xfId="4768"/>
    <cellStyle name="C￥AØ_Ay°eC￥(2¿u) _현재가치(1~4분기) 9" xfId="4769"/>
    <cellStyle name="Ç¥ÁØ_Áý°èÇ¥(2¿ù) _현재가치(1~4분기) 9" xfId="4770"/>
    <cellStyle name="C￥AØ_CD-ROM " xfId="4771"/>
    <cellStyle name="Ç¥ÁØ_CD-ROM " xfId="4772"/>
    <cellStyle name="C￥AØ_CoAo¹yAI °A¾×¿ⓒ½A " xfId="4773"/>
    <cellStyle name="Ç¥ÁØ_È¸¼±½ÅÃ»¼­" xfId="4774"/>
    <cellStyle name="C￥AØ_E¸¼±½AA≫¼­" xfId="4775"/>
    <cellStyle name="Ç¥ÁØ_Jinro-BS" xfId="4776"/>
    <cellStyle name="C￥AØ_Sheet1_¿μ¾÷CoE² " xfId="4777"/>
    <cellStyle name="Ç¥ÁØ_Sheet1_0N-HANDLING " xfId="4778"/>
    <cellStyle name="C￥AØ_Sheet1_Ay°eC￥(2¿u) " xfId="4779"/>
    <cellStyle name="Ç¥ÁØ_Sheet1_Áý°èÇ¥(2¿ù) " xfId="4780"/>
    <cellStyle name="C￥AØ_Sheet1_Ay°eC￥(2¿u) _●6월결산전표내역정리" xfId="4781"/>
    <cellStyle name="Ç¥ÁØ_Sheet1_Áý°èÇ¥(2¿ù) _●6월결산전표내역정리" xfId="4782"/>
    <cellStyle name="C￥AØ_Sheet1_Ay°eC￥(2¿u) _●6월결산전표내역정리 10" xfId="4783"/>
    <cellStyle name="Ç¥ÁØ_Sheet1_Áý°èÇ¥(2¿ù) _●6월결산전표내역정리 10" xfId="4784"/>
    <cellStyle name="C￥AØ_Sheet1_Ay°eC￥(2¿u) _●6월결산전표내역정리 11" xfId="4785"/>
    <cellStyle name="Ç¥ÁØ_Sheet1_Áý°èÇ¥(2¿ù) _●6월결산전표내역정리 11" xfId="4786"/>
    <cellStyle name="C￥AØ_Sheet1_Ay°eC￥(2¿u) _●6월결산전표내역정리 12" xfId="4787"/>
    <cellStyle name="Ç¥ÁØ_Sheet1_Áý°èÇ¥(2¿ù) _●6월결산전표내역정리 12" xfId="4788"/>
    <cellStyle name="C￥AØ_Sheet1_Ay°eC￥(2¿u) _●6월결산전표내역정리 13" xfId="4789"/>
    <cellStyle name="Ç¥ÁØ_Sheet1_Áý°èÇ¥(2¿ù) _●6월결산전표내역정리 13" xfId="4790"/>
    <cellStyle name="C￥AØ_Sheet1_Ay°eC￥(2¿u) _●6월결산전표내역정리 14" xfId="4791"/>
    <cellStyle name="Ç¥ÁØ_Sheet1_Áý°èÇ¥(2¿ù) _●6월결산전표내역정리 14" xfId="4792"/>
    <cellStyle name="C￥AØ_Sheet1_Ay°eC￥(2¿u) _●6월결산전표내역정리 15" xfId="4793"/>
    <cellStyle name="Ç¥ÁØ_Sheet1_Áý°èÇ¥(2¿ù) _●6월결산전표내역정리 15" xfId="4794"/>
    <cellStyle name="C￥AØ_Sheet1_Ay°eC￥(2¿u) _●6월결산전표내역정리 2" xfId="4795"/>
    <cellStyle name="Ç¥ÁØ_Sheet1_Áý°èÇ¥(2¿ù) _●6월결산전표내역정리 2" xfId="4796"/>
    <cellStyle name="C￥AØ_Sheet1_Ay°eC￥(2¿u) _●6월결산전표내역정리 3" xfId="4797"/>
    <cellStyle name="Ç¥ÁØ_Sheet1_Áý°èÇ¥(2¿ù) _●6월결산전표내역정리 3" xfId="4798"/>
    <cellStyle name="C￥AØ_Sheet1_Ay°eC￥(2¿u) _●6월결산전표내역정리 4" xfId="4799"/>
    <cellStyle name="Ç¥ÁØ_Sheet1_Áý°èÇ¥(2¿ù) _●6월결산전표내역정리 4" xfId="4800"/>
    <cellStyle name="C￥AØ_Sheet1_Ay°eC￥(2¿u) _●6월결산전표내역정리 5" xfId="4801"/>
    <cellStyle name="Ç¥ÁØ_Sheet1_Áý°èÇ¥(2¿ù) _●6월결산전표내역정리 5" xfId="4802"/>
    <cellStyle name="C￥AØ_Sheet1_Ay°eC￥(2¿u) _●6월결산전표내역정리 6" xfId="4803"/>
    <cellStyle name="Ç¥ÁØ_Sheet1_Áý°èÇ¥(2¿ù) _●6월결산전표내역정리 6" xfId="4804"/>
    <cellStyle name="C￥AØ_Sheet1_Ay°eC￥(2¿u) _●6월결산전표내역정리 7" xfId="4805"/>
    <cellStyle name="Ç¥ÁØ_Sheet1_Áý°èÇ¥(2¿ù) _●6월결산전표내역정리 7" xfId="4806"/>
    <cellStyle name="C￥AØ_Sheet1_Ay°eC￥(2¿u) _●6월결산전표내역정리 8" xfId="4807"/>
    <cellStyle name="Ç¥ÁØ_Sheet1_Áý°èÇ¥(2¿ù) _●6월결산전표내역정리 8" xfId="4808"/>
    <cellStyle name="C￥AØ_Sheet1_Ay°eC￥(2¿u) _●6월결산전표내역정리 9" xfId="4809"/>
    <cellStyle name="Ç¥ÁØ_Sheet1_Áý°èÇ¥(2¿ù) _●6월결산전표내역정리 9" xfId="4810"/>
    <cellStyle name="C￥AØ_Sheet1_Ay°eC￥(2¿u) _●분석적검토" xfId="4811"/>
    <cellStyle name="Ç¥ÁØ_Sheet1_Áý°èÇ¥(2¿ù) _●분석적검토" xfId="4812"/>
    <cellStyle name="C￥AØ_Sheet1_Ay°eC￥(2¿u) _●분석적검토 10" xfId="4813"/>
    <cellStyle name="Ç¥ÁØ_Sheet1_Áý°èÇ¥(2¿ù) _●분석적검토 10" xfId="4814"/>
    <cellStyle name="C￥AØ_Sheet1_Ay°eC￥(2¿u) _●분석적검토 11" xfId="4815"/>
    <cellStyle name="Ç¥ÁØ_Sheet1_Áý°èÇ¥(2¿ù) _●분석적검토 11" xfId="4816"/>
    <cellStyle name="C￥AØ_Sheet1_Ay°eC￥(2¿u) _●분석적검토 12" xfId="4817"/>
    <cellStyle name="Ç¥ÁØ_Sheet1_Áý°èÇ¥(2¿ù) _●분석적검토 12" xfId="4818"/>
    <cellStyle name="C￥AØ_Sheet1_Ay°eC￥(2¿u) _●분석적검토 13" xfId="4819"/>
    <cellStyle name="Ç¥ÁØ_Sheet1_Áý°èÇ¥(2¿ù) _●분석적검토 13" xfId="4820"/>
    <cellStyle name="C￥AØ_Sheet1_Ay°eC￥(2¿u) _●분석적검토 14" xfId="4821"/>
    <cellStyle name="Ç¥ÁØ_Sheet1_Áý°èÇ¥(2¿ù) _●분석적검토 14" xfId="4822"/>
    <cellStyle name="C￥AØ_Sheet1_Ay°eC￥(2¿u) _●분석적검토 15" xfId="4823"/>
    <cellStyle name="Ç¥ÁØ_Sheet1_Áý°èÇ¥(2¿ù) _●분석적검토 15" xfId="4824"/>
    <cellStyle name="C￥AØ_Sheet1_Ay°eC￥(2¿u) _●분석적검토 2" xfId="4825"/>
    <cellStyle name="Ç¥ÁØ_Sheet1_Áý°èÇ¥(2¿ù) _●분석적검토 2" xfId="4826"/>
    <cellStyle name="C￥AØ_Sheet1_Ay°eC￥(2¿u) _●분석적검토 3" xfId="4827"/>
    <cellStyle name="Ç¥ÁØ_Sheet1_Áý°èÇ¥(2¿ù) _●분석적검토 3" xfId="4828"/>
    <cellStyle name="C￥AØ_Sheet1_Ay°eC￥(2¿u) _●분석적검토 4" xfId="4829"/>
    <cellStyle name="Ç¥ÁØ_Sheet1_Áý°èÇ¥(2¿ù) _●분석적검토 4" xfId="4830"/>
    <cellStyle name="C￥AØ_Sheet1_Ay°eC￥(2¿u) _●분석적검토 5" xfId="4831"/>
    <cellStyle name="Ç¥ÁØ_Sheet1_Áý°èÇ¥(2¿ù) _●분석적검토 5" xfId="4832"/>
    <cellStyle name="C￥AØ_Sheet1_Ay°eC￥(2¿u) _●분석적검토 6" xfId="4833"/>
    <cellStyle name="Ç¥ÁØ_Sheet1_Áý°èÇ¥(2¿ù) _●분석적검토 6" xfId="4834"/>
    <cellStyle name="C￥AØ_Sheet1_Ay°eC￥(2¿u) _●분석적검토 7" xfId="4835"/>
    <cellStyle name="Ç¥ÁØ_Sheet1_Áý°èÇ¥(2¿ù) _●분석적검토 7" xfId="4836"/>
    <cellStyle name="C￥AØ_Sheet1_Ay°eC￥(2¿u) _●분석적검토 8" xfId="4837"/>
    <cellStyle name="Ç¥ÁØ_Sheet1_Áý°èÇ¥(2¿ù) _●분석적검토 8" xfId="4838"/>
    <cellStyle name="C￥AØ_Sheet1_Ay°eC￥(2¿u) _●분석적검토 9" xfId="4839"/>
    <cellStyle name="Ç¥ÁØ_Sheet1_Áý°èÇ¥(2¿ù) _●분석적검토 9" xfId="4840"/>
    <cellStyle name="C￥AØ_Sheet1_Ay°eC￥(2¿u) _02.12.대손세액xls" xfId="4841"/>
    <cellStyle name="Ç¥ÁØ_Sheet1_Áý°èÇ¥(2¿ù) _02.12.대손세액xls" xfId="4842"/>
    <cellStyle name="C￥AØ_Sheet1_Ay°eC￥(2¿u) _02.12.대손세액xls 10" xfId="4843"/>
    <cellStyle name="Ç¥ÁØ_Sheet1_Áý°èÇ¥(2¿ù) _02.12.대손세액xls 10" xfId="4844"/>
    <cellStyle name="C￥AØ_Sheet1_Ay°eC￥(2¿u) _02.12.대손세액xls 11" xfId="4845"/>
    <cellStyle name="Ç¥ÁØ_Sheet1_Áý°èÇ¥(2¿ù) _02.12.대손세액xls 11" xfId="4846"/>
    <cellStyle name="C￥AØ_Sheet1_Ay°eC￥(2¿u) _02.12.대손세액xls 12" xfId="4847"/>
    <cellStyle name="Ç¥ÁØ_Sheet1_Áý°èÇ¥(2¿ù) _02.12.대손세액xls 12" xfId="4848"/>
    <cellStyle name="C￥AØ_Sheet1_Ay°eC￥(2¿u) _02.12.대손세액xls 13" xfId="4849"/>
    <cellStyle name="Ç¥ÁØ_Sheet1_Áý°èÇ¥(2¿ù) _02.12.대손세액xls 13" xfId="4850"/>
    <cellStyle name="C￥AØ_Sheet1_Ay°eC￥(2¿u) _02.12.대손세액xls 14" xfId="4851"/>
    <cellStyle name="Ç¥ÁØ_Sheet1_Áý°èÇ¥(2¿ù) _02.12.대손세액xls 14" xfId="4852"/>
    <cellStyle name="C￥AØ_Sheet1_Ay°eC￥(2¿u) _02.12.대손세액xls 15" xfId="4853"/>
    <cellStyle name="Ç¥ÁØ_Sheet1_Áý°èÇ¥(2¿ù) _02.12.대손세액xls 15" xfId="4854"/>
    <cellStyle name="C￥AØ_Sheet1_Ay°eC￥(2¿u) _02.12.대손세액xls 2" xfId="4855"/>
    <cellStyle name="Ç¥ÁØ_Sheet1_Áý°èÇ¥(2¿ù) _02.12.대손세액xls 2" xfId="4856"/>
    <cellStyle name="C￥AØ_Sheet1_Ay°eC￥(2¿u) _02.12.대손세액xls 3" xfId="4857"/>
    <cellStyle name="Ç¥ÁØ_Sheet1_Áý°èÇ¥(2¿ù) _02.12.대손세액xls 3" xfId="4858"/>
    <cellStyle name="C￥AØ_Sheet1_Ay°eC￥(2¿u) _02.12.대손세액xls 4" xfId="4859"/>
    <cellStyle name="Ç¥ÁØ_Sheet1_Áý°èÇ¥(2¿ù) _02.12.대손세액xls 4" xfId="4860"/>
    <cellStyle name="C￥AØ_Sheet1_Ay°eC￥(2¿u) _02.12.대손세액xls 5" xfId="4861"/>
    <cellStyle name="Ç¥ÁØ_Sheet1_Áý°èÇ¥(2¿ù) _02.12.대손세액xls 5" xfId="4862"/>
    <cellStyle name="C￥AØ_Sheet1_Ay°eC￥(2¿u) _02.12.대손세액xls 6" xfId="4863"/>
    <cellStyle name="Ç¥ÁØ_Sheet1_Áý°èÇ¥(2¿ù) _02.12.대손세액xls 6" xfId="4864"/>
    <cellStyle name="C￥AØ_Sheet1_Ay°eC￥(2¿u) _02.12.대손세액xls 7" xfId="4865"/>
    <cellStyle name="Ç¥ÁØ_Sheet1_Áý°èÇ¥(2¿ù) _02.12.대손세액xls 7" xfId="4866"/>
    <cellStyle name="C￥AØ_Sheet1_Ay°eC￥(2¿u) _02.12.대손세액xls 8" xfId="4867"/>
    <cellStyle name="Ç¥ÁØ_Sheet1_Áý°èÇ¥(2¿ù) _02.12.대손세액xls 8" xfId="4868"/>
    <cellStyle name="C￥AØ_Sheet1_Ay°eC￥(2¿u) _02.12.대손세액xls 9" xfId="4869"/>
    <cellStyle name="Ç¥ÁØ_Sheet1_Áý°èÇ¥(2¿ù) _02.12.대손세액xls 9" xfId="4870"/>
    <cellStyle name="C￥AØ_Sheet1_Ay°eC￥(2¿u) _2003년06월명세" xfId="4871"/>
    <cellStyle name="Ç¥ÁØ_Sheet1_Áý°èÇ¥(2¿ù) _2003년06월명세" xfId="4872"/>
    <cellStyle name="C￥AØ_Sheet1_Ay°eC￥(2¿u) _6월결산전표내역정리-200379" xfId="4873"/>
    <cellStyle name="Ç¥ÁØ_Sheet1_Áý°èÇ¥(2¿ù) _6월결산전표내역정리-200379" xfId="4874"/>
    <cellStyle name="C￥AØ_Sheet1_Ay°eC￥(2¿u) _6월결산전표내역정리-200379 10" xfId="4875"/>
    <cellStyle name="Ç¥ÁØ_Sheet1_Áý°èÇ¥(2¿ù) _6월결산전표내역정리-200379 10" xfId="4876"/>
    <cellStyle name="C￥AØ_Sheet1_Ay°eC￥(2¿u) _6월결산전표내역정리-200379 11" xfId="4877"/>
    <cellStyle name="Ç¥ÁØ_Sheet1_Áý°èÇ¥(2¿ù) _6월결산전표내역정리-200379 11" xfId="4878"/>
    <cellStyle name="C￥AØ_Sheet1_Ay°eC￥(2¿u) _6월결산전표내역정리-200379 12" xfId="4879"/>
    <cellStyle name="Ç¥ÁØ_Sheet1_Áý°èÇ¥(2¿ù) _6월결산전표내역정리-200379 12" xfId="4880"/>
    <cellStyle name="C￥AØ_Sheet1_Ay°eC￥(2¿u) _6월결산전표내역정리-200379 13" xfId="4881"/>
    <cellStyle name="Ç¥ÁØ_Sheet1_Áý°èÇ¥(2¿ù) _6월결산전표내역정리-200379 13" xfId="4882"/>
    <cellStyle name="C￥AØ_Sheet1_Ay°eC￥(2¿u) _6월결산전표내역정리-200379 14" xfId="4883"/>
    <cellStyle name="Ç¥ÁØ_Sheet1_Áý°èÇ¥(2¿ù) _6월결산전표내역정리-200379 14" xfId="4884"/>
    <cellStyle name="C￥AØ_Sheet1_Ay°eC￥(2¿u) _6월결산전표내역정리-200379 15" xfId="4885"/>
    <cellStyle name="Ç¥ÁØ_Sheet1_Áý°èÇ¥(2¿ù) _6월결산전표내역정리-200379 15" xfId="4886"/>
    <cellStyle name="C￥AØ_Sheet1_Ay°eC￥(2¿u) _6월결산전표내역정리-200379 2" xfId="4887"/>
    <cellStyle name="Ç¥ÁØ_Sheet1_Áý°èÇ¥(2¿ù) _6월결산전표내역정리-200379 2" xfId="4888"/>
    <cellStyle name="C￥AØ_Sheet1_Ay°eC￥(2¿u) _6월결산전표내역정리-200379 3" xfId="4889"/>
    <cellStyle name="Ç¥ÁØ_Sheet1_Áý°èÇ¥(2¿ù) _6월결산전표내역정리-200379 3" xfId="4890"/>
    <cellStyle name="C￥AØ_Sheet1_Ay°eC￥(2¿u) _6월결산전표내역정리-200379 4" xfId="4891"/>
    <cellStyle name="Ç¥ÁØ_Sheet1_Áý°èÇ¥(2¿ù) _6월결산전표내역정리-200379 4" xfId="4892"/>
    <cellStyle name="C￥AØ_Sheet1_Ay°eC￥(2¿u) _6월결산전표내역정리-200379 5" xfId="4893"/>
    <cellStyle name="Ç¥ÁØ_Sheet1_Áý°èÇ¥(2¿ù) _6월결산전표내역정리-200379 5" xfId="4894"/>
    <cellStyle name="C￥AØ_Sheet1_Ay°eC￥(2¿u) _6월결산전표내역정리-200379 6" xfId="4895"/>
    <cellStyle name="Ç¥ÁØ_Sheet1_Áý°èÇ¥(2¿ù) _6월결산전표내역정리-200379 6" xfId="4896"/>
    <cellStyle name="C￥AØ_Sheet1_Ay°eC￥(2¿u) _6월결산전표내역정리-200379 7" xfId="4897"/>
    <cellStyle name="Ç¥ÁØ_Sheet1_Áý°èÇ¥(2¿ù) _6월결산전표내역정리-200379 7" xfId="4898"/>
    <cellStyle name="C￥AØ_Sheet1_Ay°eC￥(2¿u) _6월결산전표내역정리-200379 8" xfId="4899"/>
    <cellStyle name="Ç¥ÁØ_Sheet1_Áý°èÇ¥(2¿ù) _6월결산전표내역정리-200379 8" xfId="4900"/>
    <cellStyle name="C￥AØ_Sheet1_Ay°eC￥(2¿u) _6월결산전표내역정리-200379 9" xfId="4901"/>
    <cellStyle name="Ç¥ÁØ_Sheet1_Áý°èÇ¥(2¿ù) _6월결산전표내역정리-200379 9" xfId="4902"/>
    <cellStyle name="C￥AØ_Sheet1_Ay°eC￥(2¿u) _6월추정결산비용-2003619" xfId="4903"/>
    <cellStyle name="Ç¥ÁØ_Sheet1_Áý°èÇ¥(2¿ù) _6월추정결산비용-2003619" xfId="4904"/>
    <cellStyle name="C￥AØ_Sheet1_Ay°eC￥(2¿u) _6월추정결산비용-2003619 10" xfId="4905"/>
    <cellStyle name="Ç¥ÁØ_Sheet1_Áý°èÇ¥(2¿ù) _6월추정결산비용-2003619 10" xfId="4906"/>
    <cellStyle name="C￥AØ_Sheet1_Ay°eC￥(2¿u) _6월추정결산비용-2003619 11" xfId="4907"/>
    <cellStyle name="Ç¥ÁØ_Sheet1_Áý°èÇ¥(2¿ù) _6월추정결산비용-2003619 11" xfId="4908"/>
    <cellStyle name="C￥AØ_Sheet1_Ay°eC￥(2¿u) _6월추정결산비용-2003619 12" xfId="4909"/>
    <cellStyle name="Ç¥ÁØ_Sheet1_Áý°èÇ¥(2¿ù) _6월추정결산비용-2003619 12" xfId="4910"/>
    <cellStyle name="C￥AØ_Sheet1_Ay°eC￥(2¿u) _6월추정결산비용-2003619 13" xfId="4911"/>
    <cellStyle name="Ç¥ÁØ_Sheet1_Áý°èÇ¥(2¿ù) _6월추정결산비용-2003619 13" xfId="4912"/>
    <cellStyle name="C￥AØ_Sheet1_Ay°eC￥(2¿u) _6월추정결산비용-2003619 14" xfId="4913"/>
    <cellStyle name="Ç¥ÁØ_Sheet1_Áý°èÇ¥(2¿ù) _6월추정결산비용-2003619 14" xfId="4914"/>
    <cellStyle name="C￥AØ_Sheet1_Ay°eC￥(2¿u) _6월추정결산비용-2003619 15" xfId="4915"/>
    <cellStyle name="Ç¥ÁØ_Sheet1_Áý°èÇ¥(2¿ù) _6월추정결산비용-2003619 15" xfId="4916"/>
    <cellStyle name="C￥AØ_Sheet1_Ay°eC￥(2¿u) _6월추정결산비용-2003619 2" xfId="4917"/>
    <cellStyle name="Ç¥ÁØ_Sheet1_Áý°èÇ¥(2¿ù) _6월추정결산비용-2003619 2" xfId="4918"/>
    <cellStyle name="C￥AØ_Sheet1_Ay°eC￥(2¿u) _6월추정결산비용-2003619 3" xfId="4919"/>
    <cellStyle name="Ç¥ÁØ_Sheet1_Áý°èÇ¥(2¿ù) _6월추정결산비용-2003619 3" xfId="4920"/>
    <cellStyle name="C￥AØ_Sheet1_Ay°eC￥(2¿u) _6월추정결산비용-2003619 4" xfId="4921"/>
    <cellStyle name="Ç¥ÁØ_Sheet1_Áý°èÇ¥(2¿ù) _6월추정결산비용-2003619 4" xfId="4922"/>
    <cellStyle name="C￥AØ_Sheet1_Ay°eC￥(2¿u) _6월추정결산비용-2003619 5" xfId="4923"/>
    <cellStyle name="Ç¥ÁØ_Sheet1_Áý°èÇ¥(2¿ù) _6월추정결산비용-2003619 5" xfId="4924"/>
    <cellStyle name="C￥AØ_Sheet1_Ay°eC￥(2¿u) _6월추정결산비용-2003619 6" xfId="4925"/>
    <cellStyle name="Ç¥ÁØ_Sheet1_Áý°èÇ¥(2¿ù) _6월추정결산비용-2003619 6" xfId="4926"/>
    <cellStyle name="C￥AØ_Sheet1_Ay°eC￥(2¿u) _6월추정결산비용-2003619 7" xfId="4927"/>
    <cellStyle name="Ç¥ÁØ_Sheet1_Áý°èÇ¥(2¿ù) _6월추정결산비용-2003619 7" xfId="4928"/>
    <cellStyle name="C￥AØ_Sheet1_Ay°eC￥(2¿u) _6월추정결산비용-2003619 8" xfId="4929"/>
    <cellStyle name="Ç¥ÁØ_Sheet1_Áý°èÇ¥(2¿ù) _6월추정결산비용-2003619 8" xfId="4930"/>
    <cellStyle name="C￥AØ_Sheet1_Ay°eC￥(2¿u) _6월추정결산비용-2003619 9" xfId="4931"/>
    <cellStyle name="Ç¥ÁØ_Sheet1_Áý°èÇ¥(2¿ù) _6월추정결산비용-2003619 9" xfId="4932"/>
    <cellStyle name="C￥AØ_Sheet1_Ay°eC￥(2¿u) _6투자자산" xfId="4933"/>
    <cellStyle name="Ç¥ÁØ_Sheet1_Áý°èÇ¥(2¿ù) _6투자자산" xfId="4934"/>
    <cellStyle name="C￥AØ_Sheet1_Ay°eC￥(2¿u) _6투자자산 10" xfId="4935"/>
    <cellStyle name="Ç¥ÁØ_Sheet1_Áý°èÇ¥(2¿ù) _6투자자산 10" xfId="4936"/>
    <cellStyle name="C￥AØ_Sheet1_Ay°eC￥(2¿u) _6투자자산 11" xfId="4937"/>
    <cellStyle name="Ç¥ÁØ_Sheet1_Áý°èÇ¥(2¿ù) _6투자자산 11" xfId="4938"/>
    <cellStyle name="C￥AØ_Sheet1_Ay°eC￥(2¿u) _6투자자산 12" xfId="4939"/>
    <cellStyle name="Ç¥ÁØ_Sheet1_Áý°èÇ¥(2¿ù) _6투자자산 12" xfId="4940"/>
    <cellStyle name="C￥AØ_Sheet1_Ay°eC￥(2¿u) _6투자자산 13" xfId="4941"/>
    <cellStyle name="Ç¥ÁØ_Sheet1_Áý°èÇ¥(2¿ù) _6투자자산 13" xfId="4942"/>
    <cellStyle name="C￥AØ_Sheet1_Ay°eC￥(2¿u) _6투자자산 14" xfId="4943"/>
    <cellStyle name="Ç¥ÁØ_Sheet1_Áý°èÇ¥(2¿ù) _6투자자산 14" xfId="4944"/>
    <cellStyle name="C￥AØ_Sheet1_Ay°eC￥(2¿u) _6투자자산 15" xfId="4945"/>
    <cellStyle name="Ç¥ÁØ_Sheet1_Áý°èÇ¥(2¿ù) _6투자자산 15" xfId="4946"/>
    <cellStyle name="C￥AØ_Sheet1_Ay°eC￥(2¿u) _6투자자산 2" xfId="4947"/>
    <cellStyle name="Ç¥ÁØ_Sheet1_Áý°èÇ¥(2¿ù) _6투자자산 2" xfId="4948"/>
    <cellStyle name="C￥AØ_Sheet1_Ay°eC￥(2¿u) _6투자자산 3" xfId="4949"/>
    <cellStyle name="Ç¥ÁØ_Sheet1_Áý°èÇ¥(2¿ù) _6투자자산 3" xfId="4950"/>
    <cellStyle name="C￥AØ_Sheet1_Ay°eC￥(2¿u) _6투자자산 4" xfId="4951"/>
    <cellStyle name="Ç¥ÁØ_Sheet1_Áý°èÇ¥(2¿ù) _6투자자산 4" xfId="4952"/>
    <cellStyle name="C￥AØ_Sheet1_Ay°eC￥(2¿u) _6투자자산 5" xfId="4953"/>
    <cellStyle name="Ç¥ÁØ_Sheet1_Áý°èÇ¥(2¿ù) _6투자자산 5" xfId="4954"/>
    <cellStyle name="C￥AØ_Sheet1_Ay°eC￥(2¿u) _6투자자산 6" xfId="4955"/>
    <cellStyle name="Ç¥ÁØ_Sheet1_Áý°èÇ¥(2¿ù) _6투자자산 6" xfId="4956"/>
    <cellStyle name="C￥AØ_Sheet1_Ay°eC￥(2¿u) _6투자자산 7" xfId="4957"/>
    <cellStyle name="Ç¥ÁØ_Sheet1_Áý°èÇ¥(2¿ù) _6투자자산 7" xfId="4958"/>
    <cellStyle name="C￥AØ_Sheet1_Ay°eC￥(2¿u) _6투자자산 8" xfId="4959"/>
    <cellStyle name="Ç¥ÁØ_Sheet1_Áý°èÇ¥(2¿ù) _6투자자산 8" xfId="4960"/>
    <cellStyle name="C￥AØ_Sheet1_Ay°eC￥(2¿u) _6투자자산 9" xfId="4961"/>
    <cellStyle name="Ç¥ÁØ_Sheet1_Áý°èÇ¥(2¿ù) _6투자자산 9" xfId="4962"/>
    <cellStyle name="C￥AØ_Sheet1_Ay°eC￥(2¿u) _기준서요약" xfId="4963"/>
    <cellStyle name="Ç¥ÁØ_Sheet1_Áý°èÇ¥(2¿ù) _기준서요약" xfId="4964"/>
    <cellStyle name="C￥AØ_Sheet1_Ay°eC￥(2¿u) _기준서요약 10" xfId="4965"/>
    <cellStyle name="Ç¥ÁØ_Sheet1_Áý°èÇ¥(2¿ù) _기준서요약 10" xfId="4966"/>
    <cellStyle name="C￥AØ_Sheet1_Ay°eC￥(2¿u) _기준서요약 11" xfId="4967"/>
    <cellStyle name="Ç¥ÁØ_Sheet1_Áý°èÇ¥(2¿ù) _기준서요약 11" xfId="4968"/>
    <cellStyle name="C￥AØ_Sheet1_Ay°eC￥(2¿u) _기준서요약 12" xfId="4969"/>
    <cellStyle name="Ç¥ÁØ_Sheet1_Áý°èÇ¥(2¿ù) _기준서요약 12" xfId="4970"/>
    <cellStyle name="C￥AØ_Sheet1_Ay°eC￥(2¿u) _기준서요약 13" xfId="4971"/>
    <cellStyle name="Ç¥ÁØ_Sheet1_Áý°èÇ¥(2¿ù) _기준서요약 13" xfId="4972"/>
    <cellStyle name="C￥AØ_Sheet1_Ay°eC￥(2¿u) _기준서요약 14" xfId="4973"/>
    <cellStyle name="Ç¥ÁØ_Sheet1_Áý°èÇ¥(2¿ù) _기준서요약 14" xfId="4974"/>
    <cellStyle name="C￥AØ_Sheet1_Ay°eC￥(2¿u) _기준서요약 15" xfId="4975"/>
    <cellStyle name="Ç¥ÁØ_Sheet1_Áý°èÇ¥(2¿ù) _기준서요약 15" xfId="4976"/>
    <cellStyle name="C￥AØ_Sheet1_Ay°eC￥(2¿u) _기준서요약 2" xfId="4977"/>
    <cellStyle name="Ç¥ÁØ_Sheet1_Áý°èÇ¥(2¿ù) _기준서요약 2" xfId="4978"/>
    <cellStyle name="C￥AØ_Sheet1_Ay°eC￥(2¿u) _기준서요약 3" xfId="4979"/>
    <cellStyle name="Ç¥ÁØ_Sheet1_Áý°èÇ¥(2¿ù) _기준서요약 3" xfId="4980"/>
    <cellStyle name="C￥AØ_Sheet1_Ay°eC￥(2¿u) _기준서요약 4" xfId="4981"/>
    <cellStyle name="Ç¥ÁØ_Sheet1_Áý°èÇ¥(2¿ù) _기준서요약 4" xfId="4982"/>
    <cellStyle name="C￥AØ_Sheet1_Ay°eC￥(2¿u) _기준서요약 5" xfId="4983"/>
    <cellStyle name="Ç¥ÁØ_Sheet1_Áý°èÇ¥(2¿ù) _기준서요약 5" xfId="4984"/>
    <cellStyle name="C￥AØ_Sheet1_Ay°eC￥(2¿u) _기준서요약 6" xfId="4985"/>
    <cellStyle name="Ç¥ÁØ_Sheet1_Áý°èÇ¥(2¿ù) _기준서요약 6" xfId="4986"/>
    <cellStyle name="C￥AØ_Sheet1_Ay°eC￥(2¿u) _기준서요약 7" xfId="4987"/>
    <cellStyle name="Ç¥ÁØ_Sheet1_Áý°èÇ¥(2¿ù) _기준서요약 7" xfId="4988"/>
    <cellStyle name="C￥AØ_Sheet1_Ay°eC￥(2¿u) _기준서요약 8" xfId="4989"/>
    <cellStyle name="Ç¥ÁØ_Sheet1_Áý°èÇ¥(2¿ù) _기준서요약 8" xfId="4990"/>
    <cellStyle name="C￥AØ_Sheet1_Ay°eC￥(2¿u) _기준서요약 9" xfId="4991"/>
    <cellStyle name="Ç¥ÁØ_Sheet1_Áý°èÇ¥(2¿ù) _기준서요약 9" xfId="4992"/>
    <cellStyle name="C￥AØ_Sheet1_Ay°eC￥(2¿u) _당좌자산" xfId="4993"/>
    <cellStyle name="Ç¥ÁØ_Sheet1_Áý°èÇ¥(2¿ù) _당좌자산" xfId="4994"/>
    <cellStyle name="C￥AØ_Sheet1_Ay°eC￥(2¿u) _대손충당금(정호)" xfId="4995"/>
    <cellStyle name="Ç¥ÁØ_Sheet1_Áý°èÇ¥(2¿ù) _대손충당금(정호)" xfId="4996"/>
    <cellStyle name="C￥AØ_Sheet1_Ay°eC￥(2¿u) _대손충당금(정호) 10" xfId="4997"/>
    <cellStyle name="Ç¥ÁØ_Sheet1_Áý°èÇ¥(2¿ù) _대손충당금(정호) 10" xfId="4998"/>
    <cellStyle name="C￥AØ_Sheet1_Ay°eC￥(2¿u) _대손충당금(정호) 11" xfId="4999"/>
    <cellStyle name="Ç¥ÁØ_Sheet1_Áý°èÇ¥(2¿ù) _대손충당금(정호) 11" xfId="5000"/>
    <cellStyle name="C￥AØ_Sheet1_Ay°eC￥(2¿u) _대손충당금(정호) 12" xfId="5001"/>
    <cellStyle name="Ç¥ÁØ_Sheet1_Áý°èÇ¥(2¿ù) _대손충당금(정호) 12" xfId="5002"/>
    <cellStyle name="C￥AØ_Sheet1_Ay°eC￥(2¿u) _대손충당금(정호) 13" xfId="5003"/>
    <cellStyle name="Ç¥ÁØ_Sheet1_Áý°èÇ¥(2¿ù) _대손충당금(정호) 13" xfId="5004"/>
    <cellStyle name="C￥AØ_Sheet1_Ay°eC￥(2¿u) _대손충당금(정호) 14" xfId="5005"/>
    <cellStyle name="Ç¥ÁØ_Sheet1_Áý°èÇ¥(2¿ù) _대손충당금(정호) 14" xfId="5006"/>
    <cellStyle name="C￥AØ_Sheet1_Ay°eC￥(2¿u) _대손충당금(정호) 15" xfId="5007"/>
    <cellStyle name="Ç¥ÁØ_Sheet1_Áý°èÇ¥(2¿ù) _대손충당금(정호) 15" xfId="5008"/>
    <cellStyle name="C￥AØ_Sheet1_Ay°eC￥(2¿u) _대손충당금(정호) 2" xfId="5009"/>
    <cellStyle name="Ç¥ÁØ_Sheet1_Áý°èÇ¥(2¿ù) _대손충당금(정호) 2" xfId="5010"/>
    <cellStyle name="C￥AØ_Sheet1_Ay°eC￥(2¿u) _대손충당금(정호) 3" xfId="5011"/>
    <cellStyle name="Ç¥ÁØ_Sheet1_Áý°èÇ¥(2¿ù) _대손충당금(정호) 3" xfId="5012"/>
    <cellStyle name="C￥AØ_Sheet1_Ay°eC￥(2¿u) _대손충당금(정호) 4" xfId="5013"/>
    <cellStyle name="Ç¥ÁØ_Sheet1_Áý°èÇ¥(2¿ù) _대손충당금(정호) 4" xfId="5014"/>
    <cellStyle name="C￥AØ_Sheet1_Ay°eC￥(2¿u) _대손충당금(정호) 5" xfId="5015"/>
    <cellStyle name="Ç¥ÁØ_Sheet1_Áý°èÇ¥(2¿ù) _대손충당금(정호) 5" xfId="5016"/>
    <cellStyle name="C￥AØ_Sheet1_Ay°eC￥(2¿u) _대손충당금(정호) 6" xfId="5017"/>
    <cellStyle name="Ç¥ÁØ_Sheet1_Áý°èÇ¥(2¿ù) _대손충당금(정호) 6" xfId="5018"/>
    <cellStyle name="C￥AØ_Sheet1_Ay°eC￥(2¿u) _대손충당금(정호) 7" xfId="5019"/>
    <cellStyle name="Ç¥ÁØ_Sheet1_Áý°èÇ¥(2¿ù) _대손충당금(정호) 7" xfId="5020"/>
    <cellStyle name="C￥AØ_Sheet1_Ay°eC￥(2¿u) _대손충당금(정호) 8" xfId="5021"/>
    <cellStyle name="Ç¥ÁØ_Sheet1_Áý°èÇ¥(2¿ù) _대손충당금(정호) 8" xfId="5022"/>
    <cellStyle name="C￥AØ_Sheet1_Ay°eC￥(2¿u) _대손충당금(정호) 9" xfId="5023"/>
    <cellStyle name="Ç¥ÁØ_Sheet1_Áý°èÇ¥(2¿ù) _대손충당금(정호) 9" xfId="5024"/>
    <cellStyle name="C￥AØ_Sheet1_Ay°eC￥(2¿u) _대손충당금설정검토(상반기추정)-2003619" xfId="5025"/>
    <cellStyle name="Ç¥ÁØ_Sheet1_Áý°èÇ¥(2¿ù) _대손충당금설정검토(상반기추정)-2003619" xfId="5026"/>
    <cellStyle name="C￥AØ_Sheet1_Ay°eC￥(2¿u) _대손충당금설정검토(상반기추정)-2003619 10" xfId="5027"/>
    <cellStyle name="Ç¥ÁØ_Sheet1_Áý°èÇ¥(2¿ù) _대손충당금설정검토(상반기추정)-2003619 10" xfId="5028"/>
    <cellStyle name="C￥AØ_Sheet1_Ay°eC￥(2¿u) _대손충당금설정검토(상반기추정)-2003619 11" xfId="5029"/>
    <cellStyle name="Ç¥ÁØ_Sheet1_Áý°èÇ¥(2¿ù) _대손충당금설정검토(상반기추정)-2003619 11" xfId="5030"/>
    <cellStyle name="C￥AØ_Sheet1_Ay°eC￥(2¿u) _대손충당금설정검토(상반기추정)-2003619 12" xfId="5031"/>
    <cellStyle name="Ç¥ÁØ_Sheet1_Áý°èÇ¥(2¿ù) _대손충당금설정검토(상반기추정)-2003619 12" xfId="5032"/>
    <cellStyle name="C￥AØ_Sheet1_Ay°eC￥(2¿u) _대손충당금설정검토(상반기추정)-2003619 13" xfId="5033"/>
    <cellStyle name="Ç¥ÁØ_Sheet1_Áý°èÇ¥(2¿ù) _대손충당금설정검토(상반기추정)-2003619 13" xfId="5034"/>
    <cellStyle name="C￥AØ_Sheet1_Ay°eC￥(2¿u) _대손충당금설정검토(상반기추정)-2003619 14" xfId="5035"/>
    <cellStyle name="Ç¥ÁØ_Sheet1_Áý°èÇ¥(2¿ù) _대손충당금설정검토(상반기추정)-2003619 14" xfId="5036"/>
    <cellStyle name="C￥AØ_Sheet1_Ay°eC￥(2¿u) _대손충당금설정검토(상반기추정)-2003619 15" xfId="5037"/>
    <cellStyle name="Ç¥ÁØ_Sheet1_Áý°èÇ¥(2¿ù) _대손충당금설정검토(상반기추정)-2003619 15" xfId="5038"/>
    <cellStyle name="C￥AØ_Sheet1_Ay°eC￥(2¿u) _대손충당금설정검토(상반기추정)-2003619 2" xfId="5039"/>
    <cellStyle name="Ç¥ÁØ_Sheet1_Áý°èÇ¥(2¿ù) _대손충당금설정검토(상반기추정)-2003619 2" xfId="5040"/>
    <cellStyle name="C￥AØ_Sheet1_Ay°eC￥(2¿u) _대손충당금설정검토(상반기추정)-2003619 3" xfId="5041"/>
    <cellStyle name="Ç¥ÁØ_Sheet1_Áý°èÇ¥(2¿ù) _대손충당금설정검토(상반기추정)-2003619 3" xfId="5042"/>
    <cellStyle name="C￥AØ_Sheet1_Ay°eC￥(2¿u) _대손충당금설정검토(상반기추정)-2003619 4" xfId="5043"/>
    <cellStyle name="Ç¥ÁØ_Sheet1_Áý°èÇ¥(2¿ù) _대손충당금설정검토(상반기추정)-2003619 4" xfId="5044"/>
    <cellStyle name="C￥AØ_Sheet1_Ay°eC￥(2¿u) _대손충당금설정검토(상반기추정)-2003619 5" xfId="5045"/>
    <cellStyle name="Ç¥ÁØ_Sheet1_Áý°èÇ¥(2¿ù) _대손충당금설정검토(상반기추정)-2003619 5" xfId="5046"/>
    <cellStyle name="C￥AØ_Sheet1_Ay°eC￥(2¿u) _대손충당금설정검토(상반기추정)-2003619 6" xfId="5047"/>
    <cellStyle name="Ç¥ÁØ_Sheet1_Áý°èÇ¥(2¿ù) _대손충당금설정검토(상반기추정)-2003619 6" xfId="5048"/>
    <cellStyle name="C￥AØ_Sheet1_Ay°eC￥(2¿u) _대손충당금설정검토(상반기추정)-2003619 7" xfId="5049"/>
    <cellStyle name="Ç¥ÁØ_Sheet1_Áý°èÇ¥(2¿ù) _대손충당금설정검토(상반기추정)-2003619 7" xfId="5050"/>
    <cellStyle name="C￥AØ_Sheet1_Ay°eC￥(2¿u) _대손충당금설정검토(상반기추정)-2003619 8" xfId="5051"/>
    <cellStyle name="Ç¥ÁØ_Sheet1_Áý°èÇ¥(2¿ù) _대손충당금설정검토(상반기추정)-2003619 8" xfId="5052"/>
    <cellStyle name="C￥AØ_Sheet1_Ay°eC￥(2¿u) _대손충당금설정검토(상반기추정)-2003619 9" xfId="5053"/>
    <cellStyle name="Ç¥ÁØ_Sheet1_Áý°èÇ¥(2¿ù) _대손충당금설정검토(상반기추정)-2003619 9" xfId="5054"/>
    <cellStyle name="C￥AØ_Sheet1_Ay°eC￥(2¿u) _반기" xfId="5055"/>
    <cellStyle name="Ç¥ÁØ_Sheet1_Áý°èÇ¥(2¿ù) _반기" xfId="5056"/>
    <cellStyle name="C￥AØ_Sheet1_Ay°eC￥(2¿u) _반기 10" xfId="5057"/>
    <cellStyle name="Ç¥ÁØ_Sheet1_Áý°èÇ¥(2¿ù) _반기 10" xfId="5058"/>
    <cellStyle name="C￥AØ_Sheet1_Ay°eC￥(2¿u) _반기 11" xfId="5059"/>
    <cellStyle name="Ç¥ÁØ_Sheet1_Áý°èÇ¥(2¿ù) _반기 11" xfId="5060"/>
    <cellStyle name="C￥AØ_Sheet1_Ay°eC￥(2¿u) _반기 12" xfId="5061"/>
    <cellStyle name="Ç¥ÁØ_Sheet1_Áý°èÇ¥(2¿ù) _반기 12" xfId="5062"/>
    <cellStyle name="C￥AØ_Sheet1_Ay°eC￥(2¿u) _반기 13" xfId="5063"/>
    <cellStyle name="Ç¥ÁØ_Sheet1_Áý°èÇ¥(2¿ù) _반기 13" xfId="5064"/>
    <cellStyle name="C￥AØ_Sheet1_Ay°eC￥(2¿u) _반기 14" xfId="5065"/>
    <cellStyle name="Ç¥ÁØ_Sheet1_Áý°èÇ¥(2¿ù) _반기 14" xfId="5066"/>
    <cellStyle name="C￥AØ_Sheet1_Ay°eC￥(2¿u) _반기 15" xfId="5067"/>
    <cellStyle name="Ç¥ÁØ_Sheet1_Áý°èÇ¥(2¿ù) _반기 15" xfId="5068"/>
    <cellStyle name="C￥AØ_Sheet1_Ay°eC￥(2¿u) _반기 2" xfId="5069"/>
    <cellStyle name="Ç¥ÁØ_Sheet1_Áý°èÇ¥(2¿ù) _반기 2" xfId="5070"/>
    <cellStyle name="C￥AØ_Sheet1_Ay°eC￥(2¿u) _반기 3" xfId="5071"/>
    <cellStyle name="Ç¥ÁØ_Sheet1_Áý°èÇ¥(2¿ù) _반기 3" xfId="5072"/>
    <cellStyle name="C￥AØ_Sheet1_Ay°eC￥(2¿u) _반기 4" xfId="5073"/>
    <cellStyle name="Ç¥ÁØ_Sheet1_Áý°èÇ¥(2¿ù) _반기 4" xfId="5074"/>
    <cellStyle name="C￥AØ_Sheet1_Ay°eC￥(2¿u) _반기 5" xfId="5075"/>
    <cellStyle name="Ç¥ÁØ_Sheet1_Áý°èÇ¥(2¿ù) _반기 5" xfId="5076"/>
    <cellStyle name="C￥AØ_Sheet1_Ay°eC￥(2¿u) _반기 6" xfId="5077"/>
    <cellStyle name="Ç¥ÁØ_Sheet1_Áý°èÇ¥(2¿ù) _반기 6" xfId="5078"/>
    <cellStyle name="C￥AØ_Sheet1_Ay°eC￥(2¿u) _반기 7" xfId="5079"/>
    <cellStyle name="Ç¥ÁØ_Sheet1_Áý°èÇ¥(2¿ù) _반기 7" xfId="5080"/>
    <cellStyle name="C￥AØ_Sheet1_Ay°eC￥(2¿u) _반기 8" xfId="5081"/>
    <cellStyle name="Ç¥ÁØ_Sheet1_Áý°èÇ¥(2¿ù) _반기 8" xfId="5082"/>
    <cellStyle name="C￥AØ_Sheet1_Ay°eC￥(2¿u) _반기 9" xfId="5083"/>
    <cellStyle name="Ç¥ÁØ_Sheet1_Áý°èÇ¥(2¿ù) _반기 9" xfId="5084"/>
    <cellStyle name="C￥AØ_Sheet1_Ay°eC￥(2¿u) _순천공장, 투자계획안(3차조정안)" xfId="5085"/>
    <cellStyle name="Ç¥ÁØ_Sheet1_Áý°èÇ¥(2¿ù) _순천공장, 투자계획안(3차조정안)" xfId="5086"/>
    <cellStyle name="C￥AØ_Sheet1_Ay°eC￥(2¿u) _순천공장, 투자계획안(3차조정안)_투자계획" xfId="5087"/>
    <cellStyle name="Ç¥ÁØ_Sheet1_Áý°èÇ¥(2¿ù) _순천공장, 투자계획안(3차조정안)_투자계획" xfId="5088"/>
    <cellStyle name="C￥AØ_Sheet1_Ay°eC￥(2¿u) _제시손익(02,03)" xfId="5089"/>
    <cellStyle name="Ç¥ÁØ_Sheet1_Áý°èÇ¥(2¿ù) _제시손익(02,03)" xfId="5090"/>
    <cellStyle name="C￥AØ_Sheet1_Ay°eC￥(2¿u) _제시손익(02,03) 10" xfId="5091"/>
    <cellStyle name="Ç¥ÁØ_Sheet1_Áý°èÇ¥(2¿ù) _제시손익(02,03) 10" xfId="5092"/>
    <cellStyle name="C￥AØ_Sheet1_Ay°eC￥(2¿u) _제시손익(02,03) 11" xfId="5093"/>
    <cellStyle name="Ç¥ÁØ_Sheet1_Áý°èÇ¥(2¿ù) _제시손익(02,03) 11" xfId="5094"/>
    <cellStyle name="C￥AØ_Sheet1_Ay°eC￥(2¿u) _제시손익(02,03) 12" xfId="5095"/>
    <cellStyle name="Ç¥ÁØ_Sheet1_Áý°èÇ¥(2¿ù) _제시손익(02,03) 12" xfId="5096"/>
    <cellStyle name="C￥AØ_Sheet1_Ay°eC￥(2¿u) _제시손익(02,03) 13" xfId="5097"/>
    <cellStyle name="Ç¥ÁØ_Sheet1_Áý°èÇ¥(2¿ù) _제시손익(02,03) 13" xfId="5098"/>
    <cellStyle name="C￥AØ_Sheet1_Ay°eC￥(2¿u) _제시손익(02,03) 14" xfId="5099"/>
    <cellStyle name="Ç¥ÁØ_Sheet1_Áý°èÇ¥(2¿ù) _제시손익(02,03) 14" xfId="5100"/>
    <cellStyle name="C￥AØ_Sheet1_Ay°eC￥(2¿u) _제시손익(02,03) 15" xfId="5101"/>
    <cellStyle name="Ç¥ÁØ_Sheet1_Áý°èÇ¥(2¿ù) _제시손익(02,03) 15" xfId="5102"/>
    <cellStyle name="C￥AØ_Sheet1_Ay°eC￥(2¿u) _제시손익(02,03) 2" xfId="5103"/>
    <cellStyle name="Ç¥ÁØ_Sheet1_Áý°èÇ¥(2¿ù) _제시손익(02,03) 2" xfId="5104"/>
    <cellStyle name="C￥AØ_Sheet1_Ay°eC￥(2¿u) _제시손익(02,03) 3" xfId="5105"/>
    <cellStyle name="Ç¥ÁØ_Sheet1_Áý°èÇ¥(2¿ù) _제시손익(02,03) 3" xfId="5106"/>
    <cellStyle name="C￥AØ_Sheet1_Ay°eC￥(2¿u) _제시손익(02,03) 4" xfId="5107"/>
    <cellStyle name="Ç¥ÁØ_Sheet1_Áý°èÇ¥(2¿ù) _제시손익(02,03) 4" xfId="5108"/>
    <cellStyle name="C￥AØ_Sheet1_Ay°eC￥(2¿u) _제시손익(02,03) 5" xfId="5109"/>
    <cellStyle name="Ç¥ÁØ_Sheet1_Áý°èÇ¥(2¿ù) _제시손익(02,03) 5" xfId="5110"/>
    <cellStyle name="C￥AØ_Sheet1_Ay°eC￥(2¿u) _제시손익(02,03) 6" xfId="5111"/>
    <cellStyle name="Ç¥ÁØ_Sheet1_Áý°èÇ¥(2¿ù) _제시손익(02,03) 6" xfId="5112"/>
    <cellStyle name="C￥AØ_Sheet1_Ay°eC￥(2¿u) _제시손익(02,03) 7" xfId="5113"/>
    <cellStyle name="Ç¥ÁØ_Sheet1_Áý°èÇ¥(2¿ù) _제시손익(02,03) 7" xfId="5114"/>
    <cellStyle name="C￥AØ_Sheet1_Ay°eC￥(2¿u) _제시손익(02,03) 8" xfId="5115"/>
    <cellStyle name="Ç¥ÁØ_Sheet1_Áý°èÇ¥(2¿ù) _제시손익(02,03) 8" xfId="5116"/>
    <cellStyle name="C￥AØ_Sheet1_Ay°eC￥(2¿u) _제시손익(02,03) 9" xfId="5117"/>
    <cellStyle name="Ç¥ÁØ_Sheet1_Áý°èÇ¥(2¿ù) _제시손익(02,03) 9" xfId="5118"/>
    <cellStyle name="C￥AØ_Sheet1_Ay°eC￥(2¿u) _후순위채내역" xfId="5119"/>
    <cellStyle name="Ç¥ÁØ_Sheet1_Áý°èÇ¥(2¿ù) _후순위채내역" xfId="5120"/>
    <cellStyle name="C￥AØ_Sheet1_Ay°eC￥(2¿u) _후순위채내역 10" xfId="5121"/>
    <cellStyle name="Ç¥ÁØ_Sheet1_Áý°èÇ¥(2¿ù) _후순위채내역 10" xfId="5122"/>
    <cellStyle name="C￥AØ_Sheet1_Ay°eC￥(2¿u) _후순위채내역 11" xfId="5123"/>
    <cellStyle name="Ç¥ÁØ_Sheet1_Áý°èÇ¥(2¿ù) _후순위채내역 11" xfId="5124"/>
    <cellStyle name="C￥AØ_Sheet1_Ay°eC￥(2¿u) _후순위채내역 12" xfId="5125"/>
    <cellStyle name="Ç¥ÁØ_Sheet1_Áý°èÇ¥(2¿ù) _후순위채내역 12" xfId="5126"/>
    <cellStyle name="C￥AØ_Sheet1_Ay°eC￥(2¿u) _후순위채내역 13" xfId="5127"/>
    <cellStyle name="Ç¥ÁØ_Sheet1_Áý°èÇ¥(2¿ù) _후순위채내역 13" xfId="5128"/>
    <cellStyle name="C￥AØ_Sheet1_Ay°eC￥(2¿u) _후순위채내역 14" xfId="5129"/>
    <cellStyle name="Ç¥ÁØ_Sheet1_Áý°èÇ¥(2¿ù) _후순위채내역 14" xfId="5130"/>
    <cellStyle name="C￥AØ_Sheet1_Ay°eC￥(2¿u) _후순위채내역 15" xfId="5131"/>
    <cellStyle name="Ç¥ÁØ_Sheet1_Áý°èÇ¥(2¿ù) _후순위채내역 15" xfId="5132"/>
    <cellStyle name="C￥AØ_Sheet1_Ay°eC￥(2¿u) _후순위채내역 2" xfId="5133"/>
    <cellStyle name="Ç¥ÁØ_Sheet1_Áý°èÇ¥(2¿ù) _후순위채내역 2" xfId="5134"/>
    <cellStyle name="C￥AØ_Sheet1_Ay°eC￥(2¿u) _후순위채내역 3" xfId="5135"/>
    <cellStyle name="Ç¥ÁØ_Sheet1_Áý°èÇ¥(2¿ù) _후순위채내역 3" xfId="5136"/>
    <cellStyle name="C￥AØ_Sheet1_Ay°eC￥(2¿u) _후순위채내역 4" xfId="5137"/>
    <cellStyle name="Ç¥ÁØ_Sheet1_Áý°èÇ¥(2¿ù) _후순위채내역 4" xfId="5138"/>
    <cellStyle name="C￥AØ_Sheet1_Ay°eC￥(2¿u) _후순위채내역 5" xfId="5139"/>
    <cellStyle name="Ç¥ÁØ_Sheet1_Áý°èÇ¥(2¿ù) _후순위채내역 5" xfId="5140"/>
    <cellStyle name="C￥AØ_Sheet1_Ay°eC￥(2¿u) _후순위채내역 6" xfId="5141"/>
    <cellStyle name="Ç¥ÁØ_Sheet1_Áý°èÇ¥(2¿ù) _후순위채내역 6" xfId="5142"/>
    <cellStyle name="C￥AØ_Sheet1_Ay°eC￥(2¿u) _후순위채내역 7" xfId="5143"/>
    <cellStyle name="Ç¥ÁØ_Sheet1_Áý°èÇ¥(2¿ù) _후순위채내역 7" xfId="5144"/>
    <cellStyle name="C￥AØ_Sheet1_Ay°eC￥(2¿u) _후순위채내역 8" xfId="5145"/>
    <cellStyle name="Ç¥ÁØ_Sheet1_Áý°èÇ¥(2¿ù) _후순위채내역 8" xfId="5146"/>
    <cellStyle name="C￥AØ_Sheet1_Ay°eC￥(2¿u) _후순위채내역 9" xfId="5147"/>
    <cellStyle name="Ç¥ÁØ_Sheet1_Áý°èÇ¥(2¿ù) _후순위채내역 9" xfId="5148"/>
    <cellStyle name="C￥AØ_SOON1 " xfId="5149"/>
    <cellStyle name="Calc C⟐rrency (0)" xfId="5150"/>
    <cellStyle name="Calc Currency (0)" xfId="5151"/>
    <cellStyle name="Calc Currency (0) 2" xfId="5152"/>
    <cellStyle name="Calc Currency (0) 3" xfId="5153"/>
    <cellStyle name="Calc Currency (2)" xfId="5154"/>
    <cellStyle name="Calc Currency (2) 2" xfId="5155"/>
    <cellStyle name="Calc Percent (0)" xfId="5156"/>
    <cellStyle name="Calc Percent (0) 2" xfId="5157"/>
    <cellStyle name="Calc Percent (1)" xfId="5158"/>
    <cellStyle name="Calc Percent (2)" xfId="5159"/>
    <cellStyle name="Calc Percent (2) 2" xfId="5160"/>
    <cellStyle name="Calc Units (0)" xfId="5161"/>
    <cellStyle name="Calc Units (0) 2" xfId="5162"/>
    <cellStyle name="Calc Units (1)" xfId="5163"/>
    <cellStyle name="Calc Units (1) 2" xfId="5164"/>
    <cellStyle name="Calc Units (2)" xfId="5165"/>
    <cellStyle name="Calculation" xfId="5166"/>
    <cellStyle name="Calculation 2" xfId="5167"/>
    <cellStyle name="Case" xfId="5168"/>
    <cellStyle name="cate" xfId="5169"/>
    <cellStyle name="cate1" xfId="5170"/>
    <cellStyle name="cate2" xfId="5171"/>
    <cellStyle name="category" xfId="5172"/>
    <cellStyle name="Check Cell" xfId="5173"/>
    <cellStyle name="choi" xfId="5174"/>
    <cellStyle name="CIAIÆU¸μAⓒ" xfId="5175"/>
    <cellStyle name="ⓒoe¨￢¨￠Aⓒ÷_¡¾aA￠￢" xfId="5176"/>
    <cellStyle name="Column Heading" xfId="5177"/>
    <cellStyle name="ColumnHeading" xfId="5178"/>
    <cellStyle name="columns_array" xfId="5179"/>
    <cellStyle name="CombinedVol_Data" xfId="5180"/>
    <cellStyle name="Comma" xfId="5181"/>
    <cellStyle name="Comma  - A?Cu1" xfId="5182"/>
    <cellStyle name="Comma  - A?Cu2" xfId="5183"/>
    <cellStyle name="Comma  - A?Cu3" xfId="5184"/>
    <cellStyle name="Comma  - A?Cu4" xfId="5185"/>
    <cellStyle name="Comma  - A?Cu5" xfId="5186"/>
    <cellStyle name="Comma  - A?Cu6" xfId="5187"/>
    <cellStyle name="Comma  - A?Cu7" xfId="5188"/>
    <cellStyle name="Comma  - A?Cu8" xfId="5189"/>
    <cellStyle name="Comma  - Style1" xfId="5190"/>
    <cellStyle name="Comma  - Style1 2" xfId="5191"/>
    <cellStyle name="Comma  - Style2" xfId="5192"/>
    <cellStyle name="Comma  - Style2 2" xfId="5193"/>
    <cellStyle name="Comma  - Style3" xfId="5194"/>
    <cellStyle name="Comma  - Style3 2" xfId="5195"/>
    <cellStyle name="Comma  - Style4" xfId="5196"/>
    <cellStyle name="Comma  - Style4 2" xfId="5197"/>
    <cellStyle name="Comma  - Style5" xfId="5198"/>
    <cellStyle name="Comma  - Style5 2" xfId="5199"/>
    <cellStyle name="Comma  - Style6" xfId="5200"/>
    <cellStyle name="Comma  - Style6 2" xfId="5201"/>
    <cellStyle name="Comma  - Style7" xfId="5202"/>
    <cellStyle name="Comma  - Style7 2" xfId="5203"/>
    <cellStyle name="Comma  - Style8" xfId="5204"/>
    <cellStyle name="Comma  - Style8 2" xfId="5205"/>
    <cellStyle name="Comma  - 유형1" xfId="5206"/>
    <cellStyle name="Comma  - 유형2" xfId="5207"/>
    <cellStyle name="Comma  - 유형3" xfId="5208"/>
    <cellStyle name="Comma  - 유형4" xfId="5209"/>
    <cellStyle name="Comma  - 유형5" xfId="5210"/>
    <cellStyle name="Comma  - 유형6" xfId="5211"/>
    <cellStyle name="Comma  - 유형7" xfId="5212"/>
    <cellStyle name="Comma  - 유형8" xfId="5213"/>
    <cellStyle name="Comma [0]" xfId="5214"/>
    <cellStyle name="Comma [0] 2" xfId="181"/>
    <cellStyle name="Comma [0] 3" xfId="5215"/>
    <cellStyle name="Comma [0][[heet1_FY96" xfId="5216"/>
    <cellStyle name="Comma [0]_ 내역 (2)" xfId="5217"/>
    <cellStyle name="Comma [00]" xfId="5218"/>
    <cellStyle name="Comma [00] 2" xfId="5219"/>
    <cellStyle name="Comma 0" xfId="5220"/>
    <cellStyle name="Comma 2" xfId="5221"/>
    <cellStyle name="Comma 3" xfId="5222"/>
    <cellStyle name="Comma 4" xfId="5223"/>
    <cellStyle name="Comma 5" xfId="5224"/>
    <cellStyle name="comma zerodec" xfId="5225"/>
    <cellStyle name="comma zerodec 2" xfId="5226"/>
    <cellStyle name="Comma^ODCOS " xfId="5227"/>
    <cellStyle name="Comma_  address" xfId="5228"/>
    <cellStyle name="Comma0" xfId="5229"/>
    <cellStyle name="Comma0 - Modelo1" xfId="5230"/>
    <cellStyle name="Comma0 - Modelo1 2" xfId="5231"/>
    <cellStyle name="Comma0 - Modelo1 2 2" xfId="5232"/>
    <cellStyle name="Comma0 - Modelo1 2 3" xfId="5233"/>
    <cellStyle name="Comma0 - Modelo1 3" xfId="5234"/>
    <cellStyle name="Comma0 - Modelo1 4" xfId="5235"/>
    <cellStyle name="Comma0 - Style1" xfId="5236"/>
    <cellStyle name="Comma0 2" xfId="5237"/>
    <cellStyle name="Comma0 3" xfId="5238"/>
    <cellStyle name="Comma0_한일_06기말정산표_0224v1" xfId="5239"/>
    <cellStyle name="Comma1 - Modelo2" xfId="5240"/>
    <cellStyle name="Comma1 - Modelo2 2" xfId="5241"/>
    <cellStyle name="Comma1 - Modelo2 2 2" xfId="5242"/>
    <cellStyle name="Comma1 - Modelo2 2 3" xfId="5243"/>
    <cellStyle name="Comma1 - Modelo2 3" xfId="5244"/>
    <cellStyle name="Comma1 - Modelo2 4" xfId="5245"/>
    <cellStyle name="Comma1 - Style2" xfId="5246"/>
    <cellStyle name="Component" xfId="5247"/>
    <cellStyle name="Cooma_Real Rev per Staff (2)" xfId="5248"/>
    <cellStyle name="Copied" xfId="5249"/>
    <cellStyle name="COST1" xfId="5250"/>
    <cellStyle name="Cur?ncy [0]_QTR94_95_97회비_사업부제품광고제외 (2)_11요식 " xfId="5251"/>
    <cellStyle name="Curren - Style2" xfId="5252"/>
    <cellStyle name="Curren?_x0012_퐀_x0017_?" xfId="5253"/>
    <cellStyle name="Currenc?[0]_MATERAL2_실예PL " xfId="5254"/>
    <cellStyle name="Currenc?ODCOS " xfId="5255"/>
    <cellStyle name="Currency" xfId="5256"/>
    <cellStyle name="Currency--" xfId="5257"/>
    <cellStyle name="Currency [0]" xfId="5258"/>
    <cellStyle name="Currency [0] 2" xfId="5259"/>
    <cellStyle name="Currency [0] 3" xfId="5260"/>
    <cellStyle name="Currency [0]?1" xfId="5261"/>
    <cellStyle name="Currency [0]_ SG&amp;A Bridge " xfId="5262"/>
    <cellStyle name="Currency [0}_r1" xfId="5263"/>
    <cellStyle name="Currency [00]" xfId="5264"/>
    <cellStyle name="Currency [00] 2" xfId="5265"/>
    <cellStyle name="Currency [1]" xfId="5266"/>
    <cellStyle name="Currency [2]" xfId="5267"/>
    <cellStyle name="Currency 0" xfId="5268"/>
    <cellStyle name="Currency 2" xfId="5269"/>
    <cellStyle name="Currency 3" xfId="5270"/>
    <cellStyle name="Currency 4" xfId="5271"/>
    <cellStyle name="Currency 5" xfId="5272"/>
    <cellStyle name="currency-$" xfId="5273"/>
    <cellStyle name="Currency_  address" xfId="5274"/>
    <cellStyle name="Currency--_3700-200(Equity)_v13" xfId="5275"/>
    <cellStyle name="Currency_ARN (2)" xfId="5276"/>
    <cellStyle name="Currency`[0]_P&amp;L" xfId="5277"/>
    <cellStyle name="Currency0" xfId="5278"/>
    <cellStyle name="Currency0 2" xfId="5279"/>
    <cellStyle name="Currency1" xfId="5280"/>
    <cellStyle name="Currency1 2" xfId="5281"/>
    <cellStyle name="Currency1 3" xfId="5282"/>
    <cellStyle name="Curren堼y_9월경비_1월회비내역 (2)_1" xfId="5283"/>
    <cellStyle name="Cu䁲rency [0]_QTR94_95_97회비" xfId="5284"/>
    <cellStyle name="ÇYÁO_?1»e?äA» " xfId="5285"/>
    <cellStyle name="d" xfId="5286"/>
    <cellStyle name="D 2" xfId="5287"/>
    <cellStyle name="D_01_AM monthly_Lease_200208" xfId="5288"/>
    <cellStyle name="D_02_AM monthly_analysis_2000208" xfId="5289"/>
    <cellStyle name="D_03_yardi_한화_20028" xfId="5290"/>
    <cellStyle name="D_05_yardi_대한_200208" xfId="5291"/>
    <cellStyle name="D_cover_yardi_Yvette" xfId="5292"/>
    <cellStyle name="D_PM Monthly report_한화_송부" xfId="5293"/>
    <cellStyle name="D_Rev1_IS Report_by C&amp;W_for Sep" xfId="5294"/>
    <cellStyle name="D_Sheet11" xfId="5295"/>
    <cellStyle name="D_Sheet12" xfId="5296"/>
    <cellStyle name="D_Sheet5" xfId="5297"/>
    <cellStyle name="D_Sheet6" xfId="5298"/>
    <cellStyle name="d_정산표-현대선물_200906_ver5.3" xfId="5299"/>
    <cellStyle name="D_한화_수익편차" xfId="5300"/>
    <cellStyle name="Date" xfId="5301"/>
    <cellStyle name="Date [d-mmm-yy]" xfId="5302"/>
    <cellStyle name="Date [mm-dd-yy]" xfId="5303"/>
    <cellStyle name="Date [mm-dd-yyyy]" xfId="5304"/>
    <cellStyle name="Date [mm-d-yy]" xfId="5305"/>
    <cellStyle name="Date [mm-d-yyyy]" xfId="5306"/>
    <cellStyle name="Date [mmm-d-yy]" xfId="5307"/>
    <cellStyle name="Date [mmm-d-yyyy]" xfId="5308"/>
    <cellStyle name="Date [mmm-yy]" xfId="5309"/>
    <cellStyle name="Date [mmm-yyyy]" xfId="5310"/>
    <cellStyle name="Date 2" xfId="5311"/>
    <cellStyle name="Date 3" xfId="5312"/>
    <cellStyle name="Date 4" xfId="5313"/>
    <cellStyle name="Date Aligned" xfId="5314"/>
    <cellStyle name="Date Aligned 2" xfId="5315"/>
    <cellStyle name="Date Short" xfId="5316"/>
    <cellStyle name="Date_★ 2005년 법인세 세부 내역(최종)revised" xfId="5317"/>
    <cellStyle name="Date2" xfId="5318"/>
    <cellStyle name="Date2h" xfId="5319"/>
    <cellStyle name="DATETIME" xfId="5320"/>
    <cellStyle name="Datum 10" xfId="5321"/>
    <cellStyle name="Datum 11" xfId="5322"/>
    <cellStyle name="Datum 12" xfId="5323"/>
    <cellStyle name="Datum 8" xfId="5324"/>
    <cellStyle name="Datum 9" xfId="5325"/>
    <cellStyle name="dec0" xfId="5326"/>
    <cellStyle name="dec1" xfId="5327"/>
    <cellStyle name="dec2" xfId="5328"/>
    <cellStyle name="dec4" xfId="5329"/>
    <cellStyle name="DELTA" xfId="5330"/>
    <cellStyle name="Dezimal [0]_Aktenbewertung 1994" xfId="5331"/>
    <cellStyle name="Dezimal_Aktenbewertung 1994" xfId="5332"/>
    <cellStyle name="Dia" xfId="5333"/>
    <cellStyle name="Dollar (zero dec)" xfId="5334"/>
    <cellStyle name="Dollar (zero dec) 2" xfId="5335"/>
    <cellStyle name="dollars" xfId="5336"/>
    <cellStyle name="Dotted Line" xfId="5337"/>
    <cellStyle name="Dotted Line 2" xfId="5338"/>
    <cellStyle name="Double Accounting" xfId="5339"/>
    <cellStyle name="Double Accounting 2" xfId="5340"/>
    <cellStyle name="DownLoad" xfId="5341"/>
    <cellStyle name="DSYSPROJ" xfId="5342"/>
    <cellStyle name="EASpecial" xfId="5343"/>
    <cellStyle name="egg" xfId="5344"/>
    <cellStyle name="Encabez1" xfId="5345"/>
    <cellStyle name="Encabez2" xfId="5346"/>
    <cellStyle name="Enter Currency (0)" xfId="5347"/>
    <cellStyle name="Enter Currency (0) 2" xfId="5348"/>
    <cellStyle name="Enter Currency (2)" xfId="5349"/>
    <cellStyle name="Enter Currency (2) 2" xfId="5350"/>
    <cellStyle name="Enter Units (0)" xfId="5351"/>
    <cellStyle name="Enter Units (0) 2" xfId="5352"/>
    <cellStyle name="Enter Units (1)" xfId="5353"/>
    <cellStyle name="Enter Units (1) 2" xfId="5354"/>
    <cellStyle name="Enter Units (2)" xfId="5355"/>
    <cellStyle name="Enter Units (2) 2" xfId="5356"/>
    <cellStyle name="Entered" xfId="5357"/>
    <cellStyle name="entry" xfId="5358"/>
    <cellStyle name="Euro" xfId="5359"/>
    <cellStyle name="Euro 2" xfId="5360"/>
    <cellStyle name="EvenBodyShade" xfId="5361"/>
    <cellStyle name="Explanatory Text" xfId="5362"/>
    <cellStyle name="F1" xfId="5363"/>
    <cellStyle name="F2" xfId="5364"/>
    <cellStyle name="F2 2" xfId="5365"/>
    <cellStyle name="F3" xfId="5366"/>
    <cellStyle name="F3 2" xfId="5367"/>
    <cellStyle name="F4" xfId="5368"/>
    <cellStyle name="F4 2" xfId="5369"/>
    <cellStyle name="F5" xfId="5370"/>
    <cellStyle name="F5 2" xfId="5371"/>
    <cellStyle name="F6" xfId="5372"/>
    <cellStyle name="F6 2" xfId="5373"/>
    <cellStyle name="F7" xfId="5374"/>
    <cellStyle name="F7 2" xfId="5375"/>
    <cellStyle name="F8" xfId="5376"/>
    <cellStyle name="F8 2" xfId="5377"/>
    <cellStyle name="Fijo" xfId="5378"/>
    <cellStyle name="Financiero" xfId="5379"/>
    <cellStyle name="Fixed" xfId="5380"/>
    <cellStyle name="Fixed [0]" xfId="5381"/>
    <cellStyle name="Fixed 2" xfId="5382"/>
    <cellStyle name="Fixed 3" xfId="5383"/>
    <cellStyle name="Fixed 4" xfId="5384"/>
    <cellStyle name="Fixed_정산표-현대선물_200906_ver5.3" xfId="5385"/>
    <cellStyle name="Followed Hyperlink" xfId="5386"/>
    <cellStyle name="Followed Hyperlink 2" xfId="5387"/>
    <cellStyle name="Followed Hyperlink 3" xfId="5388"/>
    <cellStyle name="Footnote" xfId="5389"/>
    <cellStyle name="G10" xfId="5390"/>
    <cellStyle name="gbox" xfId="5391"/>
    <cellStyle name="gbox 2" xfId="5392"/>
    <cellStyle name="gbox 3" xfId="5393"/>
    <cellStyle name="gchoose" xfId="5394"/>
    <cellStyle name="gen" xfId="5395"/>
    <cellStyle name="GerBOM1" xfId="5396"/>
    <cellStyle name="Good" xfId="5397"/>
    <cellStyle name="GrandTotal" xfId="5398"/>
    <cellStyle name="Grey" xfId="5399"/>
    <cellStyle name="Grey 2" xfId="5400"/>
    <cellStyle name="grey2" xfId="5401"/>
    <cellStyle name="greyl" xfId="5402"/>
    <cellStyle name="GrowthRate" xfId="5403"/>
    <cellStyle name="Hard Percent" xfId="5404"/>
    <cellStyle name="Head1" xfId="5405"/>
    <cellStyle name="Head2" xfId="5406"/>
    <cellStyle name="Head3" xfId="5407"/>
    <cellStyle name="Head4" xfId="5408"/>
    <cellStyle name="Head5" xfId="5409"/>
    <cellStyle name="Head6" xfId="5410"/>
    <cellStyle name="Head7" xfId="5411"/>
    <cellStyle name="Head8" xfId="5412"/>
    <cellStyle name="Head9" xfId="5413"/>
    <cellStyle name="HEADER" xfId="5414"/>
    <cellStyle name="Header1" xfId="5415"/>
    <cellStyle name="Header2" xfId="5416"/>
    <cellStyle name="Header2 2" xfId="5417"/>
    <cellStyle name="Heading" xfId="5418"/>
    <cellStyle name="Heading 1" xfId="5419"/>
    <cellStyle name="Heading 1 2" xfId="5420"/>
    <cellStyle name="Heading 2" xfId="5421"/>
    <cellStyle name="Heading 2 2" xfId="5422"/>
    <cellStyle name="Heading 2 3" xfId="5423"/>
    <cellStyle name="Heading 3" xfId="5424"/>
    <cellStyle name="Heading 3 2" xfId="5425"/>
    <cellStyle name="Heading 4" xfId="5426"/>
    <cellStyle name="heading 5" xfId="5427"/>
    <cellStyle name="heading, 1,A MAJOR/BOLD" xfId="5428"/>
    <cellStyle name="Heading_PJ전자 재무제표_20071231" xfId="5429"/>
    <cellStyle name="Heading1" xfId="5430"/>
    <cellStyle name="HEADING1 2" xfId="5431"/>
    <cellStyle name="Heading1 3" xfId="5432"/>
    <cellStyle name="Heading2" xfId="5433"/>
    <cellStyle name="HEADING2 2" xfId="5434"/>
    <cellStyle name="Heading2 3" xfId="5435"/>
    <cellStyle name="Heading4" xfId="5436"/>
    <cellStyle name="HEADINGS" xfId="5437"/>
    <cellStyle name="HEADINGSTOP" xfId="5438"/>
    <cellStyle name="HeadShade" xfId="5439"/>
    <cellStyle name="Hedaings" xfId="5440"/>
    <cellStyle name="Horizontal" xfId="5441"/>
    <cellStyle name="Hyperlink" xfId="5442"/>
    <cellStyle name="Hyperlink 2" xfId="5443"/>
    <cellStyle name="I" xfId="5444"/>
    <cellStyle name="I_01_AM monthly_Lease_200208" xfId="5445"/>
    <cellStyle name="I_02_AM monthly_analysis_2000208" xfId="5446"/>
    <cellStyle name="I_03_yardi_한화_20028" xfId="5447"/>
    <cellStyle name="I_05_yardi_대한_200208" xfId="5448"/>
    <cellStyle name="I_cover_yardi_Yvette" xfId="5449"/>
    <cellStyle name="I_IS" xfId="5450"/>
    <cellStyle name="I_PM Monthly report_한화_송부" xfId="5451"/>
    <cellStyle name="I_Rev1_IS Report_by C&amp;W_for Sep" xfId="5452"/>
    <cellStyle name="I_Sheet11" xfId="5453"/>
    <cellStyle name="I_Sheet12" xfId="5454"/>
    <cellStyle name="I_한화_수익편차" xfId="5455"/>
    <cellStyle name="Iau÷iu?INCOM1" xfId="5456"/>
    <cellStyle name="Iau÷iu?INCOM10" xfId="5457"/>
    <cellStyle name="Iau÷iu?INCOM2" xfId="5458"/>
    <cellStyle name="Iau÷iu?INCOM3" xfId="5459"/>
    <cellStyle name="Iau÷iu?INCOM4" xfId="5460"/>
    <cellStyle name="Iau÷iu?INCOM5" xfId="5461"/>
    <cellStyle name="Iau÷iu?INCOM6" xfId="5462"/>
    <cellStyle name="Iau÷iu?INCOM7" xfId="5463"/>
    <cellStyle name="Iau÷iu?INCOM8" xfId="5464"/>
    <cellStyle name="Iau÷iu?INCOM9" xfId="5465"/>
    <cellStyle name="Iau÷iu?PRIB11" xfId="5466"/>
    <cellStyle name="Îáû÷íûé_INCOM1" xfId="5467"/>
    <cellStyle name="iles|_x0005_h" xfId="5468"/>
    <cellStyle name="Input" xfId="5469"/>
    <cellStyle name="Input [yellow]" xfId="5470"/>
    <cellStyle name="Input [yellow] 2" xfId="5471"/>
    <cellStyle name="Input [yellow] 3" xfId="5472"/>
    <cellStyle name="Input 2" xfId="5473"/>
    <cellStyle name="Input 3" xfId="5474"/>
    <cellStyle name="Input 4" xfId="5475"/>
    <cellStyle name="input 5" xfId="5476"/>
    <cellStyle name="Input Cells" xfId="5477"/>
    <cellStyle name="Input Currency" xfId="5478"/>
    <cellStyle name="Input Date" xfId="5479"/>
    <cellStyle name="Input Fixed [0]" xfId="5480"/>
    <cellStyle name="Input Normal" xfId="5481"/>
    <cellStyle name="Input Percent" xfId="5482"/>
    <cellStyle name="Input Percent [2]" xfId="5483"/>
    <cellStyle name="Input Percent_3700-200(Equity)_v13" xfId="5484"/>
    <cellStyle name="Input Titles" xfId="5485"/>
    <cellStyle name="Input_Debt Resturing" xfId="5486"/>
    <cellStyle name="ip" xfId="5487"/>
    <cellStyle name="ip 2" xfId="5488"/>
    <cellStyle name="ip 3" xfId="5489"/>
    <cellStyle name="k.h.s-style" xfId="5490"/>
    <cellStyle name="Komma [0]_BINV" xfId="5491"/>
    <cellStyle name="Komma_BINV" xfId="5492"/>
    <cellStyle name="KTY" xfId="5493"/>
    <cellStyle name="KWE標準" xfId="5494"/>
    <cellStyle name="L" xfId="5495"/>
    <cellStyle name="ŀ??ŀŀ??ŀŀ??ŀŀ??ŀŀ??ŀŀ??ŀ" xfId="5496"/>
    <cellStyle name="ŀ??ŀŀ??ŀŀ??ŀŀ??ŀŀ??ŀŀ??ŀŀ??ŀŀ??ŀŀ??ŀŀ??ŀŀ??ŀ" xfId="5497"/>
    <cellStyle name="ŀ??ŀŀ??ŀŀ??ŀŀ??ŀŀ??ŀŀ??ŀŀ??ŀŀ??ŀŀ??ŀŀ??ŀŀ??ŀ 2" xfId="5498"/>
    <cellStyle name="label" xfId="5499"/>
    <cellStyle name="left" xfId="5500"/>
    <cellStyle name="les" xfId="5501"/>
    <cellStyle name="Link Currency (0)" xfId="5502"/>
    <cellStyle name="Link Currency (0) 2" xfId="5503"/>
    <cellStyle name="Link Currency (2)" xfId="5504"/>
    <cellStyle name="Link Currency (2) 2" xfId="5505"/>
    <cellStyle name="Link Units (0)" xfId="5506"/>
    <cellStyle name="Link Units (0) 2" xfId="5507"/>
    <cellStyle name="Link Units (1)" xfId="5508"/>
    <cellStyle name="Link Units (1) 2" xfId="5509"/>
    <cellStyle name="Link Units (2)" xfId="5510"/>
    <cellStyle name="Link Units (2) 2" xfId="5511"/>
    <cellStyle name="Linked Cell" xfId="5512"/>
    <cellStyle name="Linked Cells" xfId="5513"/>
    <cellStyle name="ls" xfId="5514"/>
    <cellStyle name="ŀ䅀᠀ŀŀ䅀᠀ŀŀ䅀᠀ŀŀ䅀᠀ŀŀ䅀᠀ŀŀ䅀᠀ŀ" xfId="5515"/>
    <cellStyle name="ŀ䅀਀ŀŀ䅀᠀ŀŀ䅀਀ŀŀ䅀᠀ŀŀ䅀᠀ŀŀ䅀᠀ŀŀ䅀᠀ŀŀ䅀᠀ŀŀ䅀᠀ŀŀ䅀᠀ŀŀ䅀᠀ŀ" xfId="5516"/>
    <cellStyle name="ŀ䅀਀ŀŀ䅀᠀ŀŀ䅀਀ŀŀ䅀᠀ŀŀ䅀᠀ŀŀ䅀᠀ŀŀ䅀᠀ŀŀ䅀᠀ŀŀ䅀᠀ŀŀ䅀᠀ŀŀ䅀᠀ŀ 2" xfId="5517"/>
    <cellStyle name="M" xfId="5518"/>
    <cellStyle name="m/d/yyyy" xfId="5519"/>
    <cellStyle name="M_01_AM monthly_Lease_200208" xfId="5520"/>
    <cellStyle name="M_02_AM monthly_analysis_2000208" xfId="5521"/>
    <cellStyle name="M_03_yardi_한화_20028" xfId="5522"/>
    <cellStyle name="M_05_yardi_대한_200208" xfId="5523"/>
    <cellStyle name="M_cover_yardi_Yvette" xfId="5524"/>
    <cellStyle name="M_PM Monthly report_한화_송부" xfId="5525"/>
    <cellStyle name="M_Rev1_IS Report_by C&amp;W_for Sep" xfId="5526"/>
    <cellStyle name="M_Sheet11" xfId="5527"/>
    <cellStyle name="M_Sheet12" xfId="5528"/>
    <cellStyle name="M_Sheet5" xfId="5529"/>
    <cellStyle name="M_Sheet6" xfId="5530"/>
    <cellStyle name="M_한화_수익편차" xfId="5531"/>
    <cellStyle name="Magic" xfId="5532"/>
    <cellStyle name="Matrix" xfId="5533"/>
    <cellStyle name="Millares [0]_10 AVERIAS MASIVAS + ANT" xfId="5534"/>
    <cellStyle name="Millares_10 AVERIAS MASIVAS + ANT" xfId="5535"/>
    <cellStyle name="Milliers [0]_998" xfId="5536"/>
    <cellStyle name="Milliers_998" xfId="5537"/>
    <cellStyle name="Model" xfId="5538"/>
    <cellStyle name="Model 2" xfId="5539"/>
    <cellStyle name="ModelCool" xfId="5540"/>
    <cellStyle name="ModelCoolInput" xfId="5541"/>
    <cellStyle name="Moeda [0]_0300" xfId="5542"/>
    <cellStyle name="Moeda_0300" xfId="5543"/>
    <cellStyle name="Mon?aire [0]_Arabian Spec" xfId="5544"/>
    <cellStyle name="Mon?aire_Arabian Spec" xfId="5545"/>
    <cellStyle name="Mon?taire [0]_laroux" xfId="5546"/>
    <cellStyle name="Mon?taire_laroux" xfId="5547"/>
    <cellStyle name="Moneda [0]_10 AVERIAS MASIVAS + ANT" xfId="5548"/>
    <cellStyle name="Moneda_10 AVERIAS MASIVAS + ANT" xfId="5549"/>
    <cellStyle name="Monétaire [0]_998" xfId="5550"/>
    <cellStyle name="Monétaire_998" xfId="5551"/>
    <cellStyle name="Monetario" xfId="5552"/>
    <cellStyle name="MS Proofing Tools" xfId="5553"/>
    <cellStyle name="MS Proofing Tools 2" xfId="5554"/>
    <cellStyle name="Multiple" xfId="5555"/>
    <cellStyle name="My-수량" xfId="5556"/>
    <cellStyle name="n" xfId="5557"/>
    <cellStyle name="NA is zero" xfId="5558"/>
    <cellStyle name="nb" xfId="5559"/>
    <cellStyle name="Neutral" xfId="5560"/>
    <cellStyle name="New Times Roman" xfId="5561"/>
    <cellStyle name="nf" xfId="5562"/>
    <cellStyle name="no dec" xfId="5563"/>
    <cellStyle name="nohs" xfId="5564"/>
    <cellStyle name="Non défini" xfId="5565"/>
    <cellStyle name="Non_definito" xfId="5566"/>
    <cellStyle name="Norma`" xfId="5567"/>
    <cellStyle name="normal" xfId="5568"/>
    <cellStyle name="Normal--" xfId="5569"/>
    <cellStyle name="Normal - Style1" xfId="5570"/>
    <cellStyle name="Normal - Style1 2" xfId="5571"/>
    <cellStyle name="Normal - Style1 3" xfId="5572"/>
    <cellStyle name="Normal - Style2" xfId="5573"/>
    <cellStyle name="Normal - Style3" xfId="5574"/>
    <cellStyle name="Normal - Style4" xfId="5575"/>
    <cellStyle name="Normal - Style5" xfId="5576"/>
    <cellStyle name="Normal - Style6" xfId="5577"/>
    <cellStyle name="Normal - Style7" xfId="5578"/>
    <cellStyle name="Normal - Style8" xfId="5579"/>
    <cellStyle name="Normal [0]" xfId="5580"/>
    <cellStyle name="Normal [1]" xfId="5581"/>
    <cellStyle name="Normal [2]" xfId="5582"/>
    <cellStyle name="Normal [3]" xfId="5583"/>
    <cellStyle name="Normal 2" xfId="178"/>
    <cellStyle name="Normal 3" xfId="5584"/>
    <cellStyle name="Normal 3 2" xfId="5585"/>
    <cellStyle name="Normal Bold" xfId="5586"/>
    <cellStyle name="Normal Pct" xfId="5587"/>
    <cellStyle name="Normal_  address" xfId="5588"/>
    <cellStyle name="Normal--_3700-200(Equity)_v13" xfId="5589"/>
    <cellStyle name="Normal_Capex" xfId="5590"/>
    <cellStyle name="Normal1" xfId="5591"/>
    <cellStyle name="Normal1 2" xfId="5592"/>
    <cellStyle name="Normal1 3" xfId="5593"/>
    <cellStyle name="Normal2" xfId="5594"/>
    <cellStyle name="Normal2 2" xfId="5595"/>
    <cellStyle name="Normal2 3" xfId="5596"/>
    <cellStyle name="Normal3" xfId="5597"/>
    <cellStyle name="Normal3 2" xfId="5598"/>
    <cellStyle name="Normal4" xfId="5599"/>
    <cellStyle name="Normal4 2" xfId="5600"/>
    <cellStyle name="NormalMultiple" xfId="5601"/>
    <cellStyle name="NormalWhiteOut" xfId="5602"/>
    <cellStyle name="NormalX" xfId="5603"/>
    <cellStyle name="NormalxShadow" xfId="5604"/>
    <cellStyle name="Note" xfId="5605"/>
    <cellStyle name="Note 2" xfId="5606"/>
    <cellStyle name="Note 3" xfId="5607"/>
    <cellStyle name="noteb" xfId="5608"/>
    <cellStyle name="NPPESalesPct" xfId="5609"/>
    <cellStyle name="NWI%S" xfId="5610"/>
    <cellStyle name="õ" xfId="5611"/>
    <cellStyle name="OddBodyShade" xfId="5612"/>
    <cellStyle name="Œ…?æ맖?e [0.00]_laroux" xfId="5613"/>
    <cellStyle name="Œ…?æ맖?e_laroux" xfId="5614"/>
    <cellStyle name="Œ…‹æØ‚è [0.00]_laroux" xfId="5615"/>
    <cellStyle name="Œ…‹æØ‚è_laroux" xfId="5616"/>
    <cellStyle name="oft Excel]_x000d__x000a_Comment=The open=/f lines load custom functions into the Paste Function list._x000d__x000a_Maximized=3_x000d__x000a_AutoFormat=" xfId="5617"/>
    <cellStyle name="oft Excel]_x000d__x000a_Options3=0_x000d__x000a_Options5=1667_x000d__x000a_GetMetricBeforeRotation=1_x000d__x000a_Maximized=3_x000d__x000a_StickyPtX=396_x000d__x000a_StickyPtY=403_x000d__x000a_Defaul" xfId="5618"/>
    <cellStyle name="oft Excel]_x000d__x000a_Options5=1411_x000d__x000a_CBTLOCATION=C:\EXCEL\EXCELCBT_x000d__x000a_StickyPtX=607_x000d__x000a_StickyPtY=422_x000d__x000a_Default Chart=_x000d__x000a_Options3=0_x000d_" xfId="5619"/>
    <cellStyle name="omma [0]_Mktg Prog" xfId="5620"/>
    <cellStyle name="Option" xfId="5621"/>
    <cellStyle name="OptionHeading" xfId="5622"/>
    <cellStyle name="ًormal_Israel&amp;Safr" xfId="5623"/>
    <cellStyle name="ormal_Sheet1_1" xfId="5624"/>
    <cellStyle name="Output" xfId="5625"/>
    <cellStyle name="Output Amounts" xfId="5626"/>
    <cellStyle name="Output Amounts 2" xfId="5627"/>
    <cellStyle name="Output Amounts 3" xfId="5628"/>
    <cellStyle name="Output Column Headings" xfId="5629"/>
    <cellStyle name="Output Line Items" xfId="5630"/>
    <cellStyle name="Output Line Items 2" xfId="5631"/>
    <cellStyle name="Output Report Heading" xfId="5632"/>
    <cellStyle name="Output Report Title" xfId="5633"/>
    <cellStyle name="Overscore" xfId="5634"/>
    <cellStyle name="Overunder" xfId="5635"/>
    <cellStyle name="P" xfId="5636"/>
    <cellStyle name="page" xfId="5637"/>
    <cellStyle name="Page Number" xfId="5638"/>
    <cellStyle name="Parent" xfId="5639"/>
    <cellStyle name="pb_table_format_bottomonly" xfId="5640"/>
    <cellStyle name="PEMult" xfId="5641"/>
    <cellStyle name="per" xfId="5642"/>
    <cellStyle name="per.style" xfId="5643"/>
    <cellStyle name="Percent" xfId="5644"/>
    <cellStyle name="Percent (0)" xfId="5645"/>
    <cellStyle name="Percent [0]" xfId="5646"/>
    <cellStyle name="Percent [0] 2" xfId="5647"/>
    <cellStyle name="Percent [00]" xfId="5648"/>
    <cellStyle name="Percent [00] 2" xfId="5649"/>
    <cellStyle name="Percent [1]" xfId="5650"/>
    <cellStyle name="Percent [1] --" xfId="5651"/>
    <cellStyle name="Percent [1]_3700-200(Equity)_v13" xfId="5652"/>
    <cellStyle name="Percent [2]" xfId="5653"/>
    <cellStyle name="Percent [3]" xfId="5654"/>
    <cellStyle name="Percent 2" xfId="5655"/>
    <cellStyle name="Percent 3" xfId="5656"/>
    <cellStyle name="Percent 4" xfId="5657"/>
    <cellStyle name="Percent 5" xfId="5658"/>
    <cellStyle name="Percent Input" xfId="5659"/>
    <cellStyle name="Percent[3]--" xfId="5660"/>
    <cellStyle name="Percent_  듀어_02의 워크시트" xfId="5661"/>
    <cellStyle name="PercentSales" xfId="5662"/>
    <cellStyle name="performance report" xfId="5663"/>
    <cellStyle name="pink" xfId="5664"/>
    <cellStyle name="Placeholder" xfId="5665"/>
    <cellStyle name="pObj" xfId="5666"/>
    <cellStyle name="Porcentagem_Person" xfId="5667"/>
    <cellStyle name="Porcentaje" xfId="5668"/>
    <cellStyle name="Pourcentage_pldt" xfId="5669"/>
    <cellStyle name="PrePop Currency (0)" xfId="5670"/>
    <cellStyle name="PrePop Currency (0) 2" xfId="5671"/>
    <cellStyle name="PrePop Currency (2)" xfId="5672"/>
    <cellStyle name="PrePop Currency (2) 2" xfId="5673"/>
    <cellStyle name="PrePop Units (0)" xfId="5674"/>
    <cellStyle name="PrePop Units (0) 2" xfId="5675"/>
    <cellStyle name="PrePop Units (1)" xfId="5676"/>
    <cellStyle name="PrePop Units (1) 2" xfId="5677"/>
    <cellStyle name="PrePop Units (2)" xfId="5678"/>
    <cellStyle name="PrePop Units (2) 2" xfId="5679"/>
    <cellStyle name="Price" xfId="5680"/>
    <cellStyle name="pricing" xfId="5681"/>
    <cellStyle name="Procent_BINV" xfId="5682"/>
    <cellStyle name="Proj" xfId="5683"/>
    <cellStyle name="PSChar" xfId="5684"/>
    <cellStyle name="PSDate" xfId="5685"/>
    <cellStyle name="PSDec" xfId="5686"/>
    <cellStyle name="PSHeading" xfId="5687"/>
    <cellStyle name="PSInt" xfId="5688"/>
    <cellStyle name="PSSpacer" xfId="5689"/>
    <cellStyle name="purple" xfId="5690"/>
    <cellStyle name="PwC" xfId="5691"/>
    <cellStyle name="pwstyle" xfId="5692"/>
    <cellStyle name="qbh_x0003__x000c_bh_x0017_&quot;blTT０_x0008__x0003__x0008_?)(일)" xfId="5693"/>
    <cellStyle name="qbh_x0003__x000c_bh_x0017_&quot;blTT０_x0008__x0003__x0008_磚)(일)" xfId="5694"/>
    <cellStyle name="R?" xfId="5695"/>
    <cellStyle name="Ra" xfId="5696"/>
    <cellStyle name="red" xfId="5697"/>
    <cellStyle name="Red Font" xfId="5698"/>
    <cellStyle name="Reg1" xfId="5699"/>
    <cellStyle name="Reg2" xfId="5700"/>
    <cellStyle name="Reg3" xfId="5701"/>
    <cellStyle name="Reg4" xfId="5702"/>
    <cellStyle name="Reg5" xfId="5703"/>
    <cellStyle name="Reg6" xfId="5704"/>
    <cellStyle name="Reg7" xfId="5705"/>
    <cellStyle name="Reg8" xfId="5706"/>
    <cellStyle name="Reg9" xfId="5707"/>
    <cellStyle name="regstoresfromspecstores" xfId="5708"/>
    <cellStyle name="revised" xfId="5709"/>
    <cellStyle name="RevList" xfId="5710"/>
    <cellStyle name="RM" xfId="5711"/>
    <cellStyle name="ROJECT" xfId="5712"/>
    <cellStyle name="rrency [0]_laroux_MATERAL2" xfId="5713"/>
    <cellStyle name="s]_x000d__x000a_load=_x000d__x000a_run=_x000d__x000a_NullPort=None_x000d__x000a_DefaultQueueSize=32_x000d__x000a_PrinterSetup=1_x000d__x000a_arirang30=C:\AWP30_x000d__x000a_device=큐레이저 SF III,QPQLBP," xfId="5714"/>
    <cellStyle name="s]_x000d__x000a_load=_x000d__x000a_run=C:\HNC\NSHOOKM.EXE_x000d__x000a_NullPort=None_x000d__x000a_Arirang30=C:\AWP30_x000d__x000a_DefaultQueueSize=32_x000d__x000a_PrinterSetup=1_x000d__x000a_device=큐레 " xfId="5715"/>
    <cellStyle name="s]_x000d__x000a_load=_x000d__x000a_run=C:\V3\SCHEDULE.EXE C:\V3\SYSMON32.EXE_x000d__x000a_Beep=yes_x000d__x000a_NullPort=None_x000d__x000a_BorderWidth=3_x000d__x000a_CursorBlinkRate=530_x000d__x000a_Doub" xfId="5716"/>
    <cellStyle name="SAPError" xfId="5717"/>
    <cellStyle name="SAPKey" xfId="5718"/>
    <cellStyle name="SAPLocked" xfId="5719"/>
    <cellStyle name="SAPOutput" xfId="5720"/>
    <cellStyle name="SAPSpace" xfId="5721"/>
    <cellStyle name="SAPText" xfId="5722"/>
    <cellStyle name="SAPUnLocked" xfId="5723"/>
    <cellStyle name="sche|_x0005_" xfId="5724"/>
    <cellStyle name="section" xfId="5725"/>
    <cellStyle name="sel" xfId="5726"/>
    <cellStyle name="Separador de milhares [0]_Analyse Frais fixes des ventescomexjuillet002" xfId="5727"/>
    <cellStyle name="Separador de milhares_Analyse Frais fixes des ventescomexjuillet002" xfId="5728"/>
    <cellStyle name="SHADEDSTORES" xfId="5729"/>
    <cellStyle name="Single Accounting" xfId="5730"/>
    <cellStyle name="Single Accounting 2" xfId="5731"/>
    <cellStyle name="SpecialHeader" xfId="5732"/>
    <cellStyle name="specstores" xfId="5733"/>
    <cellStyle name="st" xfId="5734"/>
    <cellStyle name="Standaard_BINV" xfId="5735"/>
    <cellStyle name="Standard_Aktenbewertung 1994" xfId="5736"/>
    <cellStyle name="STYLE1 - Style1" xfId="5737"/>
    <cellStyle name="STYLE2 - Style2" xfId="5738"/>
    <cellStyle name="STYLE3 - Style3" xfId="5739"/>
    <cellStyle name="STYLE4 - Style4" xfId="5740"/>
    <cellStyle name="subhead" xfId="5741"/>
    <cellStyle name="SubHeader" xfId="5742"/>
    <cellStyle name="Subtotal" xfId="5743"/>
    <cellStyle name="t" xfId="5744"/>
    <cellStyle name="T_01_AM monthly_Lease_200208" xfId="5745"/>
    <cellStyle name="T_02_AM monthly_analysis_2000208" xfId="5746"/>
    <cellStyle name="T_03_yardi_한화_20028" xfId="5747"/>
    <cellStyle name="T_05_yardi_대한_200208" xfId="5748"/>
    <cellStyle name="T_cover_yardi_Yvette" xfId="5749"/>
    <cellStyle name="T_PM Monthly report_한화_송부" xfId="5750"/>
    <cellStyle name="T_Rev1_IS Report_by C&amp;W_for Sep" xfId="5751"/>
    <cellStyle name="T_Sheet11" xfId="5752"/>
    <cellStyle name="T_Sheet12" xfId="5753"/>
    <cellStyle name="T_Sheet5" xfId="5754"/>
    <cellStyle name="T_Sheet6" xfId="5755"/>
    <cellStyle name="T_지오텔정산표_06YE_0228" xfId="5756"/>
    <cellStyle name="T_한화_수익편차" xfId="5757"/>
    <cellStyle name="T０_x0008__x0003__x0008_?)(일)" xfId="5758"/>
    <cellStyle name="T０_x0008__x0003__x0008_磚)(일)" xfId="5759"/>
    <cellStyle name="Tabelle Text 10" xfId="5760"/>
    <cellStyle name="Tabelle Text 10 Z" xfId="5761"/>
    <cellStyle name="Tabelle Text 11" xfId="5762"/>
    <cellStyle name="Tabelle Text 11 Z" xfId="5763"/>
    <cellStyle name="Tabelle Text 12" xfId="5764"/>
    <cellStyle name="Tabelle Text 12 Z" xfId="5765"/>
    <cellStyle name="Tabelle Text 8" xfId="5766"/>
    <cellStyle name="Tabelle Text 8 Z" xfId="5767"/>
    <cellStyle name="Tabelle Text 9" xfId="5768"/>
    <cellStyle name="Tabelle Text 9 Z" xfId="5769"/>
    <cellStyle name="Tabelle Überschrift 10" xfId="5770"/>
    <cellStyle name="Tabelle Überschrift 11" xfId="5771"/>
    <cellStyle name="Tabelle Überschrift 12" xfId="5772"/>
    <cellStyle name="Tabelle Überschrift 8" xfId="5773"/>
    <cellStyle name="Tabelle Überschrift 9" xfId="5774"/>
    <cellStyle name="Tabelle Zahl 0 10" xfId="5775"/>
    <cellStyle name="Tabelle Zahl 0 11" xfId="5776"/>
    <cellStyle name="Tabelle Zahl 0 12" xfId="5777"/>
    <cellStyle name="Tabelle Zahl 0 8" xfId="5778"/>
    <cellStyle name="Tabelle Zahl 0 9" xfId="5779"/>
    <cellStyle name="Tabelle Zahl 1 10" xfId="5780"/>
    <cellStyle name="Tabelle Zahl 1 11" xfId="5781"/>
    <cellStyle name="Tabelle Zahl 1 12" xfId="5782"/>
    <cellStyle name="Tabelle Zahl 1 8" xfId="5783"/>
    <cellStyle name="Tabelle Zahl 1 9" xfId="5784"/>
    <cellStyle name="Tabelle Zahl 2 10" xfId="5785"/>
    <cellStyle name="Tabelle Zahl 2 11" xfId="5786"/>
    <cellStyle name="Tabelle Zahl 2 12" xfId="5787"/>
    <cellStyle name="Tabelle Zahl 2 8" xfId="5788"/>
    <cellStyle name="Tabelle Zahl 2 9" xfId="5789"/>
    <cellStyle name="Table Head" xfId="5790"/>
    <cellStyle name="Table Head Aligned" xfId="5791"/>
    <cellStyle name="Table Head Aligned 2" xfId="5792"/>
    <cellStyle name="Table Head Blue" xfId="5793"/>
    <cellStyle name="Table Head Green" xfId="5794"/>
    <cellStyle name="Table Title" xfId="5795"/>
    <cellStyle name="Table Units" xfId="5796"/>
    <cellStyle name="Table_Header" xfId="5797"/>
    <cellStyle name="Tag" xfId="5798"/>
    <cellStyle name="Text Indent A" xfId="5799"/>
    <cellStyle name="Text Indent B" xfId="5800"/>
    <cellStyle name="Text Indent B 2" xfId="5801"/>
    <cellStyle name="Text Indent C" xfId="5802"/>
    <cellStyle name="Text Indent C 2" xfId="5803"/>
    <cellStyle name="TFCF" xfId="5804"/>
    <cellStyle name="þ_x001d_ð'&amp;Oy?Hy9_x0008__x000f__x0007_æ_x0007__x0007__x0001__x0001_" xfId="5805"/>
    <cellStyle name="þ_x001d_ð'&amp;Oy?Hy9_x0008__x000f__x0007_æ_x0007__x0007__x0001__x0001_ 2" xfId="5806"/>
    <cellStyle name="þ_x001d_ð'&amp;Oy?Hy9_x0008_E_x000c_￠_x000d__x0007__x0001__x0001_" xfId="5807"/>
    <cellStyle name="Thousands" xfId="5808"/>
    <cellStyle name="Tickmark" xfId="5809"/>
    <cellStyle name="TIME" xfId="5810"/>
    <cellStyle name="Times" xfId="5811"/>
    <cellStyle name="Times 10" xfId="5812"/>
    <cellStyle name="Times 12" xfId="5813"/>
    <cellStyle name="Times New Roman" xfId="5814"/>
    <cellStyle name="title" xfId="5815"/>
    <cellStyle name="title [1]" xfId="5816"/>
    <cellStyle name="title [2]" xfId="5817"/>
    <cellStyle name="Title1" xfId="5818"/>
    <cellStyle name="TitleOther" xfId="5819"/>
    <cellStyle name="Total" xfId="5820"/>
    <cellStyle name="Total 2" xfId="5821"/>
    <cellStyle name="Total 3" xfId="5822"/>
    <cellStyle name="Total1" xfId="5823"/>
    <cellStyle name="Total2" xfId="5824"/>
    <cellStyle name="Total3" xfId="5825"/>
    <cellStyle name="Total4" xfId="5826"/>
    <cellStyle name="Total5" xfId="5827"/>
    <cellStyle name="Total6" xfId="5828"/>
    <cellStyle name="Total7" xfId="5829"/>
    <cellStyle name="Total8" xfId="5830"/>
    <cellStyle name="Total9" xfId="5831"/>
    <cellStyle name="TotShade" xfId="5832"/>
    <cellStyle name="tt" xfId="5833"/>
    <cellStyle name="Tusental (0)_pldt" xfId="5834"/>
    <cellStyle name="Tusental_pldt" xfId="5835"/>
    <cellStyle name="umentSummaryInformation" xfId="5836"/>
    <cellStyle name="und" xfId="5837"/>
    <cellStyle name="undb" xfId="5838"/>
    <cellStyle name="Underline" xfId="5839"/>
    <cellStyle name="Underscore" xfId="5840"/>
    <cellStyle name="Unit k" xfId="5841"/>
    <cellStyle name="Unprot$" xfId="5842"/>
    <cellStyle name="Unprotect" xfId="5843"/>
    <cellStyle name="Valu]]_x0015__x0015_ƶƶ_x0013_" xfId="5844"/>
    <cellStyle name="Valuta (0)_pldt" xfId="5845"/>
    <cellStyle name="Valuta [0]_BINV" xfId="5846"/>
    <cellStyle name="Valuta_BINV" xfId="5847"/>
    <cellStyle name="Vertical" xfId="5848"/>
    <cellStyle name="W?hrung [0]_Inhalt" xfId="5849"/>
    <cellStyle name="W?hrung_Inhalt" xfId="5850"/>
    <cellStyle name="W?rung [0]_Aktenbewertung 1994" xfId="5851"/>
    <cellStyle name="W?rung_Aktenbewertung 1994" xfId="5852"/>
    <cellStyle name="Währung [0]_Inhalt" xfId="5853"/>
    <cellStyle name="Währung_Inhalt" xfId="5854"/>
    <cellStyle name="Warning Text" xfId="5855"/>
    <cellStyle name="wrap" xfId="5856"/>
    <cellStyle name="x" xfId="5857"/>
    <cellStyle name="x_3700-200(Equity)_v13" xfId="5858"/>
    <cellStyle name="x_CF040630_반기_0804_3" xfId="5859"/>
    <cellStyle name="x_DT_20030930_K GAAP_v3.1" xfId="5860"/>
    <cellStyle name="x_IS&amp;CF_Report form" xfId="5861"/>
    <cellStyle name="x_계속기업가정에 대한 검토(04)" xfId="5862"/>
    <cellStyle name="x_관계사간거래_다음03_0221" xfId="5863"/>
    <cellStyle name="x_수정사항 및 중요사항 보고_동일파텍v4" xfId="5864"/>
    <cellStyle name="x_완전통합_v13" xfId="5865"/>
    <cellStyle name="x_완전통합_v19" xfId="5866"/>
    <cellStyle name="x_이연법인세_주석_통합" xfId="5867"/>
    <cellStyle name="x_이연법인세주석(연결포함2002)ver23" xfId="5868"/>
    <cellStyle name="x_정산표_타포린_04_050322" xfId="5869"/>
    <cellStyle name="XBRL-Linkbase" xfId="5870"/>
    <cellStyle name="XLS'|_x0005_t" xfId="5871"/>
    <cellStyle name="Years" xfId="5872"/>
    <cellStyle name="yellow" xfId="5873"/>
    <cellStyle name="Yen" xfId="5874"/>
    <cellStyle name="μU¿¡ ¿A´A CIAIÆU¸μAⓒ" xfId="5875"/>
    <cellStyle name="ハイパーリンク" xfId="5876"/>
    <cellStyle name="遽_12錯 " xfId="5877"/>
    <cellStyle name=" 坪 l_Sheet1_Q4 (2)" xfId="5878"/>
    <cellStyle name="" xfId="5879"/>
    <cellStyle name="값" xfId="5880"/>
    <cellStyle name="강조색1 10" xfId="5881"/>
    <cellStyle name="강조색1 11" xfId="5882"/>
    <cellStyle name="강조색1 12" xfId="5883"/>
    <cellStyle name="강조색1 13" xfId="5884"/>
    <cellStyle name="강조색1 14" xfId="5885"/>
    <cellStyle name="강조색1 14 2" xfId="5886"/>
    <cellStyle name="강조색1 14 3" xfId="5887"/>
    <cellStyle name="강조색1 15" xfId="5888"/>
    <cellStyle name="강조색1 15 2" xfId="5889"/>
    <cellStyle name="강조색1 15 3" xfId="5890"/>
    <cellStyle name="강조색1 16" xfId="5891"/>
    <cellStyle name="강조색1 16 2" xfId="5892"/>
    <cellStyle name="강조색1 16 3" xfId="5893"/>
    <cellStyle name="강조색1 17" xfId="5894"/>
    <cellStyle name="강조색1 17 2" xfId="5895"/>
    <cellStyle name="강조색1 17 3" xfId="5896"/>
    <cellStyle name="강조색1 18" xfId="5897"/>
    <cellStyle name="강조색1 18 2" xfId="5898"/>
    <cellStyle name="강조색1 18 3" xfId="5899"/>
    <cellStyle name="강조색1 19" xfId="5900"/>
    <cellStyle name="강조색1 19 2" xfId="5901"/>
    <cellStyle name="강조색1 19 3" xfId="5902"/>
    <cellStyle name="강조색1 2" xfId="5903"/>
    <cellStyle name="강조색1 2 10" xfId="5904"/>
    <cellStyle name="강조색1 2 11" xfId="5905"/>
    <cellStyle name="강조색1 2 12" xfId="5906"/>
    <cellStyle name="강조색1 2 13" xfId="5907"/>
    <cellStyle name="강조색1 2 14" xfId="5908"/>
    <cellStyle name="강조색1 2 15" xfId="5909"/>
    <cellStyle name="강조색1 2 16" xfId="5910"/>
    <cellStyle name="강조색1 2 17" xfId="5911"/>
    <cellStyle name="강조색1 2 18" xfId="5912"/>
    <cellStyle name="강조색1 2 19" xfId="5913"/>
    <cellStyle name="강조색1 2 2" xfId="5914"/>
    <cellStyle name="강조색1 2 20" xfId="5915"/>
    <cellStyle name="강조색1 2 21" xfId="5916"/>
    <cellStyle name="강조색1 2 22" xfId="5917"/>
    <cellStyle name="강조색1 2 23" xfId="5918"/>
    <cellStyle name="강조색1 2 24" xfId="5919"/>
    <cellStyle name="강조색1 2 25" xfId="5920"/>
    <cellStyle name="강조색1 2 26" xfId="5921"/>
    <cellStyle name="강조색1 2 27" xfId="5922"/>
    <cellStyle name="강조색1 2 28" xfId="5923"/>
    <cellStyle name="강조색1 2 29" xfId="5924"/>
    <cellStyle name="강조색1 2 3" xfId="5925"/>
    <cellStyle name="강조색1 2 30" xfId="5926"/>
    <cellStyle name="강조색1 2 31" xfId="5927"/>
    <cellStyle name="강조색1 2 32" xfId="5928"/>
    <cellStyle name="강조색1 2 33" xfId="5929"/>
    <cellStyle name="강조색1 2 34" xfId="5930"/>
    <cellStyle name="강조색1 2 35" xfId="5931"/>
    <cellStyle name="강조색1 2 36" xfId="5932"/>
    <cellStyle name="강조색1 2 37" xfId="5933"/>
    <cellStyle name="강조색1 2 38" xfId="5934"/>
    <cellStyle name="강조색1 2 39" xfId="5935"/>
    <cellStyle name="강조색1 2 4" xfId="5936"/>
    <cellStyle name="강조색1 2 5" xfId="5937"/>
    <cellStyle name="강조색1 2 6" xfId="5938"/>
    <cellStyle name="강조색1 2 7" xfId="5939"/>
    <cellStyle name="강조색1 2 8" xfId="5940"/>
    <cellStyle name="강조색1 2 9" xfId="5941"/>
    <cellStyle name="강조색1 20" xfId="5942"/>
    <cellStyle name="강조색1 21" xfId="5943"/>
    <cellStyle name="강조색1 22" xfId="5944"/>
    <cellStyle name="강조색1 23" xfId="5945"/>
    <cellStyle name="강조색1 24" xfId="5946"/>
    <cellStyle name="강조색1 25" xfId="5947"/>
    <cellStyle name="강조색1 26" xfId="5948"/>
    <cellStyle name="강조색1 27" xfId="5949"/>
    <cellStyle name="강조색1 27 2" xfId="5950"/>
    <cellStyle name="강조색1 28" xfId="5951"/>
    <cellStyle name="강조색1 29" xfId="5952"/>
    <cellStyle name="강조색1 3" xfId="5953"/>
    <cellStyle name="강조색1 3 2" xfId="5954"/>
    <cellStyle name="강조색1 3 3" xfId="5955"/>
    <cellStyle name="강조색1 3 4" xfId="5956"/>
    <cellStyle name="강조색1 30" xfId="5957"/>
    <cellStyle name="강조색1 31" xfId="5958"/>
    <cellStyle name="강조색1 32" xfId="5959"/>
    <cellStyle name="강조색1 33" xfId="5960"/>
    <cellStyle name="강조색1 34" xfId="5961"/>
    <cellStyle name="강조색1 35" xfId="5962"/>
    <cellStyle name="강조색1 36" xfId="5963"/>
    <cellStyle name="강조색1 37" xfId="5964"/>
    <cellStyle name="강조색1 37 2" xfId="5965"/>
    <cellStyle name="강조색1 38" xfId="5966"/>
    <cellStyle name="강조색1 39" xfId="5967"/>
    <cellStyle name="강조색1 4" xfId="5968"/>
    <cellStyle name="강조색1 4 2" xfId="5969"/>
    <cellStyle name="강조색1 4 3" xfId="5970"/>
    <cellStyle name="강조색1 4 4" xfId="5971"/>
    <cellStyle name="강조색1 40" xfId="5972"/>
    <cellStyle name="강조색1 41" xfId="5973"/>
    <cellStyle name="강조색1 42" xfId="5974"/>
    <cellStyle name="강조색1 43" xfId="5975"/>
    <cellStyle name="강조색1 44" xfId="5976"/>
    <cellStyle name="강조색1 45" xfId="5977"/>
    <cellStyle name="강조색1 45 2" xfId="5978"/>
    <cellStyle name="강조색1 45 3" xfId="5979"/>
    <cellStyle name="강조색1 46" xfId="5980"/>
    <cellStyle name="강조색1 47" xfId="5981"/>
    <cellStyle name="강조색1 48" xfId="5982"/>
    <cellStyle name="강조색1 49" xfId="5983"/>
    <cellStyle name="강조색1 5" xfId="5984"/>
    <cellStyle name="강조색1 5 2" xfId="5985"/>
    <cellStyle name="강조색1 5 3" xfId="5986"/>
    <cellStyle name="강조색1 5 4" xfId="5987"/>
    <cellStyle name="강조색1 50" xfId="5988"/>
    <cellStyle name="강조색1 51" xfId="5989"/>
    <cellStyle name="강조색1 52" xfId="5990"/>
    <cellStyle name="강조색1 53" xfId="5991"/>
    <cellStyle name="강조색1 54" xfId="5992"/>
    <cellStyle name="강조색1 55" xfId="5993"/>
    <cellStyle name="강조색1 6" xfId="5994"/>
    <cellStyle name="강조색1 6 2" xfId="5995"/>
    <cellStyle name="강조색1 6 3" xfId="5996"/>
    <cellStyle name="강조색1 6 4" xfId="5997"/>
    <cellStyle name="강조색1 7" xfId="5998"/>
    <cellStyle name="강조색1 7 2" xfId="5999"/>
    <cellStyle name="강조색1 7 3" xfId="6000"/>
    <cellStyle name="강조색1 7 4" xfId="6001"/>
    <cellStyle name="강조색1 8" xfId="6002"/>
    <cellStyle name="강조색1 9" xfId="6003"/>
    <cellStyle name="강조색2 10" xfId="6004"/>
    <cellStyle name="강조색2 11" xfId="6005"/>
    <cellStyle name="강조색2 12" xfId="6006"/>
    <cellStyle name="강조색2 13" xfId="6007"/>
    <cellStyle name="강조색2 14" xfId="6008"/>
    <cellStyle name="강조색2 14 2" xfId="6009"/>
    <cellStyle name="강조색2 14 3" xfId="6010"/>
    <cellStyle name="강조색2 15" xfId="6011"/>
    <cellStyle name="강조색2 15 2" xfId="6012"/>
    <cellStyle name="강조색2 15 3" xfId="6013"/>
    <cellStyle name="강조색2 16" xfId="6014"/>
    <cellStyle name="강조색2 16 2" xfId="6015"/>
    <cellStyle name="강조색2 16 3" xfId="6016"/>
    <cellStyle name="강조색2 17" xfId="6017"/>
    <cellStyle name="강조색2 17 2" xfId="6018"/>
    <cellStyle name="강조색2 17 3" xfId="6019"/>
    <cellStyle name="강조색2 18" xfId="6020"/>
    <cellStyle name="강조색2 18 2" xfId="6021"/>
    <cellStyle name="강조색2 18 3" xfId="6022"/>
    <cellStyle name="강조색2 19" xfId="6023"/>
    <cellStyle name="강조색2 19 2" xfId="6024"/>
    <cellStyle name="강조색2 19 3" xfId="6025"/>
    <cellStyle name="강조색2 2" xfId="6026"/>
    <cellStyle name="강조색2 2 10" xfId="6027"/>
    <cellStyle name="강조색2 2 11" xfId="6028"/>
    <cellStyle name="강조색2 2 12" xfId="6029"/>
    <cellStyle name="강조색2 2 13" xfId="6030"/>
    <cellStyle name="강조색2 2 14" xfId="6031"/>
    <cellStyle name="강조색2 2 15" xfId="6032"/>
    <cellStyle name="강조색2 2 16" xfId="6033"/>
    <cellStyle name="강조색2 2 17" xfId="6034"/>
    <cellStyle name="강조색2 2 18" xfId="6035"/>
    <cellStyle name="강조색2 2 19" xfId="6036"/>
    <cellStyle name="강조색2 2 2" xfId="6037"/>
    <cellStyle name="강조색2 2 20" xfId="6038"/>
    <cellStyle name="강조색2 2 21" xfId="6039"/>
    <cellStyle name="강조색2 2 22" xfId="6040"/>
    <cellStyle name="강조색2 2 23" xfId="6041"/>
    <cellStyle name="강조색2 2 24" xfId="6042"/>
    <cellStyle name="강조색2 2 25" xfId="6043"/>
    <cellStyle name="강조색2 2 26" xfId="6044"/>
    <cellStyle name="강조색2 2 27" xfId="6045"/>
    <cellStyle name="강조색2 2 28" xfId="6046"/>
    <cellStyle name="강조색2 2 29" xfId="6047"/>
    <cellStyle name="강조색2 2 3" xfId="6048"/>
    <cellStyle name="강조색2 2 30" xfId="6049"/>
    <cellStyle name="강조색2 2 31" xfId="6050"/>
    <cellStyle name="강조색2 2 32" xfId="6051"/>
    <cellStyle name="강조색2 2 33" xfId="6052"/>
    <cellStyle name="강조색2 2 34" xfId="6053"/>
    <cellStyle name="강조색2 2 35" xfId="6054"/>
    <cellStyle name="강조색2 2 36" xfId="6055"/>
    <cellStyle name="강조색2 2 37" xfId="6056"/>
    <cellStyle name="강조색2 2 38" xfId="6057"/>
    <cellStyle name="강조색2 2 39" xfId="6058"/>
    <cellStyle name="강조색2 2 4" xfId="6059"/>
    <cellStyle name="강조색2 2 5" xfId="6060"/>
    <cellStyle name="강조색2 2 6" xfId="6061"/>
    <cellStyle name="강조색2 2 7" xfId="6062"/>
    <cellStyle name="강조색2 2 8" xfId="6063"/>
    <cellStyle name="강조색2 2 9" xfId="6064"/>
    <cellStyle name="강조색2 20" xfId="6065"/>
    <cellStyle name="강조색2 21" xfId="6066"/>
    <cellStyle name="강조색2 22" xfId="6067"/>
    <cellStyle name="강조색2 23" xfId="6068"/>
    <cellStyle name="강조색2 24" xfId="6069"/>
    <cellStyle name="강조색2 25" xfId="6070"/>
    <cellStyle name="강조색2 26" xfId="6071"/>
    <cellStyle name="강조색2 27" xfId="6072"/>
    <cellStyle name="강조색2 27 2" xfId="6073"/>
    <cellStyle name="강조색2 28" xfId="6074"/>
    <cellStyle name="강조색2 29" xfId="6075"/>
    <cellStyle name="강조색2 3" xfId="6076"/>
    <cellStyle name="강조색2 3 2" xfId="6077"/>
    <cellStyle name="강조색2 3 3" xfId="6078"/>
    <cellStyle name="강조색2 3 4" xfId="6079"/>
    <cellStyle name="강조색2 30" xfId="6080"/>
    <cellStyle name="강조색2 31" xfId="6081"/>
    <cellStyle name="강조색2 32" xfId="6082"/>
    <cellStyle name="강조색2 33" xfId="6083"/>
    <cellStyle name="강조색2 34" xfId="6084"/>
    <cellStyle name="강조색2 35" xfId="6085"/>
    <cellStyle name="강조색2 36" xfId="6086"/>
    <cellStyle name="강조색2 37" xfId="6087"/>
    <cellStyle name="강조색2 37 2" xfId="6088"/>
    <cellStyle name="강조색2 38" xfId="6089"/>
    <cellStyle name="강조색2 39" xfId="6090"/>
    <cellStyle name="강조색2 4" xfId="6091"/>
    <cellStyle name="강조색2 4 2" xfId="6092"/>
    <cellStyle name="강조색2 4 3" xfId="6093"/>
    <cellStyle name="강조색2 4 4" xfId="6094"/>
    <cellStyle name="강조색2 40" xfId="6095"/>
    <cellStyle name="강조색2 41" xfId="6096"/>
    <cellStyle name="강조색2 42" xfId="6097"/>
    <cellStyle name="강조색2 43" xfId="6098"/>
    <cellStyle name="강조색2 44" xfId="6099"/>
    <cellStyle name="강조색2 45" xfId="6100"/>
    <cellStyle name="강조색2 45 2" xfId="6101"/>
    <cellStyle name="강조색2 45 3" xfId="6102"/>
    <cellStyle name="강조색2 46" xfId="6103"/>
    <cellStyle name="강조색2 47" xfId="6104"/>
    <cellStyle name="강조색2 48" xfId="6105"/>
    <cellStyle name="강조색2 49" xfId="6106"/>
    <cellStyle name="강조색2 5" xfId="6107"/>
    <cellStyle name="강조색2 5 2" xfId="6108"/>
    <cellStyle name="강조색2 5 3" xfId="6109"/>
    <cellStyle name="강조색2 5 4" xfId="6110"/>
    <cellStyle name="강조색2 50" xfId="6111"/>
    <cellStyle name="강조색2 51" xfId="6112"/>
    <cellStyle name="강조색2 52" xfId="6113"/>
    <cellStyle name="강조색2 53" xfId="6114"/>
    <cellStyle name="강조색2 54" xfId="6115"/>
    <cellStyle name="강조색2 55" xfId="6116"/>
    <cellStyle name="강조색2 6" xfId="6117"/>
    <cellStyle name="강조색2 6 2" xfId="6118"/>
    <cellStyle name="강조색2 6 3" xfId="6119"/>
    <cellStyle name="강조색2 6 4" xfId="6120"/>
    <cellStyle name="강조색2 7" xfId="6121"/>
    <cellStyle name="강조색2 7 2" xfId="6122"/>
    <cellStyle name="강조색2 7 3" xfId="6123"/>
    <cellStyle name="강조색2 7 4" xfId="6124"/>
    <cellStyle name="강조색2 8" xfId="6125"/>
    <cellStyle name="강조색2 9" xfId="6126"/>
    <cellStyle name="강조색3 10" xfId="6127"/>
    <cellStyle name="강조색3 11" xfId="6128"/>
    <cellStyle name="강조색3 12" xfId="6129"/>
    <cellStyle name="강조색3 13" xfId="6130"/>
    <cellStyle name="강조색3 14" xfId="6131"/>
    <cellStyle name="강조색3 14 2" xfId="6132"/>
    <cellStyle name="강조색3 14 3" xfId="6133"/>
    <cellStyle name="강조색3 15" xfId="6134"/>
    <cellStyle name="강조색3 15 2" xfId="6135"/>
    <cellStyle name="강조색3 15 3" xfId="6136"/>
    <cellStyle name="강조색3 16" xfId="6137"/>
    <cellStyle name="강조색3 16 2" xfId="6138"/>
    <cellStyle name="강조색3 16 3" xfId="6139"/>
    <cellStyle name="강조색3 17" xfId="6140"/>
    <cellStyle name="강조색3 17 2" xfId="6141"/>
    <cellStyle name="강조색3 17 3" xfId="6142"/>
    <cellStyle name="강조색3 18" xfId="6143"/>
    <cellStyle name="강조색3 18 2" xfId="6144"/>
    <cellStyle name="강조색3 18 3" xfId="6145"/>
    <cellStyle name="강조색3 19" xfId="6146"/>
    <cellStyle name="강조색3 19 2" xfId="6147"/>
    <cellStyle name="강조색3 19 3" xfId="6148"/>
    <cellStyle name="강조색3 2" xfId="6149"/>
    <cellStyle name="강조색3 2 10" xfId="6150"/>
    <cellStyle name="강조색3 2 11" xfId="6151"/>
    <cellStyle name="강조색3 2 12" xfId="6152"/>
    <cellStyle name="강조색3 2 13" xfId="6153"/>
    <cellStyle name="강조색3 2 14" xfId="6154"/>
    <cellStyle name="강조색3 2 15" xfId="6155"/>
    <cellStyle name="강조색3 2 16" xfId="6156"/>
    <cellStyle name="강조색3 2 17" xfId="6157"/>
    <cellStyle name="강조색3 2 18" xfId="6158"/>
    <cellStyle name="강조색3 2 19" xfId="6159"/>
    <cellStyle name="강조색3 2 2" xfId="6160"/>
    <cellStyle name="강조색3 2 20" xfId="6161"/>
    <cellStyle name="강조색3 2 21" xfId="6162"/>
    <cellStyle name="강조색3 2 22" xfId="6163"/>
    <cellStyle name="강조색3 2 23" xfId="6164"/>
    <cellStyle name="강조색3 2 24" xfId="6165"/>
    <cellStyle name="강조색3 2 25" xfId="6166"/>
    <cellStyle name="강조색3 2 26" xfId="6167"/>
    <cellStyle name="강조색3 2 27" xfId="6168"/>
    <cellStyle name="강조색3 2 28" xfId="6169"/>
    <cellStyle name="강조색3 2 29" xfId="6170"/>
    <cellStyle name="강조색3 2 3" xfId="6171"/>
    <cellStyle name="강조색3 2 30" xfId="6172"/>
    <cellStyle name="강조색3 2 31" xfId="6173"/>
    <cellStyle name="강조색3 2 32" xfId="6174"/>
    <cellStyle name="강조색3 2 33" xfId="6175"/>
    <cellStyle name="강조색3 2 34" xfId="6176"/>
    <cellStyle name="강조색3 2 35" xfId="6177"/>
    <cellStyle name="강조색3 2 36" xfId="6178"/>
    <cellStyle name="강조색3 2 37" xfId="6179"/>
    <cellStyle name="강조색3 2 38" xfId="6180"/>
    <cellStyle name="강조색3 2 39" xfId="6181"/>
    <cellStyle name="강조색3 2 4" xfId="6182"/>
    <cellStyle name="강조색3 2 5" xfId="6183"/>
    <cellStyle name="강조색3 2 6" xfId="6184"/>
    <cellStyle name="강조색3 2 7" xfId="6185"/>
    <cellStyle name="강조색3 2 8" xfId="6186"/>
    <cellStyle name="강조색3 2 9" xfId="6187"/>
    <cellStyle name="강조색3 20" xfId="6188"/>
    <cellStyle name="강조색3 21" xfId="6189"/>
    <cellStyle name="강조색3 22" xfId="6190"/>
    <cellStyle name="강조색3 23" xfId="6191"/>
    <cellStyle name="강조색3 24" xfId="6192"/>
    <cellStyle name="강조색3 25" xfId="6193"/>
    <cellStyle name="강조색3 26" xfId="6194"/>
    <cellStyle name="강조색3 27" xfId="6195"/>
    <cellStyle name="강조색3 27 2" xfId="6196"/>
    <cellStyle name="강조색3 28" xfId="6197"/>
    <cellStyle name="강조색3 29" xfId="6198"/>
    <cellStyle name="강조색3 3" xfId="6199"/>
    <cellStyle name="강조색3 3 2" xfId="6200"/>
    <cellStyle name="강조색3 3 3" xfId="6201"/>
    <cellStyle name="강조색3 3 4" xfId="6202"/>
    <cellStyle name="강조색3 30" xfId="6203"/>
    <cellStyle name="강조색3 31" xfId="6204"/>
    <cellStyle name="강조색3 32" xfId="6205"/>
    <cellStyle name="강조색3 33" xfId="6206"/>
    <cellStyle name="강조색3 34" xfId="6207"/>
    <cellStyle name="강조색3 35" xfId="6208"/>
    <cellStyle name="강조색3 36" xfId="6209"/>
    <cellStyle name="강조색3 37" xfId="6210"/>
    <cellStyle name="강조색3 37 2" xfId="6211"/>
    <cellStyle name="강조색3 38" xfId="6212"/>
    <cellStyle name="강조색3 39" xfId="6213"/>
    <cellStyle name="강조색3 4" xfId="6214"/>
    <cellStyle name="강조색3 4 2" xfId="6215"/>
    <cellStyle name="강조색3 4 3" xfId="6216"/>
    <cellStyle name="강조색3 4 4" xfId="6217"/>
    <cellStyle name="강조색3 40" xfId="6218"/>
    <cellStyle name="강조색3 41" xfId="6219"/>
    <cellStyle name="강조색3 42" xfId="6220"/>
    <cellStyle name="강조색3 43" xfId="6221"/>
    <cellStyle name="강조색3 44" xfId="6222"/>
    <cellStyle name="강조색3 45" xfId="6223"/>
    <cellStyle name="강조색3 45 2" xfId="6224"/>
    <cellStyle name="강조색3 45 3" xfId="6225"/>
    <cellStyle name="강조색3 46" xfId="6226"/>
    <cellStyle name="강조색3 47" xfId="6227"/>
    <cellStyle name="강조색3 48" xfId="6228"/>
    <cellStyle name="강조색3 49" xfId="6229"/>
    <cellStyle name="강조색3 5" xfId="6230"/>
    <cellStyle name="강조색3 5 2" xfId="6231"/>
    <cellStyle name="강조색3 5 3" xfId="6232"/>
    <cellStyle name="강조색3 5 4" xfId="6233"/>
    <cellStyle name="강조색3 50" xfId="6234"/>
    <cellStyle name="강조색3 51" xfId="6235"/>
    <cellStyle name="강조색3 52" xfId="6236"/>
    <cellStyle name="강조색3 53" xfId="6237"/>
    <cellStyle name="강조색3 54" xfId="6238"/>
    <cellStyle name="강조색3 55" xfId="6239"/>
    <cellStyle name="강조색3 6" xfId="6240"/>
    <cellStyle name="강조색3 6 2" xfId="6241"/>
    <cellStyle name="강조색3 6 3" xfId="6242"/>
    <cellStyle name="강조색3 6 4" xfId="6243"/>
    <cellStyle name="강조색3 7" xfId="6244"/>
    <cellStyle name="강조색3 7 2" xfId="6245"/>
    <cellStyle name="강조색3 7 3" xfId="6246"/>
    <cellStyle name="강조색3 7 4" xfId="6247"/>
    <cellStyle name="강조색3 8" xfId="6248"/>
    <cellStyle name="강조색3 9" xfId="6249"/>
    <cellStyle name="강조색4 10" xfId="6250"/>
    <cellStyle name="강조색4 11" xfId="6251"/>
    <cellStyle name="강조색4 12" xfId="6252"/>
    <cellStyle name="강조색4 13" xfId="6253"/>
    <cellStyle name="강조색4 14" xfId="6254"/>
    <cellStyle name="강조색4 14 2" xfId="6255"/>
    <cellStyle name="강조색4 14 3" xfId="6256"/>
    <cellStyle name="강조색4 15" xfId="6257"/>
    <cellStyle name="강조색4 15 2" xfId="6258"/>
    <cellStyle name="강조색4 15 3" xfId="6259"/>
    <cellStyle name="강조색4 16" xfId="6260"/>
    <cellStyle name="강조색4 16 2" xfId="6261"/>
    <cellStyle name="강조색4 16 3" xfId="6262"/>
    <cellStyle name="강조색4 17" xfId="6263"/>
    <cellStyle name="강조색4 17 2" xfId="6264"/>
    <cellStyle name="강조색4 17 3" xfId="6265"/>
    <cellStyle name="강조색4 18" xfId="6266"/>
    <cellStyle name="강조색4 18 2" xfId="6267"/>
    <cellStyle name="강조색4 18 3" xfId="6268"/>
    <cellStyle name="강조색4 19" xfId="6269"/>
    <cellStyle name="강조색4 19 2" xfId="6270"/>
    <cellStyle name="강조색4 19 3" xfId="6271"/>
    <cellStyle name="강조색4 2" xfId="6272"/>
    <cellStyle name="강조색4 2 10" xfId="6273"/>
    <cellStyle name="강조색4 2 11" xfId="6274"/>
    <cellStyle name="강조색4 2 12" xfId="6275"/>
    <cellStyle name="강조색4 2 13" xfId="6276"/>
    <cellStyle name="강조색4 2 14" xfId="6277"/>
    <cellStyle name="강조색4 2 15" xfId="6278"/>
    <cellStyle name="강조색4 2 16" xfId="6279"/>
    <cellStyle name="강조색4 2 17" xfId="6280"/>
    <cellStyle name="강조색4 2 18" xfId="6281"/>
    <cellStyle name="강조색4 2 19" xfId="6282"/>
    <cellStyle name="강조색4 2 2" xfId="6283"/>
    <cellStyle name="강조색4 2 20" xfId="6284"/>
    <cellStyle name="강조색4 2 21" xfId="6285"/>
    <cellStyle name="강조색4 2 22" xfId="6286"/>
    <cellStyle name="강조색4 2 23" xfId="6287"/>
    <cellStyle name="강조색4 2 24" xfId="6288"/>
    <cellStyle name="강조색4 2 25" xfId="6289"/>
    <cellStyle name="강조색4 2 26" xfId="6290"/>
    <cellStyle name="강조색4 2 27" xfId="6291"/>
    <cellStyle name="강조색4 2 28" xfId="6292"/>
    <cellStyle name="강조색4 2 29" xfId="6293"/>
    <cellStyle name="강조색4 2 3" xfId="6294"/>
    <cellStyle name="강조색4 2 30" xfId="6295"/>
    <cellStyle name="강조색4 2 31" xfId="6296"/>
    <cellStyle name="강조색4 2 32" xfId="6297"/>
    <cellStyle name="강조색4 2 33" xfId="6298"/>
    <cellStyle name="강조색4 2 34" xfId="6299"/>
    <cellStyle name="강조색4 2 35" xfId="6300"/>
    <cellStyle name="강조색4 2 36" xfId="6301"/>
    <cellStyle name="강조색4 2 37" xfId="6302"/>
    <cellStyle name="강조색4 2 38" xfId="6303"/>
    <cellStyle name="강조색4 2 39" xfId="6304"/>
    <cellStyle name="강조색4 2 4" xfId="6305"/>
    <cellStyle name="강조색4 2 5" xfId="6306"/>
    <cellStyle name="강조색4 2 6" xfId="6307"/>
    <cellStyle name="강조색4 2 7" xfId="6308"/>
    <cellStyle name="강조색4 2 8" xfId="6309"/>
    <cellStyle name="강조색4 2 9" xfId="6310"/>
    <cellStyle name="강조색4 20" xfId="6311"/>
    <cellStyle name="강조색4 21" xfId="6312"/>
    <cellStyle name="강조색4 22" xfId="6313"/>
    <cellStyle name="강조색4 23" xfId="6314"/>
    <cellStyle name="강조색4 24" xfId="6315"/>
    <cellStyle name="강조색4 25" xfId="6316"/>
    <cellStyle name="강조색4 26" xfId="6317"/>
    <cellStyle name="강조색4 27" xfId="6318"/>
    <cellStyle name="강조색4 27 2" xfId="6319"/>
    <cellStyle name="강조색4 28" xfId="6320"/>
    <cellStyle name="강조색4 29" xfId="6321"/>
    <cellStyle name="강조색4 3" xfId="6322"/>
    <cellStyle name="강조색4 3 2" xfId="6323"/>
    <cellStyle name="강조색4 3 3" xfId="6324"/>
    <cellStyle name="강조색4 3 4" xfId="6325"/>
    <cellStyle name="강조색4 30" xfId="6326"/>
    <cellStyle name="강조색4 31" xfId="6327"/>
    <cellStyle name="강조색4 32" xfId="6328"/>
    <cellStyle name="강조색4 33" xfId="6329"/>
    <cellStyle name="강조색4 34" xfId="6330"/>
    <cellStyle name="강조색4 35" xfId="6331"/>
    <cellStyle name="강조색4 36" xfId="6332"/>
    <cellStyle name="강조색4 37" xfId="6333"/>
    <cellStyle name="강조색4 37 2" xfId="6334"/>
    <cellStyle name="강조색4 38" xfId="6335"/>
    <cellStyle name="강조색4 39" xfId="6336"/>
    <cellStyle name="강조색4 4" xfId="6337"/>
    <cellStyle name="강조색4 4 2" xfId="6338"/>
    <cellStyle name="강조색4 4 3" xfId="6339"/>
    <cellStyle name="강조색4 4 4" xfId="6340"/>
    <cellStyle name="강조색4 40" xfId="6341"/>
    <cellStyle name="강조색4 41" xfId="6342"/>
    <cellStyle name="강조색4 42" xfId="6343"/>
    <cellStyle name="강조색4 43" xfId="6344"/>
    <cellStyle name="강조색4 44" xfId="6345"/>
    <cellStyle name="강조색4 45" xfId="6346"/>
    <cellStyle name="강조색4 45 2" xfId="6347"/>
    <cellStyle name="강조색4 45 3" xfId="6348"/>
    <cellStyle name="강조색4 46" xfId="6349"/>
    <cellStyle name="강조색4 47" xfId="6350"/>
    <cellStyle name="강조색4 48" xfId="6351"/>
    <cellStyle name="강조색4 49" xfId="6352"/>
    <cellStyle name="강조색4 5" xfId="6353"/>
    <cellStyle name="강조색4 5 2" xfId="6354"/>
    <cellStyle name="강조색4 5 3" xfId="6355"/>
    <cellStyle name="강조색4 5 4" xfId="6356"/>
    <cellStyle name="강조색4 50" xfId="6357"/>
    <cellStyle name="강조색4 51" xfId="6358"/>
    <cellStyle name="강조색4 52" xfId="6359"/>
    <cellStyle name="강조색4 53" xfId="6360"/>
    <cellStyle name="강조색4 54" xfId="6361"/>
    <cellStyle name="강조색4 55" xfId="6362"/>
    <cellStyle name="강조색4 6" xfId="6363"/>
    <cellStyle name="강조색4 6 2" xfId="6364"/>
    <cellStyle name="강조색4 6 3" xfId="6365"/>
    <cellStyle name="강조색4 6 4" xfId="6366"/>
    <cellStyle name="강조색4 7" xfId="6367"/>
    <cellStyle name="강조색4 7 2" xfId="6368"/>
    <cellStyle name="강조색4 7 3" xfId="6369"/>
    <cellStyle name="강조색4 7 4" xfId="6370"/>
    <cellStyle name="강조색4 8" xfId="6371"/>
    <cellStyle name="강조색4 9" xfId="6372"/>
    <cellStyle name="강조색5 10" xfId="6373"/>
    <cellStyle name="강조색5 11" xfId="6374"/>
    <cellStyle name="강조색5 12" xfId="6375"/>
    <cellStyle name="강조색5 13" xfId="6376"/>
    <cellStyle name="강조색5 14" xfId="6377"/>
    <cellStyle name="강조색5 14 2" xfId="6378"/>
    <cellStyle name="강조색5 14 3" xfId="6379"/>
    <cellStyle name="강조색5 15" xfId="6380"/>
    <cellStyle name="강조색5 15 2" xfId="6381"/>
    <cellStyle name="강조색5 15 3" xfId="6382"/>
    <cellStyle name="강조색5 16" xfId="6383"/>
    <cellStyle name="강조색5 16 2" xfId="6384"/>
    <cellStyle name="강조색5 16 3" xfId="6385"/>
    <cellStyle name="강조색5 17" xfId="6386"/>
    <cellStyle name="강조색5 17 2" xfId="6387"/>
    <cellStyle name="강조색5 17 3" xfId="6388"/>
    <cellStyle name="강조색5 18" xfId="6389"/>
    <cellStyle name="강조색5 18 2" xfId="6390"/>
    <cellStyle name="강조색5 18 3" xfId="6391"/>
    <cellStyle name="강조색5 19" xfId="6392"/>
    <cellStyle name="강조색5 19 2" xfId="6393"/>
    <cellStyle name="강조색5 19 3" xfId="6394"/>
    <cellStyle name="강조색5 2" xfId="6395"/>
    <cellStyle name="강조색5 2 10" xfId="6396"/>
    <cellStyle name="강조색5 2 11" xfId="6397"/>
    <cellStyle name="강조색5 2 12" xfId="6398"/>
    <cellStyle name="강조색5 2 13" xfId="6399"/>
    <cellStyle name="강조색5 2 14" xfId="6400"/>
    <cellStyle name="강조색5 2 15" xfId="6401"/>
    <cellStyle name="강조색5 2 16" xfId="6402"/>
    <cellStyle name="강조색5 2 17" xfId="6403"/>
    <cellStyle name="강조색5 2 18" xfId="6404"/>
    <cellStyle name="강조색5 2 19" xfId="6405"/>
    <cellStyle name="강조색5 2 2" xfId="6406"/>
    <cellStyle name="강조색5 2 20" xfId="6407"/>
    <cellStyle name="강조색5 2 21" xfId="6408"/>
    <cellStyle name="강조색5 2 22" xfId="6409"/>
    <cellStyle name="강조색5 2 23" xfId="6410"/>
    <cellStyle name="강조색5 2 24" xfId="6411"/>
    <cellStyle name="강조색5 2 25" xfId="6412"/>
    <cellStyle name="강조색5 2 26" xfId="6413"/>
    <cellStyle name="강조색5 2 27" xfId="6414"/>
    <cellStyle name="강조색5 2 28" xfId="6415"/>
    <cellStyle name="강조색5 2 29" xfId="6416"/>
    <cellStyle name="강조색5 2 3" xfId="6417"/>
    <cellStyle name="강조색5 2 30" xfId="6418"/>
    <cellStyle name="강조색5 2 31" xfId="6419"/>
    <cellStyle name="강조색5 2 32" xfId="6420"/>
    <cellStyle name="강조색5 2 33" xfId="6421"/>
    <cellStyle name="강조색5 2 34" xfId="6422"/>
    <cellStyle name="강조색5 2 35" xfId="6423"/>
    <cellStyle name="강조색5 2 36" xfId="6424"/>
    <cellStyle name="강조색5 2 37" xfId="6425"/>
    <cellStyle name="강조색5 2 38" xfId="6426"/>
    <cellStyle name="강조색5 2 39" xfId="6427"/>
    <cellStyle name="강조색5 2 4" xfId="6428"/>
    <cellStyle name="강조색5 2 5" xfId="6429"/>
    <cellStyle name="강조색5 2 6" xfId="6430"/>
    <cellStyle name="강조색5 2 7" xfId="6431"/>
    <cellStyle name="강조색5 2 8" xfId="6432"/>
    <cellStyle name="강조색5 2 9" xfId="6433"/>
    <cellStyle name="강조색5 20" xfId="6434"/>
    <cellStyle name="강조색5 21" xfId="6435"/>
    <cellStyle name="강조색5 22" xfId="6436"/>
    <cellStyle name="강조색5 23" xfId="6437"/>
    <cellStyle name="강조색5 24" xfId="6438"/>
    <cellStyle name="강조색5 25" xfId="6439"/>
    <cellStyle name="강조색5 26" xfId="6440"/>
    <cellStyle name="강조색5 27" xfId="6441"/>
    <cellStyle name="강조색5 27 2" xfId="6442"/>
    <cellStyle name="강조색5 28" xfId="6443"/>
    <cellStyle name="강조색5 29" xfId="6444"/>
    <cellStyle name="강조색5 3" xfId="6445"/>
    <cellStyle name="강조색5 3 2" xfId="6446"/>
    <cellStyle name="강조색5 3 3" xfId="6447"/>
    <cellStyle name="강조색5 3 4" xfId="6448"/>
    <cellStyle name="강조색5 30" xfId="6449"/>
    <cellStyle name="강조색5 31" xfId="6450"/>
    <cellStyle name="강조색5 32" xfId="6451"/>
    <cellStyle name="강조색5 33" xfId="6452"/>
    <cellStyle name="강조색5 34" xfId="6453"/>
    <cellStyle name="강조색5 35" xfId="6454"/>
    <cellStyle name="강조색5 36" xfId="6455"/>
    <cellStyle name="강조색5 37" xfId="6456"/>
    <cellStyle name="강조색5 37 2" xfId="6457"/>
    <cellStyle name="강조색5 38" xfId="6458"/>
    <cellStyle name="강조색5 39" xfId="6459"/>
    <cellStyle name="강조색5 4" xfId="6460"/>
    <cellStyle name="강조색5 4 2" xfId="6461"/>
    <cellStyle name="강조색5 4 3" xfId="6462"/>
    <cellStyle name="강조색5 4 4" xfId="6463"/>
    <cellStyle name="강조색5 40" xfId="6464"/>
    <cellStyle name="강조색5 41" xfId="6465"/>
    <cellStyle name="강조색5 42" xfId="6466"/>
    <cellStyle name="강조색5 43" xfId="6467"/>
    <cellStyle name="강조색5 44" xfId="6468"/>
    <cellStyle name="강조색5 45" xfId="6469"/>
    <cellStyle name="강조색5 45 2" xfId="6470"/>
    <cellStyle name="강조색5 45 3" xfId="6471"/>
    <cellStyle name="강조색5 46" xfId="6472"/>
    <cellStyle name="강조색5 47" xfId="6473"/>
    <cellStyle name="강조색5 48" xfId="6474"/>
    <cellStyle name="강조색5 49" xfId="6475"/>
    <cellStyle name="강조색5 5" xfId="6476"/>
    <cellStyle name="강조색5 5 2" xfId="6477"/>
    <cellStyle name="강조색5 5 3" xfId="6478"/>
    <cellStyle name="강조색5 5 4" xfId="6479"/>
    <cellStyle name="강조색5 50" xfId="6480"/>
    <cellStyle name="강조색5 51" xfId="6481"/>
    <cellStyle name="강조색5 52" xfId="6482"/>
    <cellStyle name="강조색5 53" xfId="6483"/>
    <cellStyle name="강조색5 54" xfId="6484"/>
    <cellStyle name="강조색5 55" xfId="6485"/>
    <cellStyle name="강조색5 6" xfId="6486"/>
    <cellStyle name="강조색5 6 2" xfId="6487"/>
    <cellStyle name="강조색5 6 3" xfId="6488"/>
    <cellStyle name="강조색5 6 4" xfId="6489"/>
    <cellStyle name="강조색5 7" xfId="6490"/>
    <cellStyle name="강조색5 7 2" xfId="6491"/>
    <cellStyle name="강조색5 7 3" xfId="6492"/>
    <cellStyle name="강조색5 7 4" xfId="6493"/>
    <cellStyle name="강조색5 8" xfId="6494"/>
    <cellStyle name="강조색5 9" xfId="6495"/>
    <cellStyle name="강조색6 10" xfId="6496"/>
    <cellStyle name="강조색6 11" xfId="6497"/>
    <cellStyle name="강조색6 12" xfId="6498"/>
    <cellStyle name="강조색6 13" xfId="6499"/>
    <cellStyle name="강조색6 14" xfId="6500"/>
    <cellStyle name="강조색6 14 2" xfId="6501"/>
    <cellStyle name="강조색6 14 3" xfId="6502"/>
    <cellStyle name="강조색6 15" xfId="6503"/>
    <cellStyle name="강조색6 15 2" xfId="6504"/>
    <cellStyle name="강조색6 15 3" xfId="6505"/>
    <cellStyle name="강조색6 16" xfId="6506"/>
    <cellStyle name="강조색6 16 2" xfId="6507"/>
    <cellStyle name="강조색6 16 3" xfId="6508"/>
    <cellStyle name="강조색6 17" xfId="6509"/>
    <cellStyle name="강조색6 17 2" xfId="6510"/>
    <cellStyle name="강조색6 17 3" xfId="6511"/>
    <cellStyle name="강조색6 18" xfId="6512"/>
    <cellStyle name="강조색6 18 2" xfId="6513"/>
    <cellStyle name="강조색6 18 3" xfId="6514"/>
    <cellStyle name="강조색6 19" xfId="6515"/>
    <cellStyle name="강조색6 19 2" xfId="6516"/>
    <cellStyle name="강조색6 19 3" xfId="6517"/>
    <cellStyle name="강조색6 2" xfId="6518"/>
    <cellStyle name="강조색6 2 10" xfId="6519"/>
    <cellStyle name="강조색6 2 11" xfId="6520"/>
    <cellStyle name="강조색6 2 12" xfId="6521"/>
    <cellStyle name="강조색6 2 13" xfId="6522"/>
    <cellStyle name="강조색6 2 14" xfId="6523"/>
    <cellStyle name="강조색6 2 15" xfId="6524"/>
    <cellStyle name="강조색6 2 16" xfId="6525"/>
    <cellStyle name="강조색6 2 17" xfId="6526"/>
    <cellStyle name="강조색6 2 18" xfId="6527"/>
    <cellStyle name="강조색6 2 19" xfId="6528"/>
    <cellStyle name="강조색6 2 2" xfId="6529"/>
    <cellStyle name="강조색6 2 20" xfId="6530"/>
    <cellStyle name="강조색6 2 21" xfId="6531"/>
    <cellStyle name="강조색6 2 22" xfId="6532"/>
    <cellStyle name="강조색6 2 23" xfId="6533"/>
    <cellStyle name="강조색6 2 24" xfId="6534"/>
    <cellStyle name="강조색6 2 25" xfId="6535"/>
    <cellStyle name="강조색6 2 26" xfId="6536"/>
    <cellStyle name="강조색6 2 27" xfId="6537"/>
    <cellStyle name="강조색6 2 28" xfId="6538"/>
    <cellStyle name="강조색6 2 29" xfId="6539"/>
    <cellStyle name="강조색6 2 3" xfId="6540"/>
    <cellStyle name="강조색6 2 30" xfId="6541"/>
    <cellStyle name="강조색6 2 31" xfId="6542"/>
    <cellStyle name="강조색6 2 32" xfId="6543"/>
    <cellStyle name="강조색6 2 33" xfId="6544"/>
    <cellStyle name="강조색6 2 34" xfId="6545"/>
    <cellStyle name="강조색6 2 35" xfId="6546"/>
    <cellStyle name="강조색6 2 36" xfId="6547"/>
    <cellStyle name="강조색6 2 37" xfId="6548"/>
    <cellStyle name="강조색6 2 38" xfId="6549"/>
    <cellStyle name="강조색6 2 39" xfId="6550"/>
    <cellStyle name="강조색6 2 4" xfId="6551"/>
    <cellStyle name="강조색6 2 5" xfId="6552"/>
    <cellStyle name="강조색6 2 6" xfId="6553"/>
    <cellStyle name="강조색6 2 7" xfId="6554"/>
    <cellStyle name="강조색6 2 8" xfId="6555"/>
    <cellStyle name="강조색6 2 9" xfId="6556"/>
    <cellStyle name="강조색6 20" xfId="6557"/>
    <cellStyle name="강조색6 21" xfId="6558"/>
    <cellStyle name="강조색6 22" xfId="6559"/>
    <cellStyle name="강조색6 23" xfId="6560"/>
    <cellStyle name="강조색6 24" xfId="6561"/>
    <cellStyle name="강조색6 25" xfId="6562"/>
    <cellStyle name="강조색6 26" xfId="6563"/>
    <cellStyle name="강조색6 27" xfId="6564"/>
    <cellStyle name="강조색6 27 2" xfId="6565"/>
    <cellStyle name="강조색6 28" xfId="6566"/>
    <cellStyle name="강조색6 29" xfId="6567"/>
    <cellStyle name="강조색6 3" xfId="6568"/>
    <cellStyle name="강조색6 3 2" xfId="6569"/>
    <cellStyle name="강조색6 3 3" xfId="6570"/>
    <cellStyle name="강조색6 3 4" xfId="6571"/>
    <cellStyle name="강조색6 30" xfId="6572"/>
    <cellStyle name="강조색6 31" xfId="6573"/>
    <cellStyle name="강조색6 32" xfId="6574"/>
    <cellStyle name="강조색6 33" xfId="6575"/>
    <cellStyle name="강조색6 34" xfId="6576"/>
    <cellStyle name="강조색6 35" xfId="6577"/>
    <cellStyle name="강조색6 36" xfId="6578"/>
    <cellStyle name="강조색6 37" xfId="6579"/>
    <cellStyle name="강조색6 37 2" xfId="6580"/>
    <cellStyle name="강조색6 38" xfId="6581"/>
    <cellStyle name="강조색6 39" xfId="6582"/>
    <cellStyle name="강조색6 4" xfId="6583"/>
    <cellStyle name="강조색6 4 2" xfId="6584"/>
    <cellStyle name="강조색6 4 3" xfId="6585"/>
    <cellStyle name="강조색6 4 4" xfId="6586"/>
    <cellStyle name="강조색6 40" xfId="6587"/>
    <cellStyle name="강조색6 41" xfId="6588"/>
    <cellStyle name="강조색6 42" xfId="6589"/>
    <cellStyle name="강조색6 43" xfId="6590"/>
    <cellStyle name="강조색6 44" xfId="6591"/>
    <cellStyle name="강조색6 45" xfId="6592"/>
    <cellStyle name="강조색6 45 2" xfId="6593"/>
    <cellStyle name="강조색6 45 3" xfId="6594"/>
    <cellStyle name="강조색6 46" xfId="6595"/>
    <cellStyle name="강조색6 47" xfId="6596"/>
    <cellStyle name="강조색6 48" xfId="6597"/>
    <cellStyle name="강조색6 49" xfId="6598"/>
    <cellStyle name="강조색6 5" xfId="6599"/>
    <cellStyle name="강조색6 5 2" xfId="6600"/>
    <cellStyle name="강조색6 5 3" xfId="6601"/>
    <cellStyle name="강조색6 5 4" xfId="6602"/>
    <cellStyle name="강조색6 50" xfId="6603"/>
    <cellStyle name="강조색6 51" xfId="6604"/>
    <cellStyle name="강조색6 52" xfId="6605"/>
    <cellStyle name="강조색6 53" xfId="6606"/>
    <cellStyle name="강조색6 54" xfId="6607"/>
    <cellStyle name="강조색6 55" xfId="6608"/>
    <cellStyle name="강조색6 6" xfId="6609"/>
    <cellStyle name="강조색6 6 2" xfId="6610"/>
    <cellStyle name="강조색6 6 3" xfId="6611"/>
    <cellStyle name="강조색6 6 4" xfId="6612"/>
    <cellStyle name="강조색6 7" xfId="6613"/>
    <cellStyle name="강조색6 7 2" xfId="6614"/>
    <cellStyle name="강조색6 7 3" xfId="6615"/>
    <cellStyle name="강조색6 7 4" xfId="6616"/>
    <cellStyle name="강조색6 8" xfId="6617"/>
    <cellStyle name="강조색6 9" xfId="6618"/>
    <cellStyle name="견적" xfId="6619"/>
    <cellStyle name="결산일" xfId="6620"/>
    <cellStyle name="경고문 10" xfId="6621"/>
    <cellStyle name="경고문 11" xfId="6622"/>
    <cellStyle name="경고문 12" xfId="6623"/>
    <cellStyle name="경고문 13" xfId="6624"/>
    <cellStyle name="경고문 14" xfId="6625"/>
    <cellStyle name="경고문 14 2" xfId="6626"/>
    <cellStyle name="경고문 14 3" xfId="6627"/>
    <cellStyle name="경고문 15" xfId="6628"/>
    <cellStyle name="경고문 15 2" xfId="6629"/>
    <cellStyle name="경고문 15 3" xfId="6630"/>
    <cellStyle name="경고문 16" xfId="6631"/>
    <cellStyle name="경고문 16 2" xfId="6632"/>
    <cellStyle name="경고문 16 3" xfId="6633"/>
    <cellStyle name="경고문 17" xfId="6634"/>
    <cellStyle name="경고문 17 2" xfId="6635"/>
    <cellStyle name="경고문 17 3" xfId="6636"/>
    <cellStyle name="경고문 18" xfId="6637"/>
    <cellStyle name="경고문 18 2" xfId="6638"/>
    <cellStyle name="경고문 18 3" xfId="6639"/>
    <cellStyle name="경고문 19" xfId="6640"/>
    <cellStyle name="경고문 19 2" xfId="6641"/>
    <cellStyle name="경고문 19 3" xfId="6642"/>
    <cellStyle name="경고문 2" xfId="6643"/>
    <cellStyle name="경고문 2 10" xfId="6644"/>
    <cellStyle name="경고문 2 11" xfId="6645"/>
    <cellStyle name="경고문 2 12" xfId="6646"/>
    <cellStyle name="경고문 2 13" xfId="6647"/>
    <cellStyle name="경고문 2 14" xfId="6648"/>
    <cellStyle name="경고문 2 15" xfId="6649"/>
    <cellStyle name="경고문 2 16" xfId="6650"/>
    <cellStyle name="경고문 2 17" xfId="6651"/>
    <cellStyle name="경고문 2 18" xfId="6652"/>
    <cellStyle name="경고문 2 19" xfId="6653"/>
    <cellStyle name="경고문 2 2" xfId="6654"/>
    <cellStyle name="경고문 2 20" xfId="6655"/>
    <cellStyle name="경고문 2 21" xfId="6656"/>
    <cellStyle name="경고문 2 22" xfId="6657"/>
    <cellStyle name="경고문 2 23" xfId="6658"/>
    <cellStyle name="경고문 2 24" xfId="6659"/>
    <cellStyle name="경고문 2 25" xfId="6660"/>
    <cellStyle name="경고문 2 26" xfId="6661"/>
    <cellStyle name="경고문 2 27" xfId="6662"/>
    <cellStyle name="경고문 2 28" xfId="6663"/>
    <cellStyle name="경고문 2 29" xfId="6664"/>
    <cellStyle name="경고문 2 3" xfId="6665"/>
    <cellStyle name="경고문 2 30" xfId="6666"/>
    <cellStyle name="경고문 2 31" xfId="6667"/>
    <cellStyle name="경고문 2 32" xfId="6668"/>
    <cellStyle name="경고문 2 33" xfId="6669"/>
    <cellStyle name="경고문 2 34" xfId="6670"/>
    <cellStyle name="경고문 2 35" xfId="6671"/>
    <cellStyle name="경고문 2 36" xfId="6672"/>
    <cellStyle name="경고문 2 37" xfId="6673"/>
    <cellStyle name="경고문 2 38" xfId="6674"/>
    <cellStyle name="경고문 2 39" xfId="6675"/>
    <cellStyle name="경고문 2 4" xfId="6676"/>
    <cellStyle name="경고문 2 5" xfId="6677"/>
    <cellStyle name="경고문 2 6" xfId="6678"/>
    <cellStyle name="경고문 2 7" xfId="6679"/>
    <cellStyle name="경고문 2 8" xfId="6680"/>
    <cellStyle name="경고문 2 9" xfId="6681"/>
    <cellStyle name="경고문 20" xfId="6682"/>
    <cellStyle name="경고문 21" xfId="6683"/>
    <cellStyle name="경고문 22" xfId="6684"/>
    <cellStyle name="경고문 23" xfId="6685"/>
    <cellStyle name="경고문 24" xfId="6686"/>
    <cellStyle name="경고문 25" xfId="6687"/>
    <cellStyle name="경고문 26" xfId="6688"/>
    <cellStyle name="경고문 27" xfId="6689"/>
    <cellStyle name="경고문 27 2" xfId="6690"/>
    <cellStyle name="경고문 28" xfId="6691"/>
    <cellStyle name="경고문 29" xfId="6692"/>
    <cellStyle name="경고문 3" xfId="6693"/>
    <cellStyle name="경고문 3 2" xfId="6694"/>
    <cellStyle name="경고문 3 3" xfId="6695"/>
    <cellStyle name="경고문 3 4" xfId="6696"/>
    <cellStyle name="경고문 30" xfId="6697"/>
    <cellStyle name="경고문 31" xfId="6698"/>
    <cellStyle name="경고문 32" xfId="6699"/>
    <cellStyle name="경고문 33" xfId="6700"/>
    <cellStyle name="경고문 34" xfId="6701"/>
    <cellStyle name="경고문 35" xfId="6702"/>
    <cellStyle name="경고문 36" xfId="6703"/>
    <cellStyle name="경고문 37" xfId="6704"/>
    <cellStyle name="경고문 37 2" xfId="6705"/>
    <cellStyle name="경고문 38" xfId="6706"/>
    <cellStyle name="경고문 39" xfId="6707"/>
    <cellStyle name="경고문 4" xfId="6708"/>
    <cellStyle name="경고문 4 2" xfId="6709"/>
    <cellStyle name="경고문 4 3" xfId="6710"/>
    <cellStyle name="경고문 4 4" xfId="6711"/>
    <cellStyle name="경고문 40" xfId="6712"/>
    <cellStyle name="경고문 41" xfId="6713"/>
    <cellStyle name="경고문 42" xfId="6714"/>
    <cellStyle name="경고문 43" xfId="6715"/>
    <cellStyle name="경고문 44" xfId="6716"/>
    <cellStyle name="경고문 45" xfId="6717"/>
    <cellStyle name="경고문 45 2" xfId="6718"/>
    <cellStyle name="경고문 45 3" xfId="6719"/>
    <cellStyle name="경고문 46" xfId="6720"/>
    <cellStyle name="경고문 47" xfId="6721"/>
    <cellStyle name="경고문 48" xfId="6722"/>
    <cellStyle name="경고문 49" xfId="6723"/>
    <cellStyle name="경고문 5" xfId="6724"/>
    <cellStyle name="경고문 5 2" xfId="6725"/>
    <cellStyle name="경고문 5 3" xfId="6726"/>
    <cellStyle name="경고문 5 4" xfId="6727"/>
    <cellStyle name="경고문 50" xfId="6728"/>
    <cellStyle name="경고문 51" xfId="6729"/>
    <cellStyle name="경고문 52" xfId="6730"/>
    <cellStyle name="경고문 53" xfId="6731"/>
    <cellStyle name="경고문 54" xfId="6732"/>
    <cellStyle name="경고문 55" xfId="6733"/>
    <cellStyle name="경고문 6" xfId="6734"/>
    <cellStyle name="경고문 6 2" xfId="6735"/>
    <cellStyle name="경고문 6 3" xfId="6736"/>
    <cellStyle name="경고문 6 4" xfId="6737"/>
    <cellStyle name="경고문 7" xfId="6738"/>
    <cellStyle name="경고문 7 2" xfId="6739"/>
    <cellStyle name="경고문 7 3" xfId="6740"/>
    <cellStyle name="경고문 7 4" xfId="6741"/>
    <cellStyle name="경고문 8" xfId="6742"/>
    <cellStyle name="경고문 9" xfId="6743"/>
    <cellStyle name="계산 10" xfId="6744"/>
    <cellStyle name="계산 11" xfId="6745"/>
    <cellStyle name="계산 12" xfId="6746"/>
    <cellStyle name="계산 13" xfId="6747"/>
    <cellStyle name="계산 14" xfId="6748"/>
    <cellStyle name="계산 14 2" xfId="6749"/>
    <cellStyle name="계산 14 3" xfId="6750"/>
    <cellStyle name="계산 15" xfId="6751"/>
    <cellStyle name="계산 15 2" xfId="6752"/>
    <cellStyle name="계산 15 3" xfId="6753"/>
    <cellStyle name="계산 16" xfId="6754"/>
    <cellStyle name="계산 16 2" xfId="6755"/>
    <cellStyle name="계산 16 3" xfId="6756"/>
    <cellStyle name="계산 17" xfId="6757"/>
    <cellStyle name="계산 17 2" xfId="6758"/>
    <cellStyle name="계산 17 3" xfId="6759"/>
    <cellStyle name="계산 18" xfId="6760"/>
    <cellStyle name="계산 18 2" xfId="6761"/>
    <cellStyle name="계산 18 3" xfId="6762"/>
    <cellStyle name="계산 19" xfId="6763"/>
    <cellStyle name="계산 19 2" xfId="6764"/>
    <cellStyle name="계산 19 3" xfId="6765"/>
    <cellStyle name="계산 2" xfId="6766"/>
    <cellStyle name="계산 2 10" xfId="6767"/>
    <cellStyle name="계산 2 11" xfId="6768"/>
    <cellStyle name="계산 2 12" xfId="6769"/>
    <cellStyle name="계산 2 13" xfId="6770"/>
    <cellStyle name="계산 2 14" xfId="6771"/>
    <cellStyle name="계산 2 15" xfId="6772"/>
    <cellStyle name="계산 2 16" xfId="6773"/>
    <cellStyle name="계산 2 17" xfId="6774"/>
    <cellStyle name="계산 2 18" xfId="6775"/>
    <cellStyle name="계산 2 19" xfId="6776"/>
    <cellStyle name="계산 2 2" xfId="6777"/>
    <cellStyle name="계산 2 20" xfId="6778"/>
    <cellStyle name="계산 2 21" xfId="6779"/>
    <cellStyle name="계산 2 22" xfId="6780"/>
    <cellStyle name="계산 2 23" xfId="6781"/>
    <cellStyle name="계산 2 24" xfId="6782"/>
    <cellStyle name="계산 2 25" xfId="6783"/>
    <cellStyle name="계산 2 26" xfId="6784"/>
    <cellStyle name="계산 2 27" xfId="6785"/>
    <cellStyle name="계산 2 28" xfId="6786"/>
    <cellStyle name="계산 2 29" xfId="6787"/>
    <cellStyle name="계산 2 3" xfId="6788"/>
    <cellStyle name="계산 2 30" xfId="6789"/>
    <cellStyle name="계산 2 31" xfId="6790"/>
    <cellStyle name="계산 2 32" xfId="6791"/>
    <cellStyle name="계산 2 33" xfId="6792"/>
    <cellStyle name="계산 2 34" xfId="6793"/>
    <cellStyle name="계산 2 35" xfId="6794"/>
    <cellStyle name="계산 2 36" xfId="6795"/>
    <cellStyle name="계산 2 37" xfId="6796"/>
    <cellStyle name="계산 2 38" xfId="6797"/>
    <cellStyle name="계산 2 39" xfId="6798"/>
    <cellStyle name="계산 2 4" xfId="6799"/>
    <cellStyle name="계산 2 5" xfId="6800"/>
    <cellStyle name="계산 2 6" xfId="6801"/>
    <cellStyle name="계산 2 7" xfId="6802"/>
    <cellStyle name="계산 2 8" xfId="6803"/>
    <cellStyle name="계산 2 9" xfId="6804"/>
    <cellStyle name="계산 20" xfId="6805"/>
    <cellStyle name="계산 21" xfId="6806"/>
    <cellStyle name="계산 22" xfId="6807"/>
    <cellStyle name="계산 23" xfId="6808"/>
    <cellStyle name="계산 24" xfId="6809"/>
    <cellStyle name="계산 25" xfId="6810"/>
    <cellStyle name="계산 26" xfId="6811"/>
    <cellStyle name="계산 27" xfId="6812"/>
    <cellStyle name="계산 27 2" xfId="6813"/>
    <cellStyle name="계산 28" xfId="6814"/>
    <cellStyle name="계산 29" xfId="6815"/>
    <cellStyle name="계산 3" xfId="6816"/>
    <cellStyle name="계산 3 2" xfId="6817"/>
    <cellStyle name="계산 3 3" xfId="6818"/>
    <cellStyle name="계산 3 4" xfId="6819"/>
    <cellStyle name="계산 30" xfId="6820"/>
    <cellStyle name="계산 31" xfId="6821"/>
    <cellStyle name="계산 32" xfId="6822"/>
    <cellStyle name="계산 33" xfId="6823"/>
    <cellStyle name="계산 34" xfId="6824"/>
    <cellStyle name="계산 35" xfId="6825"/>
    <cellStyle name="계산 36" xfId="6826"/>
    <cellStyle name="계산 37" xfId="6827"/>
    <cellStyle name="계산 37 2" xfId="6828"/>
    <cellStyle name="계산 38" xfId="6829"/>
    <cellStyle name="계산 39" xfId="6830"/>
    <cellStyle name="계산 4" xfId="6831"/>
    <cellStyle name="계산 4 2" xfId="6832"/>
    <cellStyle name="계산 4 3" xfId="6833"/>
    <cellStyle name="계산 4 4" xfId="6834"/>
    <cellStyle name="계산 40" xfId="6835"/>
    <cellStyle name="계산 41" xfId="6836"/>
    <cellStyle name="계산 42" xfId="6837"/>
    <cellStyle name="계산 43" xfId="6838"/>
    <cellStyle name="계산 44" xfId="6839"/>
    <cellStyle name="계산 45" xfId="6840"/>
    <cellStyle name="계산 45 2" xfId="6841"/>
    <cellStyle name="계산 45 3" xfId="6842"/>
    <cellStyle name="계산 46" xfId="6843"/>
    <cellStyle name="계산 47" xfId="6844"/>
    <cellStyle name="계산 48" xfId="6845"/>
    <cellStyle name="계산 49" xfId="6846"/>
    <cellStyle name="계산 5" xfId="6847"/>
    <cellStyle name="계산 5 2" xfId="6848"/>
    <cellStyle name="계산 5 3" xfId="6849"/>
    <cellStyle name="계산 5 4" xfId="6850"/>
    <cellStyle name="계산 50" xfId="6851"/>
    <cellStyle name="계산 51" xfId="6852"/>
    <cellStyle name="계산 52" xfId="6853"/>
    <cellStyle name="계산 53" xfId="6854"/>
    <cellStyle name="계산 54" xfId="6855"/>
    <cellStyle name="계산 55" xfId="6856"/>
    <cellStyle name="계산 6" xfId="6857"/>
    <cellStyle name="계산 6 2" xfId="6858"/>
    <cellStyle name="계산 6 3" xfId="6859"/>
    <cellStyle name="계산 6 4" xfId="6860"/>
    <cellStyle name="계산 7" xfId="6861"/>
    <cellStyle name="계산 7 2" xfId="6862"/>
    <cellStyle name="계산 7 3" xfId="6863"/>
    <cellStyle name="계산 7 4" xfId="6864"/>
    <cellStyle name="계산 8" xfId="6865"/>
    <cellStyle name="계산 9" xfId="6866"/>
    <cellStyle name="계정과목" xfId="6867"/>
    <cellStyle name="고정소숫점" xfId="6868"/>
    <cellStyle name="고정소숫점 2" xfId="6869"/>
    <cellStyle name="고정출력1" xfId="6870"/>
    <cellStyle name="고정출력1 2" xfId="6871"/>
    <cellStyle name="고정출력2" xfId="6872"/>
    <cellStyle name="고정출력2 2" xfId="6873"/>
    <cellStyle name="과립" xfId="6874"/>
    <cellStyle name="괄호금액" xfId="6875"/>
    <cellStyle name="咬訌裝?INCOM1" xfId="6876"/>
    <cellStyle name="咬訌裝?INCOM10" xfId="6877"/>
    <cellStyle name="咬訌裝?INCOM2" xfId="6878"/>
    <cellStyle name="咬訌裝?INCOM3" xfId="6879"/>
    <cellStyle name="咬訌裝?INCOM4" xfId="6880"/>
    <cellStyle name="咬訌裝?INCOM5" xfId="6881"/>
    <cellStyle name="咬訌裝?INCOM6" xfId="6882"/>
    <cellStyle name="咬訌裝?INCOM7" xfId="6883"/>
    <cellStyle name="咬訌裝?INCOM8" xfId="6884"/>
    <cellStyle name="咬訌裝?INCOM9" xfId="6885"/>
    <cellStyle name="咬訌裝?PRIB11" xfId="6886"/>
    <cellStyle name="咬訌裝?report-2 " xfId="6887"/>
    <cellStyle name="굴림체" xfId="6888"/>
    <cellStyle name="금액" xfId="6889"/>
    <cellStyle name="금액 2" xfId="6890"/>
    <cellStyle name="긪귽긬?깏깛긏" xfId="6891"/>
    <cellStyle name="기계" xfId="6892"/>
    <cellStyle name="기본" xfId="6893"/>
    <cellStyle name="기본 2" xfId="6894"/>
    <cellStyle name="김" xfId="6895"/>
    <cellStyle name="김_성진네텍04반기-yoo" xfId="6896"/>
    <cellStyle name="김_주식매입선택권" xfId="6897"/>
    <cellStyle name="나쁨 10" xfId="6898"/>
    <cellStyle name="나쁨 11" xfId="6899"/>
    <cellStyle name="나쁨 12" xfId="6900"/>
    <cellStyle name="나쁨 13" xfId="6901"/>
    <cellStyle name="나쁨 14" xfId="6902"/>
    <cellStyle name="나쁨 14 2" xfId="6903"/>
    <cellStyle name="나쁨 14 3" xfId="6904"/>
    <cellStyle name="나쁨 15" xfId="6905"/>
    <cellStyle name="나쁨 15 2" xfId="6906"/>
    <cellStyle name="나쁨 15 3" xfId="6907"/>
    <cellStyle name="나쁨 16" xfId="6908"/>
    <cellStyle name="나쁨 16 2" xfId="6909"/>
    <cellStyle name="나쁨 16 3" xfId="6910"/>
    <cellStyle name="나쁨 17" xfId="6911"/>
    <cellStyle name="나쁨 17 2" xfId="6912"/>
    <cellStyle name="나쁨 17 3" xfId="6913"/>
    <cellStyle name="나쁨 18" xfId="6914"/>
    <cellStyle name="나쁨 18 2" xfId="6915"/>
    <cellStyle name="나쁨 18 3" xfId="6916"/>
    <cellStyle name="나쁨 19" xfId="6917"/>
    <cellStyle name="나쁨 19 2" xfId="6918"/>
    <cellStyle name="나쁨 19 3" xfId="6919"/>
    <cellStyle name="나쁨 2" xfId="6920"/>
    <cellStyle name="나쁨 2 10" xfId="6921"/>
    <cellStyle name="나쁨 2 11" xfId="6922"/>
    <cellStyle name="나쁨 2 12" xfId="6923"/>
    <cellStyle name="나쁨 2 13" xfId="6924"/>
    <cellStyle name="나쁨 2 14" xfId="6925"/>
    <cellStyle name="나쁨 2 15" xfId="6926"/>
    <cellStyle name="나쁨 2 16" xfId="6927"/>
    <cellStyle name="나쁨 2 17" xfId="6928"/>
    <cellStyle name="나쁨 2 18" xfId="6929"/>
    <cellStyle name="나쁨 2 19" xfId="6930"/>
    <cellStyle name="나쁨 2 2" xfId="6931"/>
    <cellStyle name="나쁨 2 20" xfId="6932"/>
    <cellStyle name="나쁨 2 21" xfId="6933"/>
    <cellStyle name="나쁨 2 22" xfId="6934"/>
    <cellStyle name="나쁨 2 23" xfId="6935"/>
    <cellStyle name="나쁨 2 24" xfId="6936"/>
    <cellStyle name="나쁨 2 25" xfId="6937"/>
    <cellStyle name="나쁨 2 26" xfId="6938"/>
    <cellStyle name="나쁨 2 27" xfId="6939"/>
    <cellStyle name="나쁨 2 28" xfId="6940"/>
    <cellStyle name="나쁨 2 29" xfId="6941"/>
    <cellStyle name="나쁨 2 3" xfId="6942"/>
    <cellStyle name="나쁨 2 30" xfId="6943"/>
    <cellStyle name="나쁨 2 31" xfId="6944"/>
    <cellStyle name="나쁨 2 32" xfId="6945"/>
    <cellStyle name="나쁨 2 33" xfId="6946"/>
    <cellStyle name="나쁨 2 34" xfId="6947"/>
    <cellStyle name="나쁨 2 35" xfId="6948"/>
    <cellStyle name="나쁨 2 36" xfId="6949"/>
    <cellStyle name="나쁨 2 37" xfId="6950"/>
    <cellStyle name="나쁨 2 38" xfId="6951"/>
    <cellStyle name="나쁨 2 39" xfId="6952"/>
    <cellStyle name="나쁨 2 4" xfId="6953"/>
    <cellStyle name="나쁨 2 5" xfId="6954"/>
    <cellStyle name="나쁨 2 6" xfId="6955"/>
    <cellStyle name="나쁨 2 7" xfId="6956"/>
    <cellStyle name="나쁨 2 8" xfId="6957"/>
    <cellStyle name="나쁨 2 9" xfId="6958"/>
    <cellStyle name="나쁨 20" xfId="6959"/>
    <cellStyle name="나쁨 21" xfId="6960"/>
    <cellStyle name="나쁨 22" xfId="6961"/>
    <cellStyle name="나쁨 23" xfId="6962"/>
    <cellStyle name="나쁨 24" xfId="6963"/>
    <cellStyle name="나쁨 25" xfId="6964"/>
    <cellStyle name="나쁨 26" xfId="6965"/>
    <cellStyle name="나쁨 27" xfId="6966"/>
    <cellStyle name="나쁨 27 2" xfId="6967"/>
    <cellStyle name="나쁨 28" xfId="6968"/>
    <cellStyle name="나쁨 29" xfId="6969"/>
    <cellStyle name="나쁨 3" xfId="6970"/>
    <cellStyle name="나쁨 3 2" xfId="6971"/>
    <cellStyle name="나쁨 3 3" xfId="6972"/>
    <cellStyle name="나쁨 3 4" xfId="6973"/>
    <cellStyle name="나쁨 30" xfId="6974"/>
    <cellStyle name="나쁨 31" xfId="6975"/>
    <cellStyle name="나쁨 32" xfId="6976"/>
    <cellStyle name="나쁨 33" xfId="6977"/>
    <cellStyle name="나쁨 34" xfId="6978"/>
    <cellStyle name="나쁨 35" xfId="6979"/>
    <cellStyle name="나쁨 36" xfId="6980"/>
    <cellStyle name="나쁨 37" xfId="6981"/>
    <cellStyle name="나쁨 37 2" xfId="6982"/>
    <cellStyle name="나쁨 38" xfId="6983"/>
    <cellStyle name="나쁨 39" xfId="6984"/>
    <cellStyle name="나쁨 4" xfId="6985"/>
    <cellStyle name="나쁨 4 2" xfId="6986"/>
    <cellStyle name="나쁨 4 3" xfId="6987"/>
    <cellStyle name="나쁨 4 4" xfId="6988"/>
    <cellStyle name="나쁨 40" xfId="6989"/>
    <cellStyle name="나쁨 41" xfId="6990"/>
    <cellStyle name="나쁨 42" xfId="6991"/>
    <cellStyle name="나쁨 43" xfId="6992"/>
    <cellStyle name="나쁨 44" xfId="6993"/>
    <cellStyle name="나쁨 45" xfId="6994"/>
    <cellStyle name="나쁨 45 2" xfId="6995"/>
    <cellStyle name="나쁨 45 3" xfId="6996"/>
    <cellStyle name="나쁨 46" xfId="6997"/>
    <cellStyle name="나쁨 47" xfId="6998"/>
    <cellStyle name="나쁨 48" xfId="6999"/>
    <cellStyle name="나쁨 49" xfId="7000"/>
    <cellStyle name="나쁨 5" xfId="7001"/>
    <cellStyle name="나쁨 5 2" xfId="7002"/>
    <cellStyle name="나쁨 5 3" xfId="7003"/>
    <cellStyle name="나쁨 5 4" xfId="7004"/>
    <cellStyle name="나쁨 50" xfId="7005"/>
    <cellStyle name="나쁨 51" xfId="7006"/>
    <cellStyle name="나쁨 52" xfId="7007"/>
    <cellStyle name="나쁨 53" xfId="7008"/>
    <cellStyle name="나쁨 54" xfId="7009"/>
    <cellStyle name="나쁨 55" xfId="7010"/>
    <cellStyle name="나쁨 6" xfId="7011"/>
    <cellStyle name="나쁨 6 2" xfId="7012"/>
    <cellStyle name="나쁨 6 3" xfId="7013"/>
    <cellStyle name="나쁨 6 4" xfId="7014"/>
    <cellStyle name="나쁨 7" xfId="7015"/>
    <cellStyle name="나쁨 7 2" xfId="7016"/>
    <cellStyle name="나쁨 7 3" xfId="7017"/>
    <cellStyle name="나쁨 7 4" xfId="7018"/>
    <cellStyle name="나쁨 8" xfId="7019"/>
    <cellStyle name="나쁨 9" xfId="7020"/>
    <cellStyle name="나열번호" xfId="7021"/>
    <cellStyle name="날짜" xfId="7022"/>
    <cellStyle name="날짜 2" xfId="7023"/>
    <cellStyle name="날짜 3" xfId="7024"/>
    <cellStyle name="날짜형식" xfId="7025"/>
    <cellStyle name="단위(원)" xfId="7026"/>
    <cellStyle name="달러" xfId="7027"/>
    <cellStyle name="달러 2" xfId="7028"/>
    <cellStyle name="뒤에 오는 하이퍼링크" xfId="7029"/>
    <cellStyle name="똿뗦먛귟 [0.00]_9703JPY" xfId="7030"/>
    <cellStyle name="똿뗦먛귟_9703JPY" xfId="7031"/>
    <cellStyle name="메모 10" xfId="7032"/>
    <cellStyle name="메모 10 2" xfId="7033"/>
    <cellStyle name="메모 10 3" xfId="7034"/>
    <cellStyle name="메모 10 4" xfId="7035"/>
    <cellStyle name="메모 10 5" xfId="7036"/>
    <cellStyle name="메모 11" xfId="7037"/>
    <cellStyle name="메모 11 2" xfId="7038"/>
    <cellStyle name="메모 11 3" xfId="7039"/>
    <cellStyle name="메모 11 4" xfId="7040"/>
    <cellStyle name="메모 11 5" xfId="7041"/>
    <cellStyle name="메모 12" xfId="7042"/>
    <cellStyle name="메모 12 2" xfId="7043"/>
    <cellStyle name="메모 12 3" xfId="7044"/>
    <cellStyle name="메모 12 4" xfId="7045"/>
    <cellStyle name="메모 12 5" xfId="7046"/>
    <cellStyle name="메모 13" xfId="7047"/>
    <cellStyle name="메모 13 2" xfId="7048"/>
    <cellStyle name="메모 13 3" xfId="7049"/>
    <cellStyle name="메모 13 4" xfId="7050"/>
    <cellStyle name="메모 13 5" xfId="7051"/>
    <cellStyle name="메모 14" xfId="7052"/>
    <cellStyle name="메모 14 2" xfId="7053"/>
    <cellStyle name="메모 14 2 2" xfId="7054"/>
    <cellStyle name="메모 14 2 3" xfId="7055"/>
    <cellStyle name="메모 14 2 4" xfId="7056"/>
    <cellStyle name="메모 14 3" xfId="7057"/>
    <cellStyle name="메모 14 3 2" xfId="7058"/>
    <cellStyle name="메모 14 3 3" xfId="7059"/>
    <cellStyle name="메모 14 3 4" xfId="7060"/>
    <cellStyle name="메모 14 4" xfId="7061"/>
    <cellStyle name="메모 14 5" xfId="7062"/>
    <cellStyle name="메모 14 6" xfId="7063"/>
    <cellStyle name="메모 14 7" xfId="7064"/>
    <cellStyle name="메모 15" xfId="7065"/>
    <cellStyle name="메모 15 2" xfId="7066"/>
    <cellStyle name="메모 15 2 2" xfId="7067"/>
    <cellStyle name="메모 15 2 3" xfId="7068"/>
    <cellStyle name="메모 15 2 4" xfId="7069"/>
    <cellStyle name="메모 15 3" xfId="7070"/>
    <cellStyle name="메모 15 3 2" xfId="7071"/>
    <cellStyle name="메모 15 3 3" xfId="7072"/>
    <cellStyle name="메모 15 3 4" xfId="7073"/>
    <cellStyle name="메모 15 4" xfId="7074"/>
    <cellStyle name="메모 15 5" xfId="7075"/>
    <cellStyle name="메모 15 6" xfId="7076"/>
    <cellStyle name="메모 16" xfId="7077"/>
    <cellStyle name="메모 16 2" xfId="7078"/>
    <cellStyle name="메모 16 2 2" xfId="7079"/>
    <cellStyle name="메모 16 2 3" xfId="7080"/>
    <cellStyle name="메모 16 2 4" xfId="7081"/>
    <cellStyle name="메모 16 3" xfId="7082"/>
    <cellStyle name="메모 16 3 2" xfId="7083"/>
    <cellStyle name="메모 16 3 3" xfId="7084"/>
    <cellStyle name="메모 16 3 4" xfId="7085"/>
    <cellStyle name="메모 16 4" xfId="7086"/>
    <cellStyle name="메모 16 5" xfId="7087"/>
    <cellStyle name="메모 16 6" xfId="7088"/>
    <cellStyle name="메모 17" xfId="7089"/>
    <cellStyle name="메모 17 2" xfId="7090"/>
    <cellStyle name="메모 17 2 2" xfId="7091"/>
    <cellStyle name="메모 17 2 3" xfId="7092"/>
    <cellStyle name="메모 17 2 4" xfId="7093"/>
    <cellStyle name="메모 17 3" xfId="7094"/>
    <cellStyle name="메모 17 3 2" xfId="7095"/>
    <cellStyle name="메모 17 3 3" xfId="7096"/>
    <cellStyle name="메모 17 3 4" xfId="7097"/>
    <cellStyle name="메모 17 4" xfId="7098"/>
    <cellStyle name="메모 17 5" xfId="7099"/>
    <cellStyle name="메모 17 6" xfId="7100"/>
    <cellStyle name="메모 18" xfId="7101"/>
    <cellStyle name="메모 18 2" xfId="7102"/>
    <cellStyle name="메모 18 2 2" xfId="7103"/>
    <cellStyle name="메모 18 2 3" xfId="7104"/>
    <cellStyle name="메모 18 2 4" xfId="7105"/>
    <cellStyle name="메모 18 3" xfId="7106"/>
    <cellStyle name="메모 18 3 2" xfId="7107"/>
    <cellStyle name="메모 18 3 3" xfId="7108"/>
    <cellStyle name="메모 18 3 4" xfId="7109"/>
    <cellStyle name="메모 18 4" xfId="7110"/>
    <cellStyle name="메모 18 5" xfId="7111"/>
    <cellStyle name="메모 18 6" xfId="7112"/>
    <cellStyle name="메모 19" xfId="7113"/>
    <cellStyle name="메모 19 2" xfId="7114"/>
    <cellStyle name="메모 19 2 2" xfId="7115"/>
    <cellStyle name="메모 19 2 3" xfId="7116"/>
    <cellStyle name="메모 19 2 4" xfId="7117"/>
    <cellStyle name="메모 19 3" xfId="7118"/>
    <cellStyle name="메모 19 3 2" xfId="7119"/>
    <cellStyle name="메모 19 3 3" xfId="7120"/>
    <cellStyle name="메모 19 3 4" xfId="7121"/>
    <cellStyle name="메모 19 4" xfId="7122"/>
    <cellStyle name="메모 19 5" xfId="7123"/>
    <cellStyle name="메모 19 6" xfId="7124"/>
    <cellStyle name="메모 2" xfId="168"/>
    <cellStyle name="메모 2 10" xfId="7126"/>
    <cellStyle name="메모 2 10 2" xfId="7127"/>
    <cellStyle name="메모 2 10 3" xfId="7128"/>
    <cellStyle name="메모 2 10 4" xfId="7129"/>
    <cellStyle name="메모 2 11" xfId="7130"/>
    <cellStyle name="메모 2 11 2" xfId="7131"/>
    <cellStyle name="메모 2 11 3" xfId="7132"/>
    <cellStyle name="메모 2 11 4" xfId="7133"/>
    <cellStyle name="메모 2 12" xfId="7134"/>
    <cellStyle name="메모 2 12 2" xfId="7135"/>
    <cellStyle name="메모 2 12 3" xfId="7136"/>
    <cellStyle name="메모 2 12 4" xfId="7137"/>
    <cellStyle name="메모 2 13" xfId="7138"/>
    <cellStyle name="메모 2 13 2" xfId="7139"/>
    <cellStyle name="메모 2 13 3" xfId="7140"/>
    <cellStyle name="메모 2 13 4" xfId="7141"/>
    <cellStyle name="메모 2 14" xfId="7142"/>
    <cellStyle name="메모 2 14 2" xfId="7143"/>
    <cellStyle name="메모 2 14 3" xfId="7144"/>
    <cellStyle name="메모 2 14 4" xfId="7145"/>
    <cellStyle name="메모 2 15" xfId="7146"/>
    <cellStyle name="메모 2 15 2" xfId="7147"/>
    <cellStyle name="메모 2 15 3" xfId="7148"/>
    <cellStyle name="메모 2 15 4" xfId="7149"/>
    <cellStyle name="메모 2 16" xfId="7150"/>
    <cellStyle name="메모 2 16 2" xfId="7151"/>
    <cellStyle name="메모 2 16 3" xfId="7152"/>
    <cellStyle name="메모 2 16 4" xfId="7153"/>
    <cellStyle name="메모 2 17" xfId="7154"/>
    <cellStyle name="메모 2 17 2" xfId="7155"/>
    <cellStyle name="메모 2 17 3" xfId="7156"/>
    <cellStyle name="메모 2 17 4" xfId="7157"/>
    <cellStyle name="메모 2 18" xfId="7158"/>
    <cellStyle name="메모 2 18 2" xfId="7159"/>
    <cellStyle name="메모 2 18 3" xfId="7160"/>
    <cellStyle name="메모 2 18 4" xfId="7161"/>
    <cellStyle name="메모 2 19" xfId="7162"/>
    <cellStyle name="메모 2 19 2" xfId="7163"/>
    <cellStyle name="메모 2 19 3" xfId="7164"/>
    <cellStyle name="메모 2 19 4" xfId="7165"/>
    <cellStyle name="메모 2 2" xfId="7166"/>
    <cellStyle name="메모 2 2 2" xfId="7167"/>
    <cellStyle name="메모 2 2 3" xfId="7168"/>
    <cellStyle name="메모 2 2 4" xfId="7169"/>
    <cellStyle name="메모 2 2 5" xfId="7170"/>
    <cellStyle name="메모 2 20" xfId="7171"/>
    <cellStyle name="메모 2 20 2" xfId="7172"/>
    <cellStyle name="메모 2 20 3" xfId="7173"/>
    <cellStyle name="메모 2 20 4" xfId="7174"/>
    <cellStyle name="메모 2 21" xfId="7175"/>
    <cellStyle name="메모 2 21 2" xfId="7176"/>
    <cellStyle name="메모 2 21 3" xfId="7177"/>
    <cellStyle name="메모 2 21 4" xfId="7178"/>
    <cellStyle name="메모 2 22" xfId="7179"/>
    <cellStyle name="메모 2 22 2" xfId="7180"/>
    <cellStyle name="메모 2 22 3" xfId="7181"/>
    <cellStyle name="메모 2 22 4" xfId="7182"/>
    <cellStyle name="메모 2 23" xfId="7183"/>
    <cellStyle name="메모 2 23 2" xfId="7184"/>
    <cellStyle name="메모 2 23 3" xfId="7185"/>
    <cellStyle name="메모 2 23 4" xfId="7186"/>
    <cellStyle name="메모 2 24" xfId="7187"/>
    <cellStyle name="메모 2 24 2" xfId="7188"/>
    <cellStyle name="메모 2 24 3" xfId="7189"/>
    <cellStyle name="메모 2 24 4" xfId="7190"/>
    <cellStyle name="메모 2 25" xfId="7191"/>
    <cellStyle name="메모 2 26" xfId="7192"/>
    <cellStyle name="메모 2 27" xfId="7193"/>
    <cellStyle name="메모 2 28" xfId="7194"/>
    <cellStyle name="메모 2 29" xfId="7195"/>
    <cellStyle name="메모 2 3" xfId="7196"/>
    <cellStyle name="메모 2 3 2" xfId="7197"/>
    <cellStyle name="메모 2 3 3" xfId="7198"/>
    <cellStyle name="메모 2 3 4" xfId="7199"/>
    <cellStyle name="메모 2 3 5" xfId="7200"/>
    <cellStyle name="메모 2 30" xfId="7201"/>
    <cellStyle name="메모 2 31" xfId="7202"/>
    <cellStyle name="메모 2 32" xfId="7203"/>
    <cellStyle name="메모 2 33" xfId="7204"/>
    <cellStyle name="메모 2 34" xfId="7205"/>
    <cellStyle name="메모 2 35" xfId="7206"/>
    <cellStyle name="메모 2 36" xfId="7207"/>
    <cellStyle name="메모 2 37" xfId="7208"/>
    <cellStyle name="메모 2 38" xfId="7209"/>
    <cellStyle name="메모 2 39" xfId="7210"/>
    <cellStyle name="메모 2 4" xfId="7211"/>
    <cellStyle name="메모 2 4 2" xfId="7212"/>
    <cellStyle name="메모 2 4 3" xfId="7213"/>
    <cellStyle name="메모 2 4 4" xfId="7214"/>
    <cellStyle name="메모 2 40" xfId="7215"/>
    <cellStyle name="메모 2 41" xfId="7216"/>
    <cellStyle name="메모 2 42" xfId="7217"/>
    <cellStyle name="메모 2 43" xfId="7218"/>
    <cellStyle name="메모 2 44" xfId="7125"/>
    <cellStyle name="메모 2 5" xfId="7219"/>
    <cellStyle name="메모 2 5 2" xfId="7220"/>
    <cellStyle name="메모 2 5 3" xfId="7221"/>
    <cellStyle name="메모 2 5 4" xfId="7222"/>
    <cellStyle name="메모 2 6" xfId="7223"/>
    <cellStyle name="메모 2 6 2" xfId="7224"/>
    <cellStyle name="메모 2 6 3" xfId="7225"/>
    <cellStyle name="메모 2 6 4" xfId="7226"/>
    <cellStyle name="메모 2 7" xfId="7227"/>
    <cellStyle name="메모 2 7 2" xfId="7228"/>
    <cellStyle name="메모 2 7 3" xfId="7229"/>
    <cellStyle name="메모 2 7 4" xfId="7230"/>
    <cellStyle name="메모 2 8" xfId="7231"/>
    <cellStyle name="메모 2 8 2" xfId="7232"/>
    <cellStyle name="메모 2 8 3" xfId="7233"/>
    <cellStyle name="메모 2 8 4" xfId="7234"/>
    <cellStyle name="메모 2 9" xfId="7235"/>
    <cellStyle name="메모 2 9 2" xfId="7236"/>
    <cellStyle name="메모 2 9 3" xfId="7237"/>
    <cellStyle name="메모 2 9 4" xfId="7238"/>
    <cellStyle name="메모 20" xfId="7239"/>
    <cellStyle name="메모 20 2" xfId="7240"/>
    <cellStyle name="메모 20 3" xfId="7241"/>
    <cellStyle name="메모 20 4" xfId="7242"/>
    <cellStyle name="메모 21" xfId="7243"/>
    <cellStyle name="메모 21 2" xfId="7244"/>
    <cellStyle name="메모 21 3" xfId="7245"/>
    <cellStyle name="메모 21 4" xfId="7246"/>
    <cellStyle name="메모 22" xfId="7247"/>
    <cellStyle name="메모 22 2" xfId="7248"/>
    <cellStyle name="메모 22 3" xfId="7249"/>
    <cellStyle name="메모 22 4" xfId="7250"/>
    <cellStyle name="메모 23" xfId="7251"/>
    <cellStyle name="메모 23 2" xfId="7252"/>
    <cellStyle name="메모 23 3" xfId="7253"/>
    <cellStyle name="메모 23 4" xfId="7254"/>
    <cellStyle name="메모 24" xfId="7255"/>
    <cellStyle name="메모 24 2" xfId="7256"/>
    <cellStyle name="메모 24 3" xfId="7257"/>
    <cellStyle name="메모 24 4" xfId="7258"/>
    <cellStyle name="메모 25" xfId="7259"/>
    <cellStyle name="메모 25 2" xfId="7260"/>
    <cellStyle name="메모 25 3" xfId="7261"/>
    <cellStyle name="메모 25 4" xfId="7262"/>
    <cellStyle name="메모 26" xfId="7263"/>
    <cellStyle name="메모 26 2" xfId="7264"/>
    <cellStyle name="메모 26 3" xfId="7265"/>
    <cellStyle name="메모 26 4" xfId="7266"/>
    <cellStyle name="메모 27" xfId="7267"/>
    <cellStyle name="메모 27 2" xfId="7268"/>
    <cellStyle name="메모 27 2 2" xfId="7269"/>
    <cellStyle name="메모 27 2 3" xfId="7270"/>
    <cellStyle name="메모 27 2 4" xfId="7271"/>
    <cellStyle name="메모 27 3" xfId="7272"/>
    <cellStyle name="메모 27 4" xfId="7273"/>
    <cellStyle name="메모 27 5" xfId="7274"/>
    <cellStyle name="메모 28" xfId="7275"/>
    <cellStyle name="메모 28 2" xfId="7276"/>
    <cellStyle name="메모 28 3" xfId="7277"/>
    <cellStyle name="메모 28 4" xfId="7278"/>
    <cellStyle name="메모 29" xfId="7279"/>
    <cellStyle name="메모 29 2" xfId="7280"/>
    <cellStyle name="메모 29 3" xfId="7281"/>
    <cellStyle name="메모 29 4" xfId="7282"/>
    <cellStyle name="메모 3" xfId="7283"/>
    <cellStyle name="메모 3 10" xfId="7284"/>
    <cellStyle name="메모 3 2" xfId="7285"/>
    <cellStyle name="메모 3 2 2" xfId="7286"/>
    <cellStyle name="메모 3 2 3" xfId="7287"/>
    <cellStyle name="메모 3 2 4" xfId="7288"/>
    <cellStyle name="메모 3 3" xfId="7289"/>
    <cellStyle name="메모 3 3 2" xfId="7290"/>
    <cellStyle name="메모 3 3 3" xfId="7291"/>
    <cellStyle name="메모 3 3 4" xfId="7292"/>
    <cellStyle name="메모 3 4" xfId="7293"/>
    <cellStyle name="메모 3 4 2" xfId="7294"/>
    <cellStyle name="메모 3 4 3" xfId="7295"/>
    <cellStyle name="메모 3 4 4" xfId="7296"/>
    <cellStyle name="메모 3 5" xfId="7297"/>
    <cellStyle name="메모 3 6" xfId="7298"/>
    <cellStyle name="메모 3 7" xfId="7299"/>
    <cellStyle name="메모 3 8" xfId="7300"/>
    <cellStyle name="메모 3 9" xfId="7301"/>
    <cellStyle name="메모 30" xfId="7302"/>
    <cellStyle name="메모 30 2" xfId="7303"/>
    <cellStyle name="메모 30 3" xfId="7304"/>
    <cellStyle name="메모 30 4" xfId="7305"/>
    <cellStyle name="메모 31" xfId="7306"/>
    <cellStyle name="메모 31 2" xfId="7307"/>
    <cellStyle name="메모 31 3" xfId="7308"/>
    <cellStyle name="메모 31 4" xfId="7309"/>
    <cellStyle name="메모 32" xfId="7310"/>
    <cellStyle name="메모 32 2" xfId="7311"/>
    <cellStyle name="메모 32 3" xfId="7312"/>
    <cellStyle name="메모 32 4" xfId="7313"/>
    <cellStyle name="메모 33" xfId="7314"/>
    <cellStyle name="메모 33 2" xfId="7315"/>
    <cellStyle name="메모 33 3" xfId="7316"/>
    <cellStyle name="메모 33 4" xfId="7317"/>
    <cellStyle name="메모 34" xfId="7318"/>
    <cellStyle name="메모 34 2" xfId="7319"/>
    <cellStyle name="메모 34 3" xfId="7320"/>
    <cellStyle name="메모 34 4" xfId="7321"/>
    <cellStyle name="메모 35" xfId="7322"/>
    <cellStyle name="메모 35 2" xfId="7323"/>
    <cellStyle name="메모 35 2 2" xfId="7324"/>
    <cellStyle name="메모 35 2 3" xfId="7325"/>
    <cellStyle name="메모 35 3" xfId="7326"/>
    <cellStyle name="메모 35 4" xfId="7327"/>
    <cellStyle name="메모 36" xfId="7328"/>
    <cellStyle name="메모 37" xfId="7329"/>
    <cellStyle name="메모 38" xfId="7330"/>
    <cellStyle name="메모 39" xfId="7331"/>
    <cellStyle name="메모 4" xfId="7332"/>
    <cellStyle name="메모 4 10" xfId="7333"/>
    <cellStyle name="메모 4 2" xfId="7334"/>
    <cellStyle name="메모 4 2 2" xfId="7335"/>
    <cellStyle name="메모 4 2 3" xfId="7336"/>
    <cellStyle name="메모 4 2 4" xfId="7337"/>
    <cellStyle name="메모 4 3" xfId="7338"/>
    <cellStyle name="메모 4 3 2" xfId="7339"/>
    <cellStyle name="메모 4 3 3" xfId="7340"/>
    <cellStyle name="메모 4 3 4" xfId="7341"/>
    <cellStyle name="메모 4 4" xfId="7342"/>
    <cellStyle name="메모 4 4 2" xfId="7343"/>
    <cellStyle name="메모 4 4 3" xfId="7344"/>
    <cellStyle name="메모 4 4 4" xfId="7345"/>
    <cellStyle name="메모 4 5" xfId="7346"/>
    <cellStyle name="메모 4 6" xfId="7347"/>
    <cellStyle name="메모 4 7" xfId="7348"/>
    <cellStyle name="메모 4 8" xfId="7349"/>
    <cellStyle name="메모 4 9" xfId="7350"/>
    <cellStyle name="메모 40" xfId="7351"/>
    <cellStyle name="메모 41" xfId="7352"/>
    <cellStyle name="메모 42" xfId="7353"/>
    <cellStyle name="메모 43" xfId="7354"/>
    <cellStyle name="메모 44" xfId="7355"/>
    <cellStyle name="메모 45" xfId="7356"/>
    <cellStyle name="메모 45 2" xfId="7357"/>
    <cellStyle name="메모 45 2 2" xfId="7358"/>
    <cellStyle name="메모 45 2 3" xfId="7359"/>
    <cellStyle name="메모 45 3" xfId="7360"/>
    <cellStyle name="메모 45 4" xfId="7361"/>
    <cellStyle name="메모 46" xfId="7362"/>
    <cellStyle name="메모 46 2" xfId="7363"/>
    <cellStyle name="메모 46 3" xfId="7364"/>
    <cellStyle name="메모 46 4" xfId="7365"/>
    <cellStyle name="메모 47" xfId="7366"/>
    <cellStyle name="메모 48" xfId="7367"/>
    <cellStyle name="메모 49" xfId="7368"/>
    <cellStyle name="메모 5" xfId="7369"/>
    <cellStyle name="메모 5 10" xfId="7370"/>
    <cellStyle name="메모 5 2" xfId="7371"/>
    <cellStyle name="메모 5 2 2" xfId="7372"/>
    <cellStyle name="메모 5 2 3" xfId="7373"/>
    <cellStyle name="메모 5 2 4" xfId="7374"/>
    <cellStyle name="메모 5 3" xfId="7375"/>
    <cellStyle name="메모 5 3 2" xfId="7376"/>
    <cellStyle name="메모 5 3 3" xfId="7377"/>
    <cellStyle name="메모 5 3 4" xfId="7378"/>
    <cellStyle name="메모 5 4" xfId="7379"/>
    <cellStyle name="메모 5 4 2" xfId="7380"/>
    <cellStyle name="메모 5 4 3" xfId="7381"/>
    <cellStyle name="메모 5 4 4" xfId="7382"/>
    <cellStyle name="메모 5 5" xfId="7383"/>
    <cellStyle name="메모 5 6" xfId="7384"/>
    <cellStyle name="메모 5 7" xfId="7385"/>
    <cellStyle name="메모 5 8" xfId="7386"/>
    <cellStyle name="메모 5 9" xfId="7387"/>
    <cellStyle name="메모 50" xfId="7388"/>
    <cellStyle name="메모 51" xfId="7389"/>
    <cellStyle name="메모 52" xfId="7390"/>
    <cellStyle name="메모 53" xfId="7391"/>
    <cellStyle name="메모 53 2" xfId="7392"/>
    <cellStyle name="메모 53 3" xfId="7393"/>
    <cellStyle name="메모 54" xfId="7394"/>
    <cellStyle name="메모 54 2" xfId="7395"/>
    <cellStyle name="메모 54 3" xfId="7396"/>
    <cellStyle name="메모 55" xfId="7397"/>
    <cellStyle name="메모 56" xfId="7398"/>
    <cellStyle name="메모 57" xfId="7399"/>
    <cellStyle name="메모 58" xfId="7400"/>
    <cellStyle name="메모 59" xfId="7401"/>
    <cellStyle name="메모 6" xfId="7402"/>
    <cellStyle name="메모 6 10" xfId="7403"/>
    <cellStyle name="메모 6 2" xfId="7404"/>
    <cellStyle name="메모 6 2 2" xfId="7405"/>
    <cellStyle name="메모 6 2 3" xfId="7406"/>
    <cellStyle name="메모 6 2 4" xfId="7407"/>
    <cellStyle name="메모 6 3" xfId="7408"/>
    <cellStyle name="메모 6 3 2" xfId="7409"/>
    <cellStyle name="메모 6 3 3" xfId="7410"/>
    <cellStyle name="메모 6 3 4" xfId="7411"/>
    <cellStyle name="메모 6 4" xfId="7412"/>
    <cellStyle name="메모 6 4 2" xfId="7413"/>
    <cellStyle name="메모 6 4 3" xfId="7414"/>
    <cellStyle name="메모 6 4 4" xfId="7415"/>
    <cellStyle name="메모 6 5" xfId="7416"/>
    <cellStyle name="메모 6 6" xfId="7417"/>
    <cellStyle name="메모 6 7" xfId="7418"/>
    <cellStyle name="메모 6 8" xfId="7419"/>
    <cellStyle name="메모 6 9" xfId="7420"/>
    <cellStyle name="메모 60" xfId="7421"/>
    <cellStyle name="메모 61" xfId="7422"/>
    <cellStyle name="메모 62" xfId="7423"/>
    <cellStyle name="메모 63" xfId="7424"/>
    <cellStyle name="메모 64" xfId="7425"/>
    <cellStyle name="메모 7" xfId="7426"/>
    <cellStyle name="메모 7 10" xfId="7427"/>
    <cellStyle name="메모 7 2" xfId="7428"/>
    <cellStyle name="메모 7 2 2" xfId="7429"/>
    <cellStyle name="메모 7 2 3" xfId="7430"/>
    <cellStyle name="메모 7 2 4" xfId="7431"/>
    <cellStyle name="메모 7 3" xfId="7432"/>
    <cellStyle name="메모 7 3 2" xfId="7433"/>
    <cellStyle name="메모 7 3 3" xfId="7434"/>
    <cellStyle name="메모 7 3 4" xfId="7435"/>
    <cellStyle name="메모 7 4" xfId="7436"/>
    <cellStyle name="메모 7 4 2" xfId="7437"/>
    <cellStyle name="메모 7 4 3" xfId="7438"/>
    <cellStyle name="메모 7 4 4" xfId="7439"/>
    <cellStyle name="메모 7 5" xfId="7440"/>
    <cellStyle name="메모 7 6" xfId="7441"/>
    <cellStyle name="메모 7 7" xfId="7442"/>
    <cellStyle name="메모 7 8" xfId="7443"/>
    <cellStyle name="메모 7 9" xfId="7444"/>
    <cellStyle name="메모 8" xfId="7445"/>
    <cellStyle name="메모 8 2" xfId="7446"/>
    <cellStyle name="메모 8 3" xfId="7447"/>
    <cellStyle name="메모 8 4" xfId="7448"/>
    <cellStyle name="메모 8 5" xfId="7449"/>
    <cellStyle name="메모 8 6" xfId="7450"/>
    <cellStyle name="메모 8 7" xfId="7451"/>
    <cellStyle name="메모 9" xfId="7452"/>
    <cellStyle name="메모 9 2" xfId="7453"/>
    <cellStyle name="메모 9 3" xfId="7454"/>
    <cellStyle name="메모 9 4" xfId="7455"/>
    <cellStyle name="메모 9 5" xfId="7456"/>
    <cellStyle name="메모 9 6" xfId="7457"/>
    <cellStyle name="메모 9 7" xfId="7458"/>
    <cellStyle name="묮뎋 [0.00]_PRODUCT DETAIL Q1" xfId="7459"/>
    <cellStyle name="묮뎋_PRODUCT DETAIL Q1" xfId="7460"/>
    <cellStyle name="믅됞 [0.00]_9703JPY" xfId="7461"/>
    <cellStyle name="믅됞_9703JPY" xfId="7462"/>
    <cellStyle name="미정" xfId="7463"/>
    <cellStyle name="未定義" xfId="7464"/>
    <cellStyle name="바이알" xfId="7465"/>
    <cellStyle name="백만" xfId="7466"/>
    <cellStyle name="백만 2" xfId="7467"/>
    <cellStyle name="백만 3" xfId="7468"/>
    <cellStyle name="백분율" xfId="2" builtinId="5"/>
    <cellStyle name="백분율 [0]" xfId="7469"/>
    <cellStyle name="백분율 [2]" xfId="7470"/>
    <cellStyle name="백분율 10" xfId="7471"/>
    <cellStyle name="백분율 11" xfId="7472"/>
    <cellStyle name="백분율 12" xfId="10046"/>
    <cellStyle name="백분율 13" xfId="10054"/>
    <cellStyle name="백분율 2" xfId="13"/>
    <cellStyle name="백분율 2 2" xfId="71"/>
    <cellStyle name="백분율 2 2 2" xfId="7474"/>
    <cellStyle name="백분율 2 3" xfId="7475"/>
    <cellStyle name="백분율 2 3 2" xfId="7476"/>
    <cellStyle name="백분율 2 4" xfId="7473"/>
    <cellStyle name="백분율 3" xfId="65"/>
    <cellStyle name="백분율 3 2" xfId="7478"/>
    <cellStyle name="백분율 3 3" xfId="7477"/>
    <cellStyle name="백분율 4" xfId="122"/>
    <cellStyle name="백분율 4 2" xfId="7480"/>
    <cellStyle name="백분율 4 3" xfId="7481"/>
    <cellStyle name="백분율 4 4" xfId="7482"/>
    <cellStyle name="백분율 4 5" xfId="7479"/>
    <cellStyle name="백분율 5" xfId="7483"/>
    <cellStyle name="백분율 5 2" xfId="7484"/>
    <cellStyle name="백분율 6" xfId="7485"/>
    <cellStyle name="백분율 6 2" xfId="7486"/>
    <cellStyle name="백분율 7" xfId="7487"/>
    <cellStyle name="백분율 7 2" xfId="7488"/>
    <cellStyle name="백분율 8" xfId="7489"/>
    <cellStyle name="백분율 8 2" xfId="7490"/>
    <cellStyle name="백분율 9" xfId="7491"/>
    <cellStyle name="백분율 9 2" xfId="7492"/>
    <cellStyle name="백분율[1]" xfId="7493"/>
    <cellStyle name="버미" xfId="7494"/>
    <cellStyle name="보고서" xfId="7495"/>
    <cellStyle name="보고서 제목" xfId="7496"/>
    <cellStyle name="보통 10" xfId="7497"/>
    <cellStyle name="보통 11" xfId="7498"/>
    <cellStyle name="보통 12" xfId="7499"/>
    <cellStyle name="보통 13" xfId="7500"/>
    <cellStyle name="보통 14" xfId="7501"/>
    <cellStyle name="보통 14 2" xfId="7502"/>
    <cellStyle name="보통 14 3" xfId="7503"/>
    <cellStyle name="보통 15" xfId="7504"/>
    <cellStyle name="보통 15 2" xfId="7505"/>
    <cellStyle name="보통 15 3" xfId="7506"/>
    <cellStyle name="보통 16" xfId="7507"/>
    <cellStyle name="보통 16 2" xfId="7508"/>
    <cellStyle name="보통 16 3" xfId="7509"/>
    <cellStyle name="보통 17" xfId="7510"/>
    <cellStyle name="보통 17 2" xfId="7511"/>
    <cellStyle name="보통 17 3" xfId="7512"/>
    <cellStyle name="보통 18" xfId="7513"/>
    <cellStyle name="보통 18 2" xfId="7514"/>
    <cellStyle name="보통 18 3" xfId="7515"/>
    <cellStyle name="보통 19" xfId="7516"/>
    <cellStyle name="보통 19 2" xfId="7517"/>
    <cellStyle name="보통 19 3" xfId="7518"/>
    <cellStyle name="보통 2" xfId="7519"/>
    <cellStyle name="보통 2 10" xfId="7520"/>
    <cellStyle name="보통 2 11" xfId="7521"/>
    <cellStyle name="보통 2 12" xfId="7522"/>
    <cellStyle name="보통 2 13" xfId="7523"/>
    <cellStyle name="보통 2 14" xfId="7524"/>
    <cellStyle name="보통 2 15" xfId="7525"/>
    <cellStyle name="보통 2 16" xfId="7526"/>
    <cellStyle name="보통 2 17" xfId="7527"/>
    <cellStyle name="보통 2 18" xfId="7528"/>
    <cellStyle name="보통 2 19" xfId="7529"/>
    <cellStyle name="보통 2 2" xfId="7530"/>
    <cellStyle name="보통 2 20" xfId="7531"/>
    <cellStyle name="보통 2 21" xfId="7532"/>
    <cellStyle name="보통 2 22" xfId="7533"/>
    <cellStyle name="보통 2 23" xfId="7534"/>
    <cellStyle name="보통 2 24" xfId="7535"/>
    <cellStyle name="보통 2 25" xfId="7536"/>
    <cellStyle name="보통 2 26" xfId="7537"/>
    <cellStyle name="보통 2 27" xfId="7538"/>
    <cellStyle name="보통 2 28" xfId="7539"/>
    <cellStyle name="보통 2 29" xfId="7540"/>
    <cellStyle name="보통 2 3" xfId="7541"/>
    <cellStyle name="보통 2 30" xfId="7542"/>
    <cellStyle name="보통 2 31" xfId="7543"/>
    <cellStyle name="보통 2 32" xfId="7544"/>
    <cellStyle name="보통 2 33" xfId="7545"/>
    <cellStyle name="보통 2 34" xfId="7546"/>
    <cellStyle name="보통 2 35" xfId="7547"/>
    <cellStyle name="보통 2 36" xfId="7548"/>
    <cellStyle name="보통 2 37" xfId="7549"/>
    <cellStyle name="보통 2 38" xfId="7550"/>
    <cellStyle name="보통 2 39" xfId="7551"/>
    <cellStyle name="보통 2 4" xfId="7552"/>
    <cellStyle name="보통 2 5" xfId="7553"/>
    <cellStyle name="보통 2 6" xfId="7554"/>
    <cellStyle name="보통 2 7" xfId="7555"/>
    <cellStyle name="보통 2 8" xfId="7556"/>
    <cellStyle name="보통 2 9" xfId="7557"/>
    <cellStyle name="보통 20" xfId="7558"/>
    <cellStyle name="보통 21" xfId="7559"/>
    <cellStyle name="보통 22" xfId="7560"/>
    <cellStyle name="보통 23" xfId="7561"/>
    <cellStyle name="보통 24" xfId="7562"/>
    <cellStyle name="보통 25" xfId="7563"/>
    <cellStyle name="보통 26" xfId="7564"/>
    <cellStyle name="보통 27" xfId="7565"/>
    <cellStyle name="보통 27 2" xfId="7566"/>
    <cellStyle name="보통 28" xfId="7567"/>
    <cellStyle name="보통 29" xfId="7568"/>
    <cellStyle name="보통 3" xfId="7569"/>
    <cellStyle name="보통 3 2" xfId="7570"/>
    <cellStyle name="보통 3 3" xfId="7571"/>
    <cellStyle name="보통 3 4" xfId="7572"/>
    <cellStyle name="보통 30" xfId="7573"/>
    <cellStyle name="보통 31" xfId="7574"/>
    <cellStyle name="보통 32" xfId="7575"/>
    <cellStyle name="보통 33" xfId="7576"/>
    <cellStyle name="보통 34" xfId="7577"/>
    <cellStyle name="보통 35" xfId="7578"/>
    <cellStyle name="보통 36" xfId="7579"/>
    <cellStyle name="보통 37" xfId="7580"/>
    <cellStyle name="보통 37 2" xfId="7581"/>
    <cellStyle name="보통 38" xfId="7582"/>
    <cellStyle name="보통 39" xfId="7583"/>
    <cellStyle name="보통 4" xfId="7584"/>
    <cellStyle name="보통 4 2" xfId="7585"/>
    <cellStyle name="보통 4 3" xfId="7586"/>
    <cellStyle name="보통 4 4" xfId="7587"/>
    <cellStyle name="보통 40" xfId="7588"/>
    <cellStyle name="보통 41" xfId="7589"/>
    <cellStyle name="보통 42" xfId="7590"/>
    <cellStyle name="보통 43" xfId="7591"/>
    <cellStyle name="보통 44" xfId="7592"/>
    <cellStyle name="보통 45" xfId="7593"/>
    <cellStyle name="보통 45 2" xfId="7594"/>
    <cellStyle name="보통 45 3" xfId="7595"/>
    <cellStyle name="보통 46" xfId="7596"/>
    <cellStyle name="보통 47" xfId="7597"/>
    <cellStyle name="보통 48" xfId="7598"/>
    <cellStyle name="보통 49" xfId="7599"/>
    <cellStyle name="보통 5" xfId="7600"/>
    <cellStyle name="보통 5 2" xfId="7601"/>
    <cellStyle name="보통 5 3" xfId="7602"/>
    <cellStyle name="보통 5 4" xfId="7603"/>
    <cellStyle name="보통 50" xfId="7604"/>
    <cellStyle name="보통 51" xfId="7605"/>
    <cellStyle name="보통 52" xfId="7606"/>
    <cellStyle name="보통 53" xfId="7607"/>
    <cellStyle name="보통 54" xfId="7608"/>
    <cellStyle name="보통 55" xfId="7609"/>
    <cellStyle name="보통 6" xfId="7610"/>
    <cellStyle name="보통 6 2" xfId="7611"/>
    <cellStyle name="보통 6 3" xfId="7612"/>
    <cellStyle name="보통 6 4" xfId="7613"/>
    <cellStyle name="보통 7" xfId="7614"/>
    <cellStyle name="보통 7 2" xfId="7615"/>
    <cellStyle name="보통 7 3" xfId="7616"/>
    <cellStyle name="보통 7 4" xfId="7617"/>
    <cellStyle name="보통 8" xfId="7618"/>
    <cellStyle name="보통 9" xfId="7619"/>
    <cellStyle name="普通_格式 " xfId="7620"/>
    <cellStyle name="뷭?" xfId="7621"/>
    <cellStyle name="뷭? 2" xfId="7622"/>
    <cellStyle name="뷭? 2 2" xfId="7623"/>
    <cellStyle name="삼일-금지" xfId="7624"/>
    <cellStyle name="삼일-금지 2" xfId="7625"/>
    <cellStyle name="삼일-입력" xfId="7626"/>
    <cellStyle name="삼일-입력 2" xfId="7627"/>
    <cellStyle name="常?_investee status_alibaba" xfId="7628"/>
    <cellStyle name="常规_format" xfId="7629"/>
    <cellStyle name="새귑[0]_롤痰삠悧 " xfId="7630"/>
    <cellStyle name="새귑_롤痰삠悧 " xfId="7631"/>
    <cellStyle name="鱔 [0]_渠掘 " xfId="7632"/>
    <cellStyle name="鱔_渠掘 " xfId="7633"/>
    <cellStyle name="선택영역의 가운데로" xfId="7634"/>
    <cellStyle name="선택영역의 가운데로 2" xfId="7635"/>
    <cellStyle name="선택중앙" xfId="7636"/>
    <cellStyle name="설계서-내용" xfId="7637"/>
    <cellStyle name="설계서-내용-소수점" xfId="7638"/>
    <cellStyle name="설계서-내용-우" xfId="7639"/>
    <cellStyle name="설계서-내용-좌" xfId="7640"/>
    <cellStyle name="설계서-소제목" xfId="7641"/>
    <cellStyle name="설계서-타이틀" xfId="7642"/>
    <cellStyle name="설계서-항목" xfId="7643"/>
    <cellStyle name="설명 텍스트 10" xfId="7644"/>
    <cellStyle name="설명 텍스트 11" xfId="7645"/>
    <cellStyle name="설명 텍스트 12" xfId="7646"/>
    <cellStyle name="설명 텍스트 13" xfId="7647"/>
    <cellStyle name="설명 텍스트 14" xfId="7648"/>
    <cellStyle name="설명 텍스트 14 2" xfId="7649"/>
    <cellStyle name="설명 텍스트 14 3" xfId="7650"/>
    <cellStyle name="설명 텍스트 15" xfId="7651"/>
    <cellStyle name="설명 텍스트 15 2" xfId="7652"/>
    <cellStyle name="설명 텍스트 15 3" xfId="7653"/>
    <cellStyle name="설명 텍스트 16" xfId="7654"/>
    <cellStyle name="설명 텍스트 16 2" xfId="7655"/>
    <cellStyle name="설명 텍스트 16 3" xfId="7656"/>
    <cellStyle name="설명 텍스트 17" xfId="7657"/>
    <cellStyle name="설명 텍스트 17 2" xfId="7658"/>
    <cellStyle name="설명 텍스트 17 3" xfId="7659"/>
    <cellStyle name="설명 텍스트 18" xfId="7660"/>
    <cellStyle name="설명 텍스트 18 2" xfId="7661"/>
    <cellStyle name="설명 텍스트 18 3" xfId="7662"/>
    <cellStyle name="설명 텍스트 19" xfId="7663"/>
    <cellStyle name="설명 텍스트 19 2" xfId="7664"/>
    <cellStyle name="설명 텍스트 19 3" xfId="7665"/>
    <cellStyle name="설명 텍스트 2" xfId="7666"/>
    <cellStyle name="설명 텍스트 2 10" xfId="7667"/>
    <cellStyle name="설명 텍스트 2 11" xfId="7668"/>
    <cellStyle name="설명 텍스트 2 12" xfId="7669"/>
    <cellStyle name="설명 텍스트 2 13" xfId="7670"/>
    <cellStyle name="설명 텍스트 2 14" xfId="7671"/>
    <cellStyle name="설명 텍스트 2 15" xfId="7672"/>
    <cellStyle name="설명 텍스트 2 16" xfId="7673"/>
    <cellStyle name="설명 텍스트 2 17" xfId="7674"/>
    <cellStyle name="설명 텍스트 2 18" xfId="7675"/>
    <cellStyle name="설명 텍스트 2 19" xfId="7676"/>
    <cellStyle name="설명 텍스트 2 2" xfId="7677"/>
    <cellStyle name="설명 텍스트 2 20" xfId="7678"/>
    <cellStyle name="설명 텍스트 2 21" xfId="7679"/>
    <cellStyle name="설명 텍스트 2 22" xfId="7680"/>
    <cellStyle name="설명 텍스트 2 23" xfId="7681"/>
    <cellStyle name="설명 텍스트 2 24" xfId="7682"/>
    <cellStyle name="설명 텍스트 2 25" xfId="7683"/>
    <cellStyle name="설명 텍스트 2 26" xfId="7684"/>
    <cellStyle name="설명 텍스트 2 27" xfId="7685"/>
    <cellStyle name="설명 텍스트 2 28" xfId="7686"/>
    <cellStyle name="설명 텍스트 2 29" xfId="7687"/>
    <cellStyle name="설명 텍스트 2 3" xfId="7688"/>
    <cellStyle name="설명 텍스트 2 30" xfId="7689"/>
    <cellStyle name="설명 텍스트 2 31" xfId="7690"/>
    <cellStyle name="설명 텍스트 2 32" xfId="7691"/>
    <cellStyle name="설명 텍스트 2 33" xfId="7692"/>
    <cellStyle name="설명 텍스트 2 34" xfId="7693"/>
    <cellStyle name="설명 텍스트 2 35" xfId="7694"/>
    <cellStyle name="설명 텍스트 2 36" xfId="7695"/>
    <cellStyle name="설명 텍스트 2 37" xfId="7696"/>
    <cellStyle name="설명 텍스트 2 38" xfId="7697"/>
    <cellStyle name="설명 텍스트 2 39" xfId="7698"/>
    <cellStyle name="설명 텍스트 2 4" xfId="7699"/>
    <cellStyle name="설명 텍스트 2 5" xfId="7700"/>
    <cellStyle name="설명 텍스트 2 6" xfId="7701"/>
    <cellStyle name="설명 텍스트 2 7" xfId="7702"/>
    <cellStyle name="설명 텍스트 2 8" xfId="7703"/>
    <cellStyle name="설명 텍스트 2 9" xfId="7704"/>
    <cellStyle name="설명 텍스트 20" xfId="7705"/>
    <cellStyle name="설명 텍스트 21" xfId="7706"/>
    <cellStyle name="설명 텍스트 22" xfId="7707"/>
    <cellStyle name="설명 텍스트 23" xfId="7708"/>
    <cellStyle name="설명 텍스트 24" xfId="7709"/>
    <cellStyle name="설명 텍스트 25" xfId="7710"/>
    <cellStyle name="설명 텍스트 26" xfId="7711"/>
    <cellStyle name="설명 텍스트 27" xfId="7712"/>
    <cellStyle name="설명 텍스트 27 2" xfId="7713"/>
    <cellStyle name="설명 텍스트 28" xfId="7714"/>
    <cellStyle name="설명 텍스트 29" xfId="7715"/>
    <cellStyle name="설명 텍스트 3" xfId="7716"/>
    <cellStyle name="설명 텍스트 3 2" xfId="7717"/>
    <cellStyle name="설명 텍스트 3 3" xfId="7718"/>
    <cellStyle name="설명 텍스트 3 4" xfId="7719"/>
    <cellStyle name="설명 텍스트 30" xfId="7720"/>
    <cellStyle name="설명 텍스트 31" xfId="7721"/>
    <cellStyle name="설명 텍스트 32" xfId="7722"/>
    <cellStyle name="설명 텍스트 33" xfId="7723"/>
    <cellStyle name="설명 텍스트 34" xfId="7724"/>
    <cellStyle name="설명 텍스트 35" xfId="7725"/>
    <cellStyle name="설명 텍스트 36" xfId="7726"/>
    <cellStyle name="설명 텍스트 37" xfId="7727"/>
    <cellStyle name="설명 텍스트 37 2" xfId="7728"/>
    <cellStyle name="설명 텍스트 38" xfId="7729"/>
    <cellStyle name="설명 텍스트 39" xfId="7730"/>
    <cellStyle name="설명 텍스트 4" xfId="7731"/>
    <cellStyle name="설명 텍스트 4 2" xfId="7732"/>
    <cellStyle name="설명 텍스트 4 3" xfId="7733"/>
    <cellStyle name="설명 텍스트 4 4" xfId="7734"/>
    <cellStyle name="설명 텍스트 40" xfId="7735"/>
    <cellStyle name="설명 텍스트 41" xfId="7736"/>
    <cellStyle name="설명 텍스트 42" xfId="7737"/>
    <cellStyle name="설명 텍스트 43" xfId="7738"/>
    <cellStyle name="설명 텍스트 44" xfId="7739"/>
    <cellStyle name="설명 텍스트 45" xfId="7740"/>
    <cellStyle name="설명 텍스트 45 2" xfId="7741"/>
    <cellStyle name="설명 텍스트 45 3" xfId="7742"/>
    <cellStyle name="설명 텍스트 46" xfId="7743"/>
    <cellStyle name="설명 텍스트 47" xfId="7744"/>
    <cellStyle name="설명 텍스트 48" xfId="7745"/>
    <cellStyle name="설명 텍스트 49" xfId="7746"/>
    <cellStyle name="설명 텍스트 5" xfId="7747"/>
    <cellStyle name="설명 텍스트 5 2" xfId="7748"/>
    <cellStyle name="설명 텍스트 5 3" xfId="7749"/>
    <cellStyle name="설명 텍스트 5 4" xfId="7750"/>
    <cellStyle name="설명 텍스트 50" xfId="7751"/>
    <cellStyle name="설명 텍스트 51" xfId="7752"/>
    <cellStyle name="설명 텍스트 52" xfId="7753"/>
    <cellStyle name="설명 텍스트 53" xfId="7754"/>
    <cellStyle name="설명 텍스트 54" xfId="7755"/>
    <cellStyle name="설명 텍스트 55" xfId="7756"/>
    <cellStyle name="설명 텍스트 6" xfId="7757"/>
    <cellStyle name="설명 텍스트 6 2" xfId="7758"/>
    <cellStyle name="설명 텍스트 6 3" xfId="7759"/>
    <cellStyle name="설명 텍스트 6 4" xfId="7760"/>
    <cellStyle name="설명 텍스트 7" xfId="7761"/>
    <cellStyle name="설명 텍스트 7 2" xfId="7762"/>
    <cellStyle name="설명 텍스트 7 3" xfId="7763"/>
    <cellStyle name="설명 텍스트 7 4" xfId="7764"/>
    <cellStyle name="설명 텍스트 8" xfId="7765"/>
    <cellStyle name="설명 텍스트 9" xfId="7766"/>
    <cellStyle name="셀 확인 10" xfId="7767"/>
    <cellStyle name="셀 확인 11" xfId="7768"/>
    <cellStyle name="셀 확인 12" xfId="7769"/>
    <cellStyle name="셀 확인 13" xfId="7770"/>
    <cellStyle name="셀 확인 14" xfId="7771"/>
    <cellStyle name="셀 확인 14 2" xfId="7772"/>
    <cellStyle name="셀 확인 14 3" xfId="7773"/>
    <cellStyle name="셀 확인 15" xfId="7774"/>
    <cellStyle name="셀 확인 15 2" xfId="7775"/>
    <cellStyle name="셀 확인 15 3" xfId="7776"/>
    <cellStyle name="셀 확인 16" xfId="7777"/>
    <cellStyle name="셀 확인 16 2" xfId="7778"/>
    <cellStyle name="셀 확인 16 3" xfId="7779"/>
    <cellStyle name="셀 확인 17" xfId="7780"/>
    <cellStyle name="셀 확인 17 2" xfId="7781"/>
    <cellStyle name="셀 확인 17 3" xfId="7782"/>
    <cellStyle name="셀 확인 18" xfId="7783"/>
    <cellStyle name="셀 확인 18 2" xfId="7784"/>
    <cellStyle name="셀 확인 18 3" xfId="7785"/>
    <cellStyle name="셀 확인 19" xfId="7786"/>
    <cellStyle name="셀 확인 19 2" xfId="7787"/>
    <cellStyle name="셀 확인 19 3" xfId="7788"/>
    <cellStyle name="셀 확인 2" xfId="7789"/>
    <cellStyle name="셀 확인 2 10" xfId="7790"/>
    <cellStyle name="셀 확인 2 11" xfId="7791"/>
    <cellStyle name="셀 확인 2 12" xfId="7792"/>
    <cellStyle name="셀 확인 2 13" xfId="7793"/>
    <cellStyle name="셀 확인 2 14" xfId="7794"/>
    <cellStyle name="셀 확인 2 15" xfId="7795"/>
    <cellStyle name="셀 확인 2 16" xfId="7796"/>
    <cellStyle name="셀 확인 2 17" xfId="7797"/>
    <cellStyle name="셀 확인 2 18" xfId="7798"/>
    <cellStyle name="셀 확인 2 19" xfId="7799"/>
    <cellStyle name="셀 확인 2 2" xfId="7800"/>
    <cellStyle name="셀 확인 2 20" xfId="7801"/>
    <cellStyle name="셀 확인 2 21" xfId="7802"/>
    <cellStyle name="셀 확인 2 22" xfId="7803"/>
    <cellStyle name="셀 확인 2 23" xfId="7804"/>
    <cellStyle name="셀 확인 2 24" xfId="7805"/>
    <cellStyle name="셀 확인 2 25" xfId="7806"/>
    <cellStyle name="셀 확인 2 26" xfId="7807"/>
    <cellStyle name="셀 확인 2 27" xfId="7808"/>
    <cellStyle name="셀 확인 2 28" xfId="7809"/>
    <cellStyle name="셀 확인 2 29" xfId="7810"/>
    <cellStyle name="셀 확인 2 3" xfId="7811"/>
    <cellStyle name="셀 확인 2 30" xfId="7812"/>
    <cellStyle name="셀 확인 2 31" xfId="7813"/>
    <cellStyle name="셀 확인 2 32" xfId="7814"/>
    <cellStyle name="셀 확인 2 33" xfId="7815"/>
    <cellStyle name="셀 확인 2 34" xfId="7816"/>
    <cellStyle name="셀 확인 2 35" xfId="7817"/>
    <cellStyle name="셀 확인 2 36" xfId="7818"/>
    <cellStyle name="셀 확인 2 37" xfId="7819"/>
    <cellStyle name="셀 확인 2 38" xfId="7820"/>
    <cellStyle name="셀 확인 2 39" xfId="7821"/>
    <cellStyle name="셀 확인 2 4" xfId="7822"/>
    <cellStyle name="셀 확인 2 5" xfId="7823"/>
    <cellStyle name="셀 확인 2 6" xfId="7824"/>
    <cellStyle name="셀 확인 2 7" xfId="7825"/>
    <cellStyle name="셀 확인 2 8" xfId="7826"/>
    <cellStyle name="셀 확인 2 9" xfId="7827"/>
    <cellStyle name="셀 확인 20" xfId="7828"/>
    <cellStyle name="셀 확인 21" xfId="7829"/>
    <cellStyle name="셀 확인 22" xfId="7830"/>
    <cellStyle name="셀 확인 23" xfId="7831"/>
    <cellStyle name="셀 확인 24" xfId="7832"/>
    <cellStyle name="셀 확인 25" xfId="7833"/>
    <cellStyle name="셀 확인 26" xfId="7834"/>
    <cellStyle name="셀 확인 27" xfId="7835"/>
    <cellStyle name="셀 확인 27 2" xfId="7836"/>
    <cellStyle name="셀 확인 28" xfId="7837"/>
    <cellStyle name="셀 확인 29" xfId="7838"/>
    <cellStyle name="셀 확인 3" xfId="7839"/>
    <cellStyle name="셀 확인 3 2" xfId="7840"/>
    <cellStyle name="셀 확인 3 3" xfId="7841"/>
    <cellStyle name="셀 확인 3 4" xfId="7842"/>
    <cellStyle name="셀 확인 30" xfId="7843"/>
    <cellStyle name="셀 확인 31" xfId="7844"/>
    <cellStyle name="셀 확인 32" xfId="7845"/>
    <cellStyle name="셀 확인 33" xfId="7846"/>
    <cellStyle name="셀 확인 34" xfId="7847"/>
    <cellStyle name="셀 확인 35" xfId="7848"/>
    <cellStyle name="셀 확인 36" xfId="7849"/>
    <cellStyle name="셀 확인 37" xfId="7850"/>
    <cellStyle name="셀 확인 37 2" xfId="7851"/>
    <cellStyle name="셀 확인 38" xfId="7852"/>
    <cellStyle name="셀 확인 39" xfId="7853"/>
    <cellStyle name="셀 확인 4" xfId="7854"/>
    <cellStyle name="셀 확인 4 2" xfId="7855"/>
    <cellStyle name="셀 확인 4 3" xfId="7856"/>
    <cellStyle name="셀 확인 4 4" xfId="7857"/>
    <cellStyle name="셀 확인 40" xfId="7858"/>
    <cellStyle name="셀 확인 41" xfId="7859"/>
    <cellStyle name="셀 확인 42" xfId="7860"/>
    <cellStyle name="셀 확인 43" xfId="7861"/>
    <cellStyle name="셀 확인 44" xfId="7862"/>
    <cellStyle name="셀 확인 45" xfId="7863"/>
    <cellStyle name="셀 확인 45 2" xfId="7864"/>
    <cellStyle name="셀 확인 45 3" xfId="7865"/>
    <cellStyle name="셀 확인 46" xfId="7866"/>
    <cellStyle name="셀 확인 47" xfId="7867"/>
    <cellStyle name="셀 확인 48" xfId="7868"/>
    <cellStyle name="셀 확인 49" xfId="7869"/>
    <cellStyle name="셀 확인 5" xfId="7870"/>
    <cellStyle name="셀 확인 5 2" xfId="7871"/>
    <cellStyle name="셀 확인 5 3" xfId="7872"/>
    <cellStyle name="셀 확인 5 4" xfId="7873"/>
    <cellStyle name="셀 확인 50" xfId="7874"/>
    <cellStyle name="셀 확인 51" xfId="7875"/>
    <cellStyle name="셀 확인 52" xfId="7876"/>
    <cellStyle name="셀 확인 53" xfId="7877"/>
    <cellStyle name="셀 확인 54" xfId="7878"/>
    <cellStyle name="셀 확인 55" xfId="7879"/>
    <cellStyle name="셀 확인 6" xfId="7880"/>
    <cellStyle name="셀 확인 6 2" xfId="7881"/>
    <cellStyle name="셀 확인 6 3" xfId="7882"/>
    <cellStyle name="셀 확인 6 4" xfId="7883"/>
    <cellStyle name="셀 확인 7" xfId="7884"/>
    <cellStyle name="셀 확인 7 2" xfId="7885"/>
    <cellStyle name="셀 확인 7 3" xfId="7886"/>
    <cellStyle name="셀 확인 7 4" xfId="7887"/>
    <cellStyle name="셀 확인 8" xfId="7888"/>
    <cellStyle name="셀 확인 9" xfId="7889"/>
    <cellStyle name="셈迷?XLS!check_filesche|_x0005_" xfId="7890"/>
    <cellStyle name="솟" xfId="7891"/>
    <cellStyle name="숫자" xfId="7892"/>
    <cellStyle name="숫자(R)" xfId="7893"/>
    <cellStyle name="숫자_전환사채" xfId="7894"/>
    <cellStyle name="쉼표 [-]" xfId="7895"/>
    <cellStyle name="쉼표 [0]" xfId="1" builtinId="6"/>
    <cellStyle name="쉼표 [0] 10" xfId="7896"/>
    <cellStyle name="쉼표 [0] 10 2" xfId="7897"/>
    <cellStyle name="쉼표 [0] 10 3" xfId="7898"/>
    <cellStyle name="쉼표 [0] 10 4" xfId="7899"/>
    <cellStyle name="쉼표 [0] 11" xfId="7900"/>
    <cellStyle name="쉼표 [0] 11 2" xfId="7901"/>
    <cellStyle name="쉼표 [0] 11 3" xfId="7902"/>
    <cellStyle name="쉼표 [0] 11 4" xfId="7903"/>
    <cellStyle name="쉼표 [0] 12" xfId="7904"/>
    <cellStyle name="쉼표 [0] 12 2" xfId="7905"/>
    <cellStyle name="쉼표 [0] 12 2 2" xfId="7906"/>
    <cellStyle name="쉼표 [0] 12 2 3" xfId="7907"/>
    <cellStyle name="쉼표 [0] 12 2 4" xfId="7908"/>
    <cellStyle name="쉼표 [0] 12 3" xfId="7909"/>
    <cellStyle name="쉼표 [0] 12 3 2" xfId="7910"/>
    <cellStyle name="쉼표 [0] 12 3 3" xfId="7911"/>
    <cellStyle name="쉼표 [0] 12 3 4" xfId="7912"/>
    <cellStyle name="쉼표 [0] 12 4" xfId="7913"/>
    <cellStyle name="쉼표 [0] 12 5" xfId="7914"/>
    <cellStyle name="쉼표 [0] 12 6" xfId="7915"/>
    <cellStyle name="쉼표 [0] 12 7" xfId="7916"/>
    <cellStyle name="쉼표 [0] 13" xfId="7917"/>
    <cellStyle name="쉼표 [0] 13 2" xfId="7918"/>
    <cellStyle name="쉼표 [0] 13 2 2" xfId="7919"/>
    <cellStyle name="쉼표 [0] 13 2 3" xfId="7920"/>
    <cellStyle name="쉼표 [0] 13 2 4" xfId="7921"/>
    <cellStyle name="쉼표 [0] 13 3" xfId="7922"/>
    <cellStyle name="쉼표 [0] 13 3 2" xfId="7923"/>
    <cellStyle name="쉼표 [0] 13 3 3" xfId="7924"/>
    <cellStyle name="쉼표 [0] 13 3 4" xfId="7925"/>
    <cellStyle name="쉼표 [0] 13 4" xfId="7926"/>
    <cellStyle name="쉼표 [0] 13 4 2" xfId="7927"/>
    <cellStyle name="쉼표 [0] 13 4 3" xfId="7928"/>
    <cellStyle name="쉼표 [0] 13 4 4" xfId="7929"/>
    <cellStyle name="쉼표 [0] 13 5" xfId="7930"/>
    <cellStyle name="쉼표 [0] 13 6" xfId="7931"/>
    <cellStyle name="쉼표 [0] 13 7" xfId="7932"/>
    <cellStyle name="쉼표 [0] 13 8" xfId="7933"/>
    <cellStyle name="쉼표 [0] 14" xfId="7934"/>
    <cellStyle name="쉼표 [0] 14 2" xfId="7935"/>
    <cellStyle name="쉼표 [0] 14 2 2" xfId="7936"/>
    <cellStyle name="쉼표 [0] 14 2 3" xfId="7937"/>
    <cellStyle name="쉼표 [0] 14 2 4" xfId="7938"/>
    <cellStyle name="쉼표 [0] 14 3" xfId="7939"/>
    <cellStyle name="쉼표 [0] 14 3 2" xfId="7940"/>
    <cellStyle name="쉼표 [0] 14 3 3" xfId="7941"/>
    <cellStyle name="쉼표 [0] 14 3 4" xfId="7942"/>
    <cellStyle name="쉼표 [0] 14 4" xfId="7943"/>
    <cellStyle name="쉼표 [0] 14 5" xfId="7944"/>
    <cellStyle name="쉼표 [0] 14 6" xfId="7945"/>
    <cellStyle name="쉼표 [0] 14 7" xfId="10050"/>
    <cellStyle name="쉼표 [0] 15" xfId="7946"/>
    <cellStyle name="쉼표 [0] 16" xfId="7947"/>
    <cellStyle name="쉼표 [0] 16 2" xfId="7948"/>
    <cellStyle name="쉼표 [0] 16 2 2" xfId="7949"/>
    <cellStyle name="쉼표 [0] 16 2 3" xfId="7950"/>
    <cellStyle name="쉼표 [0] 16 2 4" xfId="7951"/>
    <cellStyle name="쉼표 [0] 16 3" xfId="7952"/>
    <cellStyle name="쉼표 [0] 16 3 2" xfId="7953"/>
    <cellStyle name="쉼표 [0] 16 3 3" xfId="7954"/>
    <cellStyle name="쉼표 [0] 16 3 4" xfId="7955"/>
    <cellStyle name="쉼표 [0] 16 4" xfId="7956"/>
    <cellStyle name="쉼표 [0] 16 5" xfId="7957"/>
    <cellStyle name="쉼표 [0] 16 6" xfId="7958"/>
    <cellStyle name="쉼표 [0] 17" xfId="7959"/>
    <cellStyle name="쉼표 [0] 17 2" xfId="7960"/>
    <cellStyle name="쉼표 [0] 17 2 2" xfId="7961"/>
    <cellStyle name="쉼표 [0] 17 2 3" xfId="7962"/>
    <cellStyle name="쉼표 [0] 17 2 4" xfId="7963"/>
    <cellStyle name="쉼표 [0] 17 3" xfId="7964"/>
    <cellStyle name="쉼표 [0] 17 4" xfId="7965"/>
    <cellStyle name="쉼표 [0] 17 4 2" xfId="10056"/>
    <cellStyle name="쉼표 [0] 17 5" xfId="7966"/>
    <cellStyle name="쉼표 [0] 18" xfId="7967"/>
    <cellStyle name="쉼표 [0] 19" xfId="7968"/>
    <cellStyle name="쉼표 [0] 2" xfId="9"/>
    <cellStyle name="쉼표 [0] 2 10" xfId="7970"/>
    <cellStyle name="쉼표 [0] 2 11" xfId="7971"/>
    <cellStyle name="쉼표 [0] 2 12" xfId="7972"/>
    <cellStyle name="쉼표 [0] 2 13" xfId="7973"/>
    <cellStyle name="쉼표 [0] 2 14" xfId="7974"/>
    <cellStyle name="쉼표 [0] 2 15" xfId="7975"/>
    <cellStyle name="쉼표 [0] 2 16" xfId="7976"/>
    <cellStyle name="쉼표 [0] 2 17" xfId="7977"/>
    <cellStyle name="쉼표 [0] 2 18" xfId="7969"/>
    <cellStyle name="쉼표 [0] 2 19" xfId="10037"/>
    <cellStyle name="쉼표 [0] 2 2" xfId="57"/>
    <cellStyle name="쉼표 [0] 2 2 10" xfId="7979"/>
    <cellStyle name="쉼표 [0] 2 2 11" xfId="7980"/>
    <cellStyle name="쉼표 [0] 2 2 12" xfId="7978"/>
    <cellStyle name="쉼표 [0] 2 2 2" xfId="112"/>
    <cellStyle name="쉼표 [0] 2 2 2 2" xfId="7981"/>
    <cellStyle name="쉼표 [0] 2 2 3" xfId="163"/>
    <cellStyle name="쉼표 [0] 2 2 3 2" xfId="7983"/>
    <cellStyle name="쉼표 [0] 2 2 3 3" xfId="7984"/>
    <cellStyle name="쉼표 [0] 2 2 3 4" xfId="7982"/>
    <cellStyle name="쉼표 [0] 2 2 4" xfId="7985"/>
    <cellStyle name="쉼표 [0] 2 2 5" xfId="7986"/>
    <cellStyle name="쉼표 [0] 2 2 6" xfId="7987"/>
    <cellStyle name="쉼표 [0] 2 2 7" xfId="7988"/>
    <cellStyle name="쉼표 [0] 2 2 8" xfId="7989"/>
    <cellStyle name="쉼표 [0] 2 2 9" xfId="7990"/>
    <cellStyle name="쉼표 [0] 2 3" xfId="70"/>
    <cellStyle name="쉼표 [0] 2 3 2" xfId="7992"/>
    <cellStyle name="쉼표 [0] 2 3 3" xfId="7993"/>
    <cellStyle name="쉼표 [0] 2 3 4" xfId="7994"/>
    <cellStyle name="쉼표 [0] 2 3 5" xfId="7991"/>
    <cellStyle name="쉼표 [0] 2 4" xfId="121"/>
    <cellStyle name="쉼표 [0] 2 4 2" xfId="7996"/>
    <cellStyle name="쉼표 [0] 2 4 3" xfId="7997"/>
    <cellStyle name="쉼표 [0] 2 4 4" xfId="7998"/>
    <cellStyle name="쉼표 [0] 2 4 5" xfId="7995"/>
    <cellStyle name="쉼표 [0] 2 4 6" xfId="10047"/>
    <cellStyle name="쉼표 [0] 2 5" xfId="7999"/>
    <cellStyle name="쉼표 [0] 2 5 2" xfId="8000"/>
    <cellStyle name="쉼표 [0] 2 5 3" xfId="8001"/>
    <cellStyle name="쉼표 [0] 2 5 4" xfId="8002"/>
    <cellStyle name="쉼표 [0] 2 6" xfId="8003"/>
    <cellStyle name="쉼표 [0] 2 6 2" xfId="8004"/>
    <cellStyle name="쉼표 [0] 2 6 3" xfId="8005"/>
    <cellStyle name="쉼표 [0] 2 6 4" xfId="8006"/>
    <cellStyle name="쉼표 [0] 2 7" xfId="8007"/>
    <cellStyle name="쉼표 [0] 2 7 2" xfId="8008"/>
    <cellStyle name="쉼표 [0] 2 7 3" xfId="8009"/>
    <cellStyle name="쉼표 [0] 2 7 4" xfId="8010"/>
    <cellStyle name="쉼표 [0] 2 7 5" xfId="8011"/>
    <cellStyle name="쉼표 [0] 2 8" xfId="8012"/>
    <cellStyle name="쉼표 [0] 2 8 2" xfId="8013"/>
    <cellStyle name="쉼표 [0] 2 8 3" xfId="8014"/>
    <cellStyle name="쉼표 [0] 2 8 4" xfId="8015"/>
    <cellStyle name="쉼표 [0] 2 9" xfId="8016"/>
    <cellStyle name="쉼표 [0] 2 9 2" xfId="8017"/>
    <cellStyle name="쉼표 [0] 2 9 3" xfId="8018"/>
    <cellStyle name="쉼표 [0] 2 9 4" xfId="8019"/>
    <cellStyle name="쉼표 [0] 20" xfId="180"/>
    <cellStyle name="쉼표 [0] 21" xfId="8020"/>
    <cellStyle name="쉼표 [0] 22" xfId="8021"/>
    <cellStyle name="쉼표 [0] 22 2" xfId="8022"/>
    <cellStyle name="쉼표 [0] 22 2 2" xfId="8023"/>
    <cellStyle name="쉼표 [0] 22 2 3" xfId="8024"/>
    <cellStyle name="쉼표 [0] 22 3" xfId="8025"/>
    <cellStyle name="쉼표 [0] 22 4" xfId="8026"/>
    <cellStyle name="쉼표 [0] 23" xfId="175"/>
    <cellStyle name="쉼표 [0] 24" xfId="10036"/>
    <cellStyle name="쉼표 [0] 3" xfId="16"/>
    <cellStyle name="쉼표 [0] 3 2" xfId="59"/>
    <cellStyle name="쉼표 [0] 3 2 2" xfId="113"/>
    <cellStyle name="쉼표 [0] 3 2 2 2" xfId="8029"/>
    <cellStyle name="쉼표 [0] 3 2 3" xfId="164"/>
    <cellStyle name="쉼표 [0] 3 2 3 2" xfId="8030"/>
    <cellStyle name="쉼표 [0] 3 2 4" xfId="8031"/>
    <cellStyle name="쉼표 [0] 3 2 5" xfId="8028"/>
    <cellStyle name="쉼표 [0] 3 3" xfId="73"/>
    <cellStyle name="쉼표 [0] 3 3 2" xfId="8033"/>
    <cellStyle name="쉼표 [0] 3 3 3" xfId="8032"/>
    <cellStyle name="쉼표 [0] 3 4" xfId="124"/>
    <cellStyle name="쉼표 [0] 3 4 2" xfId="8034"/>
    <cellStyle name="쉼표 [0] 3 5" xfId="8035"/>
    <cellStyle name="쉼표 [0] 3 6" xfId="8027"/>
    <cellStyle name="쉼표 [0] 3 7" xfId="10039"/>
    <cellStyle name="쉼표 [0] 31" xfId="8036"/>
    <cellStyle name="쉼표 [0] 37" xfId="176"/>
    <cellStyle name="쉼표 [0] 4" xfId="55"/>
    <cellStyle name="쉼표 [0] 4 2" xfId="61"/>
    <cellStyle name="쉼표 [0] 4 2 2" xfId="114"/>
    <cellStyle name="쉼표 [0] 4 2 2 2" xfId="8039"/>
    <cellStyle name="쉼표 [0] 4 2 3" xfId="165"/>
    <cellStyle name="쉼표 [0] 4 2 3 2" xfId="8040"/>
    <cellStyle name="쉼표 [0] 4 2 4" xfId="8041"/>
    <cellStyle name="쉼표 [0] 4 2 5" xfId="8038"/>
    <cellStyle name="쉼표 [0] 4 3" xfId="110"/>
    <cellStyle name="쉼표 [0] 4 3 2" xfId="8042"/>
    <cellStyle name="쉼표 [0] 4 4" xfId="161"/>
    <cellStyle name="쉼표 [0] 4 4 2" xfId="8043"/>
    <cellStyle name="쉼표 [0] 4 5" xfId="8037"/>
    <cellStyle name="쉼표 [0] 4 6" xfId="10042"/>
    <cellStyle name="쉼표 [0] 4_leadsheet_07" xfId="8044"/>
    <cellStyle name="쉼표 [0] 5" xfId="56"/>
    <cellStyle name="쉼표 [0] 5 18" xfId="10058"/>
    <cellStyle name="쉼표 [0] 5 2" xfId="111"/>
    <cellStyle name="쉼표 [0] 5 2 2" xfId="8047"/>
    <cellStyle name="쉼표 [0] 5 2 3" xfId="8048"/>
    <cellStyle name="쉼표 [0] 5 2 4" xfId="8049"/>
    <cellStyle name="쉼표 [0] 5 2 5" xfId="8050"/>
    <cellStyle name="쉼표 [0] 5 2 6" xfId="8046"/>
    <cellStyle name="쉼표 [0] 5 3" xfId="162"/>
    <cellStyle name="쉼표 [0] 5 3 2" xfId="8051"/>
    <cellStyle name="쉼표 [0] 5 4" xfId="8045"/>
    <cellStyle name="쉼표 [0] 5 5" xfId="10053"/>
    <cellStyle name="쉼표 [0] 6" xfId="7"/>
    <cellStyle name="쉼표 [0] 6 2" xfId="68"/>
    <cellStyle name="쉼표 [0] 6 2 2" xfId="8054"/>
    <cellStyle name="쉼표 [0] 6 2 3" xfId="8053"/>
    <cellStyle name="쉼표 [0] 6 3" xfId="8055"/>
    <cellStyle name="쉼표 [0] 6 4" xfId="8056"/>
    <cellStyle name="쉼표 [0] 6 5" xfId="8052"/>
    <cellStyle name="쉼표 [0] 6 6" xfId="10064"/>
    <cellStyle name="쉼표 [0] 7" xfId="64"/>
    <cellStyle name="쉼표 [0] 7 2" xfId="8058"/>
    <cellStyle name="쉼표 [0] 7 2 2" xfId="8059"/>
    <cellStyle name="쉼표 [0] 7 3" xfId="8060"/>
    <cellStyle name="쉼표 [0] 7 4" xfId="8061"/>
    <cellStyle name="쉼표 [0] 7 5" xfId="8057"/>
    <cellStyle name="쉼표 [0] 7 6" xfId="10062"/>
    <cellStyle name="쉼표 [0] 8" xfId="119"/>
    <cellStyle name="쉼표 [0] 8 2" xfId="8063"/>
    <cellStyle name="쉼표 [0] 8 3" xfId="8064"/>
    <cellStyle name="쉼표 [0] 8 4" xfId="8065"/>
    <cellStyle name="쉼표 [0] 8 5" xfId="8066"/>
    <cellStyle name="쉼표 [0] 8 6" xfId="8062"/>
    <cellStyle name="쉼표 [0] 9" xfId="8067"/>
    <cellStyle name="쉼표 [0] 9 2" xfId="8068"/>
    <cellStyle name="쉼표 [0] 9 3" xfId="8069"/>
    <cellStyle name="쉼표 [0] 9 4" xfId="8070"/>
    <cellStyle name="쉼표 [0] 9 5" xfId="8071"/>
    <cellStyle name="쉼표 [0] 9 6" xfId="8072"/>
    <cellStyle name="쉼표 [0] 9 7" xfId="8073"/>
    <cellStyle name="쉼표 2" xfId="8074"/>
    <cellStyle name="쉼표 2 10" xfId="8075"/>
    <cellStyle name="쉼표 2 2" xfId="8076"/>
    <cellStyle name="쉼표 2 3" xfId="8077"/>
    <cellStyle name="쉼표 2 4" xfId="8078"/>
    <cellStyle name="쉼표 2 5" xfId="8079"/>
    <cellStyle name="쉼표 2 6" xfId="10040"/>
    <cellStyle name="쉼표 23" xfId="10060"/>
    <cellStyle name="쉼표 3" xfId="8080"/>
    <cellStyle name="쉼표 3 2" xfId="8081"/>
    <cellStyle name="스타일 1" xfId="8082"/>
    <cellStyle name="스타일 1 2" xfId="8083"/>
    <cellStyle name="스타일 1 3" xfId="8084"/>
    <cellStyle name="스타일 10" xfId="8085"/>
    <cellStyle name="스타일 10 2" xfId="8086"/>
    <cellStyle name="스타일 100" xfId="8087"/>
    <cellStyle name="스타일 101" xfId="8088"/>
    <cellStyle name="스타일 102" xfId="8089"/>
    <cellStyle name="스타일 103" xfId="8090"/>
    <cellStyle name="스타일 104" xfId="8091"/>
    <cellStyle name="스타일 105" xfId="8092"/>
    <cellStyle name="스타일 106" xfId="8093"/>
    <cellStyle name="스타일 107" xfId="8094"/>
    <cellStyle name="스타일 108" xfId="8095"/>
    <cellStyle name="스타일 109" xfId="8096"/>
    <cellStyle name="스타일 11" xfId="8097"/>
    <cellStyle name="스타일 11 2" xfId="8098"/>
    <cellStyle name="스타일 110" xfId="8099"/>
    <cellStyle name="스타일 111" xfId="8100"/>
    <cellStyle name="스타일 112" xfId="8101"/>
    <cellStyle name="스타일 113" xfId="8102"/>
    <cellStyle name="스타일 114" xfId="8103"/>
    <cellStyle name="스타일 115" xfId="8104"/>
    <cellStyle name="스타일 12" xfId="8105"/>
    <cellStyle name="스타일 12 2" xfId="8106"/>
    <cellStyle name="스타일 13" xfId="8107"/>
    <cellStyle name="스타일 13 2" xfId="8108"/>
    <cellStyle name="스타일 14" xfId="8109"/>
    <cellStyle name="스타일 14 2" xfId="8110"/>
    <cellStyle name="스타일 15" xfId="8111"/>
    <cellStyle name="스타일 15 2" xfId="8112"/>
    <cellStyle name="스타일 16" xfId="8113"/>
    <cellStyle name="스타일 16 2" xfId="8114"/>
    <cellStyle name="스타일 17" xfId="8115"/>
    <cellStyle name="스타일 17 2" xfId="8116"/>
    <cellStyle name="스타일 18" xfId="8117"/>
    <cellStyle name="스타일 18 2" xfId="8118"/>
    <cellStyle name="스타일 19" xfId="8119"/>
    <cellStyle name="스타일 19 2" xfId="8120"/>
    <cellStyle name="스타일 2" xfId="8121"/>
    <cellStyle name="스타일 2 2" xfId="8122"/>
    <cellStyle name="스타일 2 3" xfId="8123"/>
    <cellStyle name="스타일 20" xfId="8124"/>
    <cellStyle name="스타일 20 2" xfId="8125"/>
    <cellStyle name="스타일 21" xfId="8126"/>
    <cellStyle name="스타일 21 2" xfId="8127"/>
    <cellStyle name="스타일 22" xfId="8128"/>
    <cellStyle name="스타일 23" xfId="8129"/>
    <cellStyle name="스타일 24" xfId="8130"/>
    <cellStyle name="스타일 25" xfId="8131"/>
    <cellStyle name="스타일 26" xfId="8132"/>
    <cellStyle name="스타일 27" xfId="8133"/>
    <cellStyle name="스타일 28" xfId="8134"/>
    <cellStyle name="스타일 29" xfId="8135"/>
    <cellStyle name="스타일 3" xfId="8136"/>
    <cellStyle name="스타일 3 2" xfId="8137"/>
    <cellStyle name="스타일 3 3" xfId="8138"/>
    <cellStyle name="스타일 30" xfId="8139"/>
    <cellStyle name="스타일 31" xfId="8140"/>
    <cellStyle name="스타일 32" xfId="8141"/>
    <cellStyle name="스타일 33" xfId="8142"/>
    <cellStyle name="스타일 34" xfId="8143"/>
    <cellStyle name="스타일 35" xfId="8144"/>
    <cellStyle name="스타일 36" xfId="8145"/>
    <cellStyle name="스타일 37" xfId="8146"/>
    <cellStyle name="스타일 38" xfId="8147"/>
    <cellStyle name="스타일 39" xfId="8148"/>
    <cellStyle name="스타일 4" xfId="8149"/>
    <cellStyle name="스타일 4 2" xfId="8150"/>
    <cellStyle name="스타일 4 3" xfId="8151"/>
    <cellStyle name="스타일 40" xfId="8152"/>
    <cellStyle name="스타일 41" xfId="8153"/>
    <cellStyle name="스타일 42" xfId="8154"/>
    <cellStyle name="스타일 43" xfId="8155"/>
    <cellStyle name="스타일 44" xfId="8156"/>
    <cellStyle name="스타일 45" xfId="8157"/>
    <cellStyle name="스타일 46" xfId="8158"/>
    <cellStyle name="스타일 47" xfId="8159"/>
    <cellStyle name="스타일 48" xfId="8160"/>
    <cellStyle name="스타일 49" xfId="8161"/>
    <cellStyle name="스타일 5" xfId="8162"/>
    <cellStyle name="스타일 5 2" xfId="8163"/>
    <cellStyle name="스타일 50" xfId="8164"/>
    <cellStyle name="스타일 51" xfId="8165"/>
    <cellStyle name="스타일 52" xfId="8166"/>
    <cellStyle name="스타일 53" xfId="8167"/>
    <cellStyle name="스타일 54" xfId="8168"/>
    <cellStyle name="스타일 55" xfId="8169"/>
    <cellStyle name="스타일 56" xfId="8170"/>
    <cellStyle name="스타일 57" xfId="8171"/>
    <cellStyle name="스타일 58" xfId="8172"/>
    <cellStyle name="스타일 59" xfId="8173"/>
    <cellStyle name="스타일 6" xfId="8174"/>
    <cellStyle name="스타일 60" xfId="8175"/>
    <cellStyle name="스타일 61" xfId="8176"/>
    <cellStyle name="스타일 62" xfId="8177"/>
    <cellStyle name="스타일 63" xfId="8178"/>
    <cellStyle name="스타일 64" xfId="8179"/>
    <cellStyle name="스타일 65" xfId="8180"/>
    <cellStyle name="스타일 66" xfId="8181"/>
    <cellStyle name="스타일 67" xfId="8182"/>
    <cellStyle name="스타일 68" xfId="8183"/>
    <cellStyle name="스타일 69" xfId="8184"/>
    <cellStyle name="스타일 7" xfId="8185"/>
    <cellStyle name="스타일 70" xfId="8186"/>
    <cellStyle name="스타일 71" xfId="8187"/>
    <cellStyle name="스타일 72" xfId="8188"/>
    <cellStyle name="스타일 73" xfId="8189"/>
    <cellStyle name="스타일 74" xfId="8190"/>
    <cellStyle name="스타일 75" xfId="8191"/>
    <cellStyle name="스타일 76" xfId="8192"/>
    <cellStyle name="스타일 77" xfId="8193"/>
    <cellStyle name="스타일 78" xfId="8194"/>
    <cellStyle name="스타일 79" xfId="8195"/>
    <cellStyle name="스타일 8" xfId="8196"/>
    <cellStyle name="스타일 8 2" xfId="8197"/>
    <cellStyle name="스타일 80" xfId="8198"/>
    <cellStyle name="스타일 81" xfId="8199"/>
    <cellStyle name="스타일 82" xfId="8200"/>
    <cellStyle name="스타일 83" xfId="8201"/>
    <cellStyle name="스타일 84" xfId="8202"/>
    <cellStyle name="스타일 85" xfId="8203"/>
    <cellStyle name="스타일 86" xfId="8204"/>
    <cellStyle name="스타일 87" xfId="8205"/>
    <cellStyle name="스타일 88" xfId="8206"/>
    <cellStyle name="스타일 89" xfId="8207"/>
    <cellStyle name="스타일 9" xfId="8208"/>
    <cellStyle name="스타일 9 2" xfId="8209"/>
    <cellStyle name="스타일 90" xfId="8210"/>
    <cellStyle name="스타일 91" xfId="8211"/>
    <cellStyle name="스타일 92" xfId="8212"/>
    <cellStyle name="스타일 93" xfId="8213"/>
    <cellStyle name="스타일 94" xfId="8214"/>
    <cellStyle name="스타일 95" xfId="8215"/>
    <cellStyle name="스타일 96" xfId="8216"/>
    <cellStyle name="스타일 97" xfId="8217"/>
    <cellStyle name="스타일 98" xfId="8218"/>
    <cellStyle name="스타일 99" xfId="8219"/>
    <cellStyle name="신진수" xfId="8220"/>
    <cellStyle name="쌘" xfId="8221"/>
    <cellStyle name="안건회계법인" xfId="8222"/>
    <cellStyle name="액제" xfId="8223"/>
    <cellStyle name="앰플" xfId="8224"/>
    <cellStyle name="연결된 셀 10" xfId="8225"/>
    <cellStyle name="연결된 셀 11" xfId="8226"/>
    <cellStyle name="연결된 셀 12" xfId="8227"/>
    <cellStyle name="연결된 셀 13" xfId="8228"/>
    <cellStyle name="연결된 셀 14" xfId="8229"/>
    <cellStyle name="연결된 셀 14 2" xfId="8230"/>
    <cellStyle name="연결된 셀 14 3" xfId="8231"/>
    <cellStyle name="연결된 셀 15" xfId="8232"/>
    <cellStyle name="연결된 셀 15 2" xfId="8233"/>
    <cellStyle name="연결된 셀 15 3" xfId="8234"/>
    <cellStyle name="연결된 셀 16" xfId="8235"/>
    <cellStyle name="연결된 셀 16 2" xfId="8236"/>
    <cellStyle name="연결된 셀 16 3" xfId="8237"/>
    <cellStyle name="연결된 셀 17" xfId="8238"/>
    <cellStyle name="연결된 셀 17 2" xfId="8239"/>
    <cellStyle name="연결된 셀 17 3" xfId="8240"/>
    <cellStyle name="연결된 셀 18" xfId="8241"/>
    <cellStyle name="연결된 셀 18 2" xfId="8242"/>
    <cellStyle name="연결된 셀 18 3" xfId="8243"/>
    <cellStyle name="연결된 셀 19" xfId="8244"/>
    <cellStyle name="연결된 셀 19 2" xfId="8245"/>
    <cellStyle name="연결된 셀 19 3" xfId="8246"/>
    <cellStyle name="연결된 셀 2" xfId="8247"/>
    <cellStyle name="연결된 셀 2 10" xfId="8248"/>
    <cellStyle name="연결된 셀 2 11" xfId="8249"/>
    <cellStyle name="연결된 셀 2 12" xfId="8250"/>
    <cellStyle name="연결된 셀 2 13" xfId="8251"/>
    <cellStyle name="연결된 셀 2 14" xfId="8252"/>
    <cellStyle name="연결된 셀 2 15" xfId="8253"/>
    <cellStyle name="연결된 셀 2 16" xfId="8254"/>
    <cellStyle name="연결된 셀 2 17" xfId="8255"/>
    <cellStyle name="연결된 셀 2 18" xfId="8256"/>
    <cellStyle name="연결된 셀 2 19" xfId="8257"/>
    <cellStyle name="연결된 셀 2 2" xfId="8258"/>
    <cellStyle name="연결된 셀 2 20" xfId="8259"/>
    <cellStyle name="연결된 셀 2 21" xfId="8260"/>
    <cellStyle name="연결된 셀 2 22" xfId="8261"/>
    <cellStyle name="연결된 셀 2 23" xfId="8262"/>
    <cellStyle name="연결된 셀 2 24" xfId="8263"/>
    <cellStyle name="연결된 셀 2 25" xfId="8264"/>
    <cellStyle name="연결된 셀 2 26" xfId="8265"/>
    <cellStyle name="연결된 셀 2 27" xfId="8266"/>
    <cellStyle name="연결된 셀 2 28" xfId="8267"/>
    <cellStyle name="연결된 셀 2 29" xfId="8268"/>
    <cellStyle name="연결된 셀 2 3" xfId="8269"/>
    <cellStyle name="연결된 셀 2 30" xfId="8270"/>
    <cellStyle name="연결된 셀 2 31" xfId="8271"/>
    <cellStyle name="연결된 셀 2 32" xfId="8272"/>
    <cellStyle name="연결된 셀 2 33" xfId="8273"/>
    <cellStyle name="연결된 셀 2 34" xfId="8274"/>
    <cellStyle name="연결된 셀 2 35" xfId="8275"/>
    <cellStyle name="연결된 셀 2 36" xfId="8276"/>
    <cellStyle name="연결된 셀 2 37" xfId="8277"/>
    <cellStyle name="연결된 셀 2 38" xfId="8278"/>
    <cellStyle name="연결된 셀 2 39" xfId="8279"/>
    <cellStyle name="연결된 셀 2 4" xfId="8280"/>
    <cellStyle name="연결된 셀 2 5" xfId="8281"/>
    <cellStyle name="연결된 셀 2 6" xfId="8282"/>
    <cellStyle name="연결된 셀 2 7" xfId="8283"/>
    <cellStyle name="연결된 셀 2 8" xfId="8284"/>
    <cellStyle name="연결된 셀 2 9" xfId="8285"/>
    <cellStyle name="연결된 셀 20" xfId="8286"/>
    <cellStyle name="연결된 셀 21" xfId="8287"/>
    <cellStyle name="연결된 셀 22" xfId="8288"/>
    <cellStyle name="연결된 셀 23" xfId="8289"/>
    <cellStyle name="연결된 셀 24" xfId="8290"/>
    <cellStyle name="연결된 셀 25" xfId="8291"/>
    <cellStyle name="연결된 셀 26" xfId="8292"/>
    <cellStyle name="연결된 셀 27" xfId="8293"/>
    <cellStyle name="연결된 셀 27 2" xfId="8294"/>
    <cellStyle name="연결된 셀 28" xfId="8295"/>
    <cellStyle name="연결된 셀 29" xfId="8296"/>
    <cellStyle name="연결된 셀 3" xfId="8297"/>
    <cellStyle name="연결된 셀 3 2" xfId="8298"/>
    <cellStyle name="연결된 셀 3 3" xfId="8299"/>
    <cellStyle name="연결된 셀 3 4" xfId="8300"/>
    <cellStyle name="연결된 셀 30" xfId="8301"/>
    <cellStyle name="연결된 셀 31" xfId="8302"/>
    <cellStyle name="연결된 셀 32" xfId="8303"/>
    <cellStyle name="연결된 셀 33" xfId="8304"/>
    <cellStyle name="연결된 셀 34" xfId="8305"/>
    <cellStyle name="연결된 셀 35" xfId="8306"/>
    <cellStyle name="연결된 셀 36" xfId="8307"/>
    <cellStyle name="연결된 셀 37" xfId="8308"/>
    <cellStyle name="연결된 셀 37 2" xfId="8309"/>
    <cellStyle name="연결된 셀 38" xfId="8310"/>
    <cellStyle name="연결된 셀 39" xfId="8311"/>
    <cellStyle name="연결된 셀 4" xfId="8312"/>
    <cellStyle name="연결된 셀 4 2" xfId="8313"/>
    <cellStyle name="연결된 셀 4 3" xfId="8314"/>
    <cellStyle name="연결된 셀 4 4" xfId="8315"/>
    <cellStyle name="연결된 셀 40" xfId="8316"/>
    <cellStyle name="연결된 셀 41" xfId="8317"/>
    <cellStyle name="연결된 셀 42" xfId="8318"/>
    <cellStyle name="연결된 셀 43" xfId="8319"/>
    <cellStyle name="연결된 셀 44" xfId="8320"/>
    <cellStyle name="연결된 셀 45" xfId="8321"/>
    <cellStyle name="연결된 셀 45 2" xfId="8322"/>
    <cellStyle name="연결된 셀 45 3" xfId="8323"/>
    <cellStyle name="연결된 셀 46" xfId="8324"/>
    <cellStyle name="연결된 셀 47" xfId="8325"/>
    <cellStyle name="연결된 셀 48" xfId="8326"/>
    <cellStyle name="연결된 셀 49" xfId="8327"/>
    <cellStyle name="연결된 셀 5" xfId="8328"/>
    <cellStyle name="연결된 셀 5 2" xfId="8329"/>
    <cellStyle name="연결된 셀 5 3" xfId="8330"/>
    <cellStyle name="연결된 셀 5 4" xfId="8331"/>
    <cellStyle name="연결된 셀 50" xfId="8332"/>
    <cellStyle name="연결된 셀 51" xfId="8333"/>
    <cellStyle name="연결된 셀 52" xfId="8334"/>
    <cellStyle name="연결된 셀 53" xfId="8335"/>
    <cellStyle name="연결된 셀 54" xfId="8336"/>
    <cellStyle name="연결된 셀 55" xfId="8337"/>
    <cellStyle name="연결된 셀 6" xfId="8338"/>
    <cellStyle name="연결된 셀 6 2" xfId="8339"/>
    <cellStyle name="연결된 셀 6 3" xfId="8340"/>
    <cellStyle name="연결된 셀 6 4" xfId="8341"/>
    <cellStyle name="연결된 셀 7" xfId="8342"/>
    <cellStyle name="연결된 셀 7 2" xfId="8343"/>
    <cellStyle name="연결된 셀 7 3" xfId="8344"/>
    <cellStyle name="연결된 셀 7 4" xfId="8345"/>
    <cellStyle name="연결된 셀 8" xfId="8346"/>
    <cellStyle name="연결된 셀 9" xfId="8347"/>
    <cellStyle name="연고" xfId="8348"/>
    <cellStyle name="열어본 하이퍼링크" xfId="8349"/>
    <cellStyle name="霓付 [0]_  辆  钦  " xfId="8350"/>
    <cellStyle name="霓付_  辆  钦  " xfId="8351"/>
    <cellStyle name="吾睇?report-2 " xfId="8352"/>
    <cellStyle name="옴니" xfId="8353"/>
    <cellStyle name="巍葆 [0]_渠掘 " xfId="8354"/>
    <cellStyle name="巍葆_渠掘 " xfId="8355"/>
    <cellStyle name="요약" xfId="172" builtinId="25"/>
    <cellStyle name="요약 10" xfId="8356"/>
    <cellStyle name="요약 11" xfId="8357"/>
    <cellStyle name="요약 12" xfId="8358"/>
    <cellStyle name="요약 13" xfId="8359"/>
    <cellStyle name="요약 14" xfId="8360"/>
    <cellStyle name="요약 14 2" xfId="8361"/>
    <cellStyle name="요약 14 3" xfId="8362"/>
    <cellStyle name="요약 15" xfId="8363"/>
    <cellStyle name="요약 15 2" xfId="8364"/>
    <cellStyle name="요약 15 3" xfId="8365"/>
    <cellStyle name="요약 16" xfId="8366"/>
    <cellStyle name="요약 16 2" xfId="8367"/>
    <cellStyle name="요약 16 3" xfId="8368"/>
    <cellStyle name="요약 17" xfId="8369"/>
    <cellStyle name="요약 17 2" xfId="8370"/>
    <cellStyle name="요약 17 3" xfId="8371"/>
    <cellStyle name="요약 18" xfId="8372"/>
    <cellStyle name="요약 18 2" xfId="8373"/>
    <cellStyle name="요약 18 3" xfId="8374"/>
    <cellStyle name="요약 19" xfId="8375"/>
    <cellStyle name="요약 19 2" xfId="8376"/>
    <cellStyle name="요약 19 3" xfId="8377"/>
    <cellStyle name="요약 2" xfId="8378"/>
    <cellStyle name="요약 2 10" xfId="8379"/>
    <cellStyle name="요약 2 11" xfId="8380"/>
    <cellStyle name="요약 2 12" xfId="8381"/>
    <cellStyle name="요약 2 13" xfId="8382"/>
    <cellStyle name="요약 2 14" xfId="8383"/>
    <cellStyle name="요약 2 15" xfId="8384"/>
    <cellStyle name="요약 2 16" xfId="8385"/>
    <cellStyle name="요약 2 17" xfId="8386"/>
    <cellStyle name="요약 2 18" xfId="8387"/>
    <cellStyle name="요약 2 19" xfId="8388"/>
    <cellStyle name="요약 2 2" xfId="8389"/>
    <cellStyle name="요약 2 20" xfId="8390"/>
    <cellStyle name="요약 2 21" xfId="8391"/>
    <cellStyle name="요약 2 22" xfId="8392"/>
    <cellStyle name="요약 2 23" xfId="8393"/>
    <cellStyle name="요약 2 24" xfId="8394"/>
    <cellStyle name="요약 2 25" xfId="8395"/>
    <cellStyle name="요약 2 26" xfId="8396"/>
    <cellStyle name="요약 2 27" xfId="8397"/>
    <cellStyle name="요약 2 28" xfId="8398"/>
    <cellStyle name="요약 2 29" xfId="8399"/>
    <cellStyle name="요약 2 3" xfId="8400"/>
    <cellStyle name="요약 2 30" xfId="8401"/>
    <cellStyle name="요약 2 31" xfId="8402"/>
    <cellStyle name="요약 2 32" xfId="8403"/>
    <cellStyle name="요약 2 33" xfId="8404"/>
    <cellStyle name="요약 2 34" xfId="8405"/>
    <cellStyle name="요약 2 35" xfId="8406"/>
    <cellStyle name="요약 2 36" xfId="8407"/>
    <cellStyle name="요약 2 37" xfId="8408"/>
    <cellStyle name="요약 2 38" xfId="8409"/>
    <cellStyle name="요약 2 39" xfId="8410"/>
    <cellStyle name="요약 2 4" xfId="8411"/>
    <cellStyle name="요약 2 5" xfId="8412"/>
    <cellStyle name="요약 2 6" xfId="8413"/>
    <cellStyle name="요약 2 7" xfId="8414"/>
    <cellStyle name="요약 2 8" xfId="8415"/>
    <cellStyle name="요약 2 9" xfId="8416"/>
    <cellStyle name="요약 20" xfId="8417"/>
    <cellStyle name="요약 21" xfId="8418"/>
    <cellStyle name="요약 22" xfId="8419"/>
    <cellStyle name="요약 23" xfId="8420"/>
    <cellStyle name="요약 24" xfId="8421"/>
    <cellStyle name="요약 25" xfId="8422"/>
    <cellStyle name="요약 26" xfId="8423"/>
    <cellStyle name="요약 27" xfId="8424"/>
    <cellStyle name="요약 27 2" xfId="8425"/>
    <cellStyle name="요약 28" xfId="8426"/>
    <cellStyle name="요약 29" xfId="8427"/>
    <cellStyle name="요약 3" xfId="8428"/>
    <cellStyle name="요약 3 2" xfId="8429"/>
    <cellStyle name="요약 3 3" xfId="8430"/>
    <cellStyle name="요약 3 4" xfId="8431"/>
    <cellStyle name="요약 30" xfId="8432"/>
    <cellStyle name="요약 31" xfId="8433"/>
    <cellStyle name="요약 32" xfId="8434"/>
    <cellStyle name="요약 33" xfId="8435"/>
    <cellStyle name="요약 34" xfId="8436"/>
    <cellStyle name="요약 35" xfId="8437"/>
    <cellStyle name="요약 36" xfId="8438"/>
    <cellStyle name="요약 37" xfId="8439"/>
    <cellStyle name="요약 37 2" xfId="8440"/>
    <cellStyle name="요약 38" xfId="8441"/>
    <cellStyle name="요약 39" xfId="8442"/>
    <cellStyle name="요약 4" xfId="8443"/>
    <cellStyle name="요약 4 2" xfId="8444"/>
    <cellStyle name="요약 4 3" xfId="8445"/>
    <cellStyle name="요약 4 4" xfId="8446"/>
    <cellStyle name="요약 40" xfId="8447"/>
    <cellStyle name="요약 41" xfId="8448"/>
    <cellStyle name="요약 42" xfId="8449"/>
    <cellStyle name="요약 43" xfId="8450"/>
    <cellStyle name="요약 44" xfId="8451"/>
    <cellStyle name="요약 45" xfId="8452"/>
    <cellStyle name="요약 45 2" xfId="8453"/>
    <cellStyle name="요약 45 3" xfId="8454"/>
    <cellStyle name="요약 46" xfId="8455"/>
    <cellStyle name="요약 47" xfId="8456"/>
    <cellStyle name="요약 48" xfId="8457"/>
    <cellStyle name="요약 49" xfId="8458"/>
    <cellStyle name="요약 5" xfId="8459"/>
    <cellStyle name="요약 5 2" xfId="8460"/>
    <cellStyle name="요약 5 3" xfId="8461"/>
    <cellStyle name="요약 5 4" xfId="8462"/>
    <cellStyle name="요약 50" xfId="8463"/>
    <cellStyle name="요약 51" xfId="8464"/>
    <cellStyle name="요약 52" xfId="8465"/>
    <cellStyle name="요약 53" xfId="8466"/>
    <cellStyle name="요약 54" xfId="8467"/>
    <cellStyle name="요약 55" xfId="8468"/>
    <cellStyle name="요약 6" xfId="8469"/>
    <cellStyle name="요약 6 2" xfId="8470"/>
    <cellStyle name="요약 6 3" xfId="8471"/>
    <cellStyle name="요약 6 4" xfId="8472"/>
    <cellStyle name="요약 7" xfId="8473"/>
    <cellStyle name="요약 7 2" xfId="8474"/>
    <cellStyle name="요약 7 3" xfId="8475"/>
    <cellStyle name="요약 7 4" xfId="8476"/>
    <cellStyle name="요약 8" xfId="8477"/>
    <cellStyle name="요약 9" xfId="8478"/>
    <cellStyle name="원" xfId="8479"/>
    <cellStyle name="원 2" xfId="8480"/>
    <cellStyle name="원_09성남" xfId="8481"/>
    <cellStyle name="원_dimon" xfId="8482"/>
    <cellStyle name="원_Final AR_그레이스08_수정후" xfId="8483"/>
    <cellStyle name="원_Grace정산표_08_0303" xfId="8484"/>
    <cellStyle name="원_HUKUL재무제표" xfId="8485"/>
    <cellStyle name="원_Lover" xfId="8486"/>
    <cellStyle name="원_Sheet10" xfId="8487"/>
    <cellStyle name="원_Sheet11" xfId="8488"/>
    <cellStyle name="원_Sheet12" xfId="8489"/>
    <cellStyle name="원_구상채권" xfId="8490"/>
    <cellStyle name="원_정리-V2" xfId="8491"/>
    <cellStyle name="원_정산표(디지털미디어)-V10(20041213)(조병현-최종)" xfId="8492"/>
    <cellStyle name="원_정산표-현대선물_200906_ver5.3" xfId="8493"/>
    <cellStyle name="원_지오텔정산표_06YE_0228" xfId="8494"/>
    <cellStyle name="원_현대자산운용 201003_중요성기준_최종" xfId="8495"/>
    <cellStyle name="원통화" xfId="8496"/>
    <cellStyle name="원화" xfId="8497"/>
    <cellStyle name="유입" xfId="8498"/>
    <cellStyle name="유입 2" xfId="8499"/>
    <cellStyle name="유입 3" xfId="8500"/>
    <cellStyle name="유형" xfId="8501"/>
    <cellStyle name="一般_aprbal" xfId="8502"/>
    <cellStyle name="일반숫자" xfId="8503"/>
    <cellStyle name="일반콤마 [△]" xfId="8504"/>
    <cellStyle name="입력 10" xfId="8505"/>
    <cellStyle name="입력 11" xfId="8506"/>
    <cellStyle name="입력 12" xfId="8507"/>
    <cellStyle name="입력 13" xfId="8508"/>
    <cellStyle name="입력 14" xfId="8509"/>
    <cellStyle name="입력 14 2" xfId="8510"/>
    <cellStyle name="입력 14 3" xfId="8511"/>
    <cellStyle name="입력 15" xfId="8512"/>
    <cellStyle name="입력 15 2" xfId="8513"/>
    <cellStyle name="입력 15 3" xfId="8514"/>
    <cellStyle name="입력 16" xfId="8515"/>
    <cellStyle name="입력 16 2" xfId="8516"/>
    <cellStyle name="입력 16 3" xfId="8517"/>
    <cellStyle name="입력 17" xfId="8518"/>
    <cellStyle name="입력 17 2" xfId="8519"/>
    <cellStyle name="입력 17 3" xfId="8520"/>
    <cellStyle name="입력 18" xfId="8521"/>
    <cellStyle name="입력 18 2" xfId="8522"/>
    <cellStyle name="입력 18 3" xfId="8523"/>
    <cellStyle name="입력 19" xfId="8524"/>
    <cellStyle name="입력 19 2" xfId="8525"/>
    <cellStyle name="입력 19 3" xfId="8526"/>
    <cellStyle name="입력 2" xfId="8527"/>
    <cellStyle name="입력 2 10" xfId="8528"/>
    <cellStyle name="입력 2 11" xfId="8529"/>
    <cellStyle name="입력 2 12" xfId="8530"/>
    <cellStyle name="입력 2 13" xfId="8531"/>
    <cellStyle name="입력 2 14" xfId="8532"/>
    <cellStyle name="입력 2 15" xfId="8533"/>
    <cellStyle name="입력 2 16" xfId="8534"/>
    <cellStyle name="입력 2 17" xfId="8535"/>
    <cellStyle name="입력 2 18" xfId="8536"/>
    <cellStyle name="입력 2 19" xfId="8537"/>
    <cellStyle name="입력 2 2" xfId="8538"/>
    <cellStyle name="입력 2 20" xfId="8539"/>
    <cellStyle name="입력 2 21" xfId="8540"/>
    <cellStyle name="입력 2 22" xfId="8541"/>
    <cellStyle name="입력 2 23" xfId="8542"/>
    <cellStyle name="입력 2 24" xfId="8543"/>
    <cellStyle name="입력 2 25" xfId="8544"/>
    <cellStyle name="입력 2 26" xfId="8545"/>
    <cellStyle name="입력 2 27" xfId="8546"/>
    <cellStyle name="입력 2 28" xfId="8547"/>
    <cellStyle name="입력 2 29" xfId="8548"/>
    <cellStyle name="입력 2 3" xfId="8549"/>
    <cellStyle name="입력 2 30" xfId="8550"/>
    <cellStyle name="입력 2 31" xfId="8551"/>
    <cellStyle name="입력 2 32" xfId="8552"/>
    <cellStyle name="입력 2 33" xfId="8553"/>
    <cellStyle name="입력 2 34" xfId="8554"/>
    <cellStyle name="입력 2 35" xfId="8555"/>
    <cellStyle name="입력 2 36" xfId="8556"/>
    <cellStyle name="입력 2 37" xfId="8557"/>
    <cellStyle name="입력 2 38" xfId="8558"/>
    <cellStyle name="입력 2 39" xfId="8559"/>
    <cellStyle name="입력 2 4" xfId="8560"/>
    <cellStyle name="입력 2 5" xfId="8561"/>
    <cellStyle name="입력 2 6" xfId="8562"/>
    <cellStyle name="입력 2 7" xfId="8563"/>
    <cellStyle name="입력 2 8" xfId="8564"/>
    <cellStyle name="입력 2 9" xfId="8565"/>
    <cellStyle name="입력 20" xfId="8566"/>
    <cellStyle name="입력 21" xfId="8567"/>
    <cellStyle name="입력 22" xfId="8568"/>
    <cellStyle name="입력 23" xfId="8569"/>
    <cellStyle name="입력 24" xfId="8570"/>
    <cellStyle name="입력 25" xfId="8571"/>
    <cellStyle name="입력 26" xfId="8572"/>
    <cellStyle name="입력 27" xfId="8573"/>
    <cellStyle name="입력 27 2" xfId="8574"/>
    <cellStyle name="입력 28" xfId="8575"/>
    <cellStyle name="입력 29" xfId="8576"/>
    <cellStyle name="입력 3" xfId="8577"/>
    <cellStyle name="입력 3 2" xfId="8578"/>
    <cellStyle name="입력 3 3" xfId="8579"/>
    <cellStyle name="입력 3 4" xfId="8580"/>
    <cellStyle name="입력 30" xfId="8581"/>
    <cellStyle name="입력 31" xfId="8582"/>
    <cellStyle name="입력 32" xfId="8583"/>
    <cellStyle name="입력 33" xfId="8584"/>
    <cellStyle name="입력 34" xfId="8585"/>
    <cellStyle name="입력 35" xfId="8586"/>
    <cellStyle name="입력 36" xfId="8587"/>
    <cellStyle name="입력 37" xfId="8588"/>
    <cellStyle name="입력 37 2" xfId="8589"/>
    <cellStyle name="입력 38" xfId="8590"/>
    <cellStyle name="입력 39" xfId="8591"/>
    <cellStyle name="입력 4" xfId="8592"/>
    <cellStyle name="입력 4 2" xfId="8593"/>
    <cellStyle name="입력 4 3" xfId="8594"/>
    <cellStyle name="입력 4 4" xfId="8595"/>
    <cellStyle name="입력 40" xfId="8596"/>
    <cellStyle name="입력 41" xfId="8597"/>
    <cellStyle name="입력 42" xfId="8598"/>
    <cellStyle name="입력 43" xfId="8599"/>
    <cellStyle name="입력 44" xfId="8600"/>
    <cellStyle name="입력 45" xfId="8601"/>
    <cellStyle name="입력 45 2" xfId="8602"/>
    <cellStyle name="입력 45 3" xfId="8603"/>
    <cellStyle name="입력 46" xfId="8604"/>
    <cellStyle name="입력 47" xfId="8605"/>
    <cellStyle name="입력 48" xfId="8606"/>
    <cellStyle name="입력 49" xfId="8607"/>
    <cellStyle name="입력 5" xfId="8608"/>
    <cellStyle name="입력 5 2" xfId="8609"/>
    <cellStyle name="입력 5 3" xfId="8610"/>
    <cellStyle name="입력 5 4" xfId="8611"/>
    <cellStyle name="입력 50" xfId="8612"/>
    <cellStyle name="입력 51" xfId="8613"/>
    <cellStyle name="입력 52" xfId="8614"/>
    <cellStyle name="입력 53" xfId="8615"/>
    <cellStyle name="입력 54" xfId="8616"/>
    <cellStyle name="입력 55" xfId="8617"/>
    <cellStyle name="입력 6" xfId="8618"/>
    <cellStyle name="입력 6 2" xfId="8619"/>
    <cellStyle name="입력 6 3" xfId="8620"/>
    <cellStyle name="입력 6 4" xfId="8621"/>
    <cellStyle name="입력 7" xfId="8622"/>
    <cellStyle name="입력 7 2" xfId="8623"/>
    <cellStyle name="입력 7 3" xfId="8624"/>
    <cellStyle name="입력 7 4" xfId="8625"/>
    <cellStyle name="입력 8" xfId="8626"/>
    <cellStyle name="입력 9" xfId="8627"/>
    <cellStyle name="자리수" xfId="8628"/>
    <cellStyle name="자리수 2" xfId="8629"/>
    <cellStyle name="자리수0" xfId="8630"/>
    <cellStyle name="자리수0 2" xfId="8631"/>
    <cellStyle name="작업일수" xfId="8632"/>
    <cellStyle name="정" xfId="8633"/>
    <cellStyle name="제놀" xfId="8634"/>
    <cellStyle name="제목 1 10" xfId="8635"/>
    <cellStyle name="제목 1 11" xfId="8636"/>
    <cellStyle name="제목 1 12" xfId="8637"/>
    <cellStyle name="제목 1 13" xfId="8638"/>
    <cellStyle name="제목 1 14" xfId="8639"/>
    <cellStyle name="제목 1 14 2" xfId="8640"/>
    <cellStyle name="제목 1 14 3" xfId="8641"/>
    <cellStyle name="제목 1 15" xfId="8642"/>
    <cellStyle name="제목 1 15 2" xfId="8643"/>
    <cellStyle name="제목 1 15 3" xfId="8644"/>
    <cellStyle name="제목 1 16" xfId="8645"/>
    <cellStyle name="제목 1 16 2" xfId="8646"/>
    <cellStyle name="제목 1 16 3" xfId="8647"/>
    <cellStyle name="제목 1 17" xfId="8648"/>
    <cellStyle name="제목 1 17 2" xfId="8649"/>
    <cellStyle name="제목 1 17 3" xfId="8650"/>
    <cellStyle name="제목 1 18" xfId="8651"/>
    <cellStyle name="제목 1 18 2" xfId="8652"/>
    <cellStyle name="제목 1 18 3" xfId="8653"/>
    <cellStyle name="제목 1 19" xfId="8654"/>
    <cellStyle name="제목 1 19 2" xfId="8655"/>
    <cellStyle name="제목 1 19 3" xfId="8656"/>
    <cellStyle name="제목 1 2" xfId="8657"/>
    <cellStyle name="제목 1 2 10" xfId="8658"/>
    <cellStyle name="제목 1 2 11" xfId="8659"/>
    <cellStyle name="제목 1 2 12" xfId="8660"/>
    <cellStyle name="제목 1 2 13" xfId="8661"/>
    <cellStyle name="제목 1 2 14" xfId="8662"/>
    <cellStyle name="제목 1 2 15" xfId="8663"/>
    <cellStyle name="제목 1 2 16" xfId="8664"/>
    <cellStyle name="제목 1 2 17" xfId="8665"/>
    <cellStyle name="제목 1 2 18" xfId="8666"/>
    <cellStyle name="제목 1 2 19" xfId="8667"/>
    <cellStyle name="제목 1 2 2" xfId="8668"/>
    <cellStyle name="제목 1 2 20" xfId="8669"/>
    <cellStyle name="제목 1 2 21" xfId="8670"/>
    <cellStyle name="제목 1 2 22" xfId="8671"/>
    <cellStyle name="제목 1 2 23" xfId="8672"/>
    <cellStyle name="제목 1 2 24" xfId="8673"/>
    <cellStyle name="제목 1 2 25" xfId="8674"/>
    <cellStyle name="제목 1 2 26" xfId="8675"/>
    <cellStyle name="제목 1 2 27" xfId="8676"/>
    <cellStyle name="제목 1 2 28" xfId="8677"/>
    <cellStyle name="제목 1 2 29" xfId="8678"/>
    <cellStyle name="제목 1 2 3" xfId="8679"/>
    <cellStyle name="제목 1 2 30" xfId="8680"/>
    <cellStyle name="제목 1 2 31" xfId="8681"/>
    <cellStyle name="제목 1 2 32" xfId="8682"/>
    <cellStyle name="제목 1 2 33" xfId="8683"/>
    <cellStyle name="제목 1 2 34" xfId="8684"/>
    <cellStyle name="제목 1 2 35" xfId="8685"/>
    <cellStyle name="제목 1 2 36" xfId="8686"/>
    <cellStyle name="제목 1 2 37" xfId="8687"/>
    <cellStyle name="제목 1 2 38" xfId="8688"/>
    <cellStyle name="제목 1 2 39" xfId="8689"/>
    <cellStyle name="제목 1 2 4" xfId="8690"/>
    <cellStyle name="제목 1 2 5" xfId="8691"/>
    <cellStyle name="제목 1 2 6" xfId="8692"/>
    <cellStyle name="제목 1 2 7" xfId="8693"/>
    <cellStyle name="제목 1 2 8" xfId="8694"/>
    <cellStyle name="제목 1 2 9" xfId="8695"/>
    <cellStyle name="제목 1 20" xfId="8696"/>
    <cellStyle name="제목 1 21" xfId="8697"/>
    <cellStyle name="제목 1 22" xfId="8698"/>
    <cellStyle name="제목 1 23" xfId="8699"/>
    <cellStyle name="제목 1 24" xfId="8700"/>
    <cellStyle name="제목 1 25" xfId="8701"/>
    <cellStyle name="제목 1 26" xfId="8702"/>
    <cellStyle name="제목 1 27" xfId="8703"/>
    <cellStyle name="제목 1 27 2" xfId="8704"/>
    <cellStyle name="제목 1 28" xfId="8705"/>
    <cellStyle name="제목 1 29" xfId="8706"/>
    <cellStyle name="제목 1 3" xfId="8707"/>
    <cellStyle name="제목 1 3 2" xfId="8708"/>
    <cellStyle name="제목 1 3 3" xfId="8709"/>
    <cellStyle name="제목 1 3 4" xfId="8710"/>
    <cellStyle name="제목 1 30" xfId="8711"/>
    <cellStyle name="제목 1 31" xfId="8712"/>
    <cellStyle name="제목 1 32" xfId="8713"/>
    <cellStyle name="제목 1 33" xfId="8714"/>
    <cellStyle name="제목 1 34" xfId="8715"/>
    <cellStyle name="제목 1 35" xfId="8716"/>
    <cellStyle name="제목 1 36" xfId="8717"/>
    <cellStyle name="제목 1 37" xfId="8718"/>
    <cellStyle name="제목 1 37 2" xfId="8719"/>
    <cellStyle name="제목 1 38" xfId="8720"/>
    <cellStyle name="제목 1 39" xfId="8721"/>
    <cellStyle name="제목 1 4" xfId="8722"/>
    <cellStyle name="제목 1 4 2" xfId="8723"/>
    <cellStyle name="제목 1 4 3" xfId="8724"/>
    <cellStyle name="제목 1 4 4" xfId="8725"/>
    <cellStyle name="제목 1 40" xfId="8726"/>
    <cellStyle name="제목 1 41" xfId="8727"/>
    <cellStyle name="제목 1 42" xfId="8728"/>
    <cellStyle name="제목 1 43" xfId="8729"/>
    <cellStyle name="제목 1 44" xfId="8730"/>
    <cellStyle name="제목 1 45" xfId="8731"/>
    <cellStyle name="제목 1 45 2" xfId="8732"/>
    <cellStyle name="제목 1 45 3" xfId="8733"/>
    <cellStyle name="제목 1 46" xfId="8734"/>
    <cellStyle name="제목 1 47" xfId="8735"/>
    <cellStyle name="제목 1 48" xfId="8736"/>
    <cellStyle name="제목 1 49" xfId="8737"/>
    <cellStyle name="제목 1 5" xfId="8738"/>
    <cellStyle name="제목 1 5 2" xfId="8739"/>
    <cellStyle name="제목 1 5 3" xfId="8740"/>
    <cellStyle name="제목 1 5 4" xfId="8741"/>
    <cellStyle name="제목 1 50" xfId="8742"/>
    <cellStyle name="제목 1 51" xfId="8743"/>
    <cellStyle name="제목 1 52" xfId="8744"/>
    <cellStyle name="제목 1 53" xfId="8745"/>
    <cellStyle name="제목 1 54" xfId="8746"/>
    <cellStyle name="제목 1 55" xfId="8747"/>
    <cellStyle name="제목 1 6" xfId="8748"/>
    <cellStyle name="제목 1 6 2" xfId="8749"/>
    <cellStyle name="제목 1 6 3" xfId="8750"/>
    <cellStyle name="제목 1 6 4" xfId="8751"/>
    <cellStyle name="제목 1 7" xfId="8752"/>
    <cellStyle name="제목 1 7 2" xfId="8753"/>
    <cellStyle name="제목 1 7 3" xfId="8754"/>
    <cellStyle name="제목 1 7 4" xfId="8755"/>
    <cellStyle name="제목 1 8" xfId="8756"/>
    <cellStyle name="제목 1 9" xfId="8757"/>
    <cellStyle name="제목 10" xfId="8758"/>
    <cellStyle name="제목 10 2" xfId="8759"/>
    <cellStyle name="제목 10 3" xfId="8760"/>
    <cellStyle name="제목 10 4" xfId="8761"/>
    <cellStyle name="제목 11" xfId="8762"/>
    <cellStyle name="제목 12" xfId="8763"/>
    <cellStyle name="제목 13" xfId="8764"/>
    <cellStyle name="제목 14" xfId="8765"/>
    <cellStyle name="제목 15" xfId="8766"/>
    <cellStyle name="제목 16" xfId="8767"/>
    <cellStyle name="제목 17" xfId="8768"/>
    <cellStyle name="제목 17 2" xfId="8769"/>
    <cellStyle name="제목 17 3" xfId="8770"/>
    <cellStyle name="제목 18" xfId="8771"/>
    <cellStyle name="제목 18 2" xfId="8772"/>
    <cellStyle name="제목 18 3" xfId="8773"/>
    <cellStyle name="제목 19" xfId="8774"/>
    <cellStyle name="제목 19 2" xfId="8775"/>
    <cellStyle name="제목 19 3" xfId="8776"/>
    <cellStyle name="제목 2 10" xfId="8777"/>
    <cellStyle name="제목 2 11" xfId="8778"/>
    <cellStyle name="제목 2 12" xfId="8779"/>
    <cellStyle name="제목 2 13" xfId="8780"/>
    <cellStyle name="제목 2 14" xfId="8781"/>
    <cellStyle name="제목 2 14 2" xfId="8782"/>
    <cellStyle name="제목 2 14 3" xfId="8783"/>
    <cellStyle name="제목 2 15" xfId="8784"/>
    <cellStyle name="제목 2 15 2" xfId="8785"/>
    <cellStyle name="제목 2 15 3" xfId="8786"/>
    <cellStyle name="제목 2 16" xfId="8787"/>
    <cellStyle name="제목 2 16 2" xfId="8788"/>
    <cellStyle name="제목 2 16 3" xfId="8789"/>
    <cellStyle name="제목 2 17" xfId="8790"/>
    <cellStyle name="제목 2 17 2" xfId="8791"/>
    <cellStyle name="제목 2 17 3" xfId="8792"/>
    <cellStyle name="제목 2 18" xfId="8793"/>
    <cellStyle name="제목 2 18 2" xfId="8794"/>
    <cellStyle name="제목 2 18 3" xfId="8795"/>
    <cellStyle name="제목 2 19" xfId="8796"/>
    <cellStyle name="제목 2 19 2" xfId="8797"/>
    <cellStyle name="제목 2 19 3" xfId="8798"/>
    <cellStyle name="제목 2 2" xfId="8799"/>
    <cellStyle name="제목 2 2 10" xfId="8800"/>
    <cellStyle name="제목 2 2 11" xfId="8801"/>
    <cellStyle name="제목 2 2 12" xfId="8802"/>
    <cellStyle name="제목 2 2 13" xfId="8803"/>
    <cellStyle name="제목 2 2 14" xfId="8804"/>
    <cellStyle name="제목 2 2 15" xfId="8805"/>
    <cellStyle name="제목 2 2 16" xfId="8806"/>
    <cellStyle name="제목 2 2 17" xfId="8807"/>
    <cellStyle name="제목 2 2 18" xfId="8808"/>
    <cellStyle name="제목 2 2 19" xfId="8809"/>
    <cellStyle name="제목 2 2 2" xfId="8810"/>
    <cellStyle name="제목 2 2 20" xfId="8811"/>
    <cellStyle name="제목 2 2 21" xfId="8812"/>
    <cellStyle name="제목 2 2 22" xfId="8813"/>
    <cellStyle name="제목 2 2 23" xfId="8814"/>
    <cellStyle name="제목 2 2 24" xfId="8815"/>
    <cellStyle name="제목 2 2 25" xfId="8816"/>
    <cellStyle name="제목 2 2 26" xfId="8817"/>
    <cellStyle name="제목 2 2 27" xfId="8818"/>
    <cellStyle name="제목 2 2 28" xfId="8819"/>
    <cellStyle name="제목 2 2 29" xfId="8820"/>
    <cellStyle name="제목 2 2 3" xfId="8821"/>
    <cellStyle name="제목 2 2 30" xfId="8822"/>
    <cellStyle name="제목 2 2 31" xfId="8823"/>
    <cellStyle name="제목 2 2 32" xfId="8824"/>
    <cellStyle name="제목 2 2 33" xfId="8825"/>
    <cellStyle name="제목 2 2 34" xfId="8826"/>
    <cellStyle name="제목 2 2 35" xfId="8827"/>
    <cellStyle name="제목 2 2 36" xfId="8828"/>
    <cellStyle name="제목 2 2 37" xfId="8829"/>
    <cellStyle name="제목 2 2 38" xfId="8830"/>
    <cellStyle name="제목 2 2 39" xfId="8831"/>
    <cellStyle name="제목 2 2 4" xfId="8832"/>
    <cellStyle name="제목 2 2 5" xfId="8833"/>
    <cellStyle name="제목 2 2 6" xfId="8834"/>
    <cellStyle name="제목 2 2 7" xfId="8835"/>
    <cellStyle name="제목 2 2 8" xfId="8836"/>
    <cellStyle name="제목 2 2 9" xfId="8837"/>
    <cellStyle name="제목 2 20" xfId="8838"/>
    <cellStyle name="제목 2 21" xfId="8839"/>
    <cellStyle name="제목 2 22" xfId="8840"/>
    <cellStyle name="제목 2 23" xfId="8841"/>
    <cellStyle name="제목 2 24" xfId="8842"/>
    <cellStyle name="제목 2 25" xfId="8843"/>
    <cellStyle name="제목 2 26" xfId="8844"/>
    <cellStyle name="제목 2 27" xfId="8845"/>
    <cellStyle name="제목 2 27 2" xfId="8846"/>
    <cellStyle name="제목 2 28" xfId="8847"/>
    <cellStyle name="제목 2 29" xfId="8848"/>
    <cellStyle name="제목 2 3" xfId="8849"/>
    <cellStyle name="제목 2 3 2" xfId="8850"/>
    <cellStyle name="제목 2 3 3" xfId="8851"/>
    <cellStyle name="제목 2 3 4" xfId="8852"/>
    <cellStyle name="제목 2 30" xfId="8853"/>
    <cellStyle name="제목 2 31" xfId="8854"/>
    <cellStyle name="제목 2 32" xfId="8855"/>
    <cellStyle name="제목 2 33" xfId="8856"/>
    <cellStyle name="제목 2 34" xfId="8857"/>
    <cellStyle name="제목 2 35" xfId="8858"/>
    <cellStyle name="제목 2 36" xfId="8859"/>
    <cellStyle name="제목 2 37" xfId="8860"/>
    <cellStyle name="제목 2 37 2" xfId="8861"/>
    <cellStyle name="제목 2 38" xfId="8862"/>
    <cellStyle name="제목 2 39" xfId="8863"/>
    <cellStyle name="제목 2 4" xfId="8864"/>
    <cellStyle name="제목 2 4 2" xfId="8865"/>
    <cellStyle name="제목 2 4 3" xfId="8866"/>
    <cellStyle name="제목 2 4 4" xfId="8867"/>
    <cellStyle name="제목 2 40" xfId="8868"/>
    <cellStyle name="제목 2 41" xfId="8869"/>
    <cellStyle name="제목 2 42" xfId="8870"/>
    <cellStyle name="제목 2 43" xfId="8871"/>
    <cellStyle name="제목 2 44" xfId="8872"/>
    <cellStyle name="제목 2 45" xfId="8873"/>
    <cellStyle name="제목 2 45 2" xfId="8874"/>
    <cellStyle name="제목 2 45 3" xfId="8875"/>
    <cellStyle name="제목 2 46" xfId="8876"/>
    <cellStyle name="제목 2 47" xfId="8877"/>
    <cellStyle name="제목 2 48" xfId="8878"/>
    <cellStyle name="제목 2 49" xfId="8879"/>
    <cellStyle name="제목 2 5" xfId="8880"/>
    <cellStyle name="제목 2 5 2" xfId="8881"/>
    <cellStyle name="제목 2 5 3" xfId="8882"/>
    <cellStyle name="제목 2 5 4" xfId="8883"/>
    <cellStyle name="제목 2 50" xfId="8884"/>
    <cellStyle name="제목 2 51" xfId="8885"/>
    <cellStyle name="제목 2 52" xfId="8886"/>
    <cellStyle name="제목 2 53" xfId="8887"/>
    <cellStyle name="제목 2 54" xfId="8888"/>
    <cellStyle name="제목 2 55" xfId="8889"/>
    <cellStyle name="제목 2 6" xfId="8890"/>
    <cellStyle name="제목 2 6 2" xfId="8891"/>
    <cellStyle name="제목 2 6 3" xfId="8892"/>
    <cellStyle name="제목 2 6 4" xfId="8893"/>
    <cellStyle name="제목 2 7" xfId="8894"/>
    <cellStyle name="제목 2 7 2" xfId="8895"/>
    <cellStyle name="제목 2 7 3" xfId="8896"/>
    <cellStyle name="제목 2 7 4" xfId="8897"/>
    <cellStyle name="제목 2 8" xfId="8898"/>
    <cellStyle name="제목 2 9" xfId="8899"/>
    <cellStyle name="제목 20" xfId="8900"/>
    <cellStyle name="제목 20 2" xfId="8901"/>
    <cellStyle name="제목 20 3" xfId="8902"/>
    <cellStyle name="제목 21" xfId="8903"/>
    <cellStyle name="제목 21 2" xfId="8904"/>
    <cellStyle name="제목 21 3" xfId="8905"/>
    <cellStyle name="제목 22" xfId="8906"/>
    <cellStyle name="제목 22 2" xfId="8907"/>
    <cellStyle name="제목 22 3" xfId="8908"/>
    <cellStyle name="제목 23" xfId="8909"/>
    <cellStyle name="제목 24" xfId="8910"/>
    <cellStyle name="제목 25" xfId="8911"/>
    <cellStyle name="제목 26" xfId="8912"/>
    <cellStyle name="제목 27" xfId="8913"/>
    <cellStyle name="제목 28" xfId="8914"/>
    <cellStyle name="제목 29" xfId="8915"/>
    <cellStyle name="제목 3 10" xfId="8916"/>
    <cellStyle name="제목 3 11" xfId="8917"/>
    <cellStyle name="제목 3 12" xfId="8918"/>
    <cellStyle name="제목 3 13" xfId="8919"/>
    <cellStyle name="제목 3 14" xfId="8920"/>
    <cellStyle name="제목 3 14 2" xfId="8921"/>
    <cellStyle name="제목 3 14 3" xfId="8922"/>
    <cellStyle name="제목 3 15" xfId="8923"/>
    <cellStyle name="제목 3 15 2" xfId="8924"/>
    <cellStyle name="제목 3 15 3" xfId="8925"/>
    <cellStyle name="제목 3 16" xfId="8926"/>
    <cellStyle name="제목 3 16 2" xfId="8927"/>
    <cellStyle name="제목 3 16 3" xfId="8928"/>
    <cellStyle name="제목 3 17" xfId="8929"/>
    <cellStyle name="제목 3 17 2" xfId="8930"/>
    <cellStyle name="제목 3 17 3" xfId="8931"/>
    <cellStyle name="제목 3 18" xfId="8932"/>
    <cellStyle name="제목 3 18 2" xfId="8933"/>
    <cellStyle name="제목 3 18 3" xfId="8934"/>
    <cellStyle name="제목 3 19" xfId="8935"/>
    <cellStyle name="제목 3 19 2" xfId="8936"/>
    <cellStyle name="제목 3 19 3" xfId="8937"/>
    <cellStyle name="제목 3 2" xfId="8938"/>
    <cellStyle name="제목 3 2 10" xfId="8939"/>
    <cellStyle name="제목 3 2 11" xfId="8940"/>
    <cellStyle name="제목 3 2 12" xfId="8941"/>
    <cellStyle name="제목 3 2 13" xfId="8942"/>
    <cellStyle name="제목 3 2 14" xfId="8943"/>
    <cellStyle name="제목 3 2 15" xfId="8944"/>
    <cellStyle name="제목 3 2 16" xfId="8945"/>
    <cellStyle name="제목 3 2 17" xfId="8946"/>
    <cellStyle name="제목 3 2 18" xfId="8947"/>
    <cellStyle name="제목 3 2 19" xfId="8948"/>
    <cellStyle name="제목 3 2 2" xfId="8949"/>
    <cellStyle name="제목 3 2 20" xfId="8950"/>
    <cellStyle name="제목 3 2 21" xfId="8951"/>
    <cellStyle name="제목 3 2 22" xfId="8952"/>
    <cellStyle name="제목 3 2 23" xfId="8953"/>
    <cellStyle name="제목 3 2 24" xfId="8954"/>
    <cellStyle name="제목 3 2 25" xfId="8955"/>
    <cellStyle name="제목 3 2 26" xfId="8956"/>
    <cellStyle name="제목 3 2 27" xfId="8957"/>
    <cellStyle name="제목 3 2 28" xfId="8958"/>
    <cellStyle name="제목 3 2 29" xfId="8959"/>
    <cellStyle name="제목 3 2 3" xfId="8960"/>
    <cellStyle name="제목 3 2 30" xfId="8961"/>
    <cellStyle name="제목 3 2 31" xfId="8962"/>
    <cellStyle name="제목 3 2 32" xfId="8963"/>
    <cellStyle name="제목 3 2 33" xfId="8964"/>
    <cellStyle name="제목 3 2 34" xfId="8965"/>
    <cellStyle name="제목 3 2 35" xfId="8966"/>
    <cellStyle name="제목 3 2 36" xfId="8967"/>
    <cellStyle name="제목 3 2 37" xfId="8968"/>
    <cellStyle name="제목 3 2 38" xfId="8969"/>
    <cellStyle name="제목 3 2 39" xfId="8970"/>
    <cellStyle name="제목 3 2 4" xfId="8971"/>
    <cellStyle name="제목 3 2 5" xfId="8972"/>
    <cellStyle name="제목 3 2 6" xfId="8973"/>
    <cellStyle name="제목 3 2 7" xfId="8974"/>
    <cellStyle name="제목 3 2 8" xfId="8975"/>
    <cellStyle name="제목 3 2 9" xfId="8976"/>
    <cellStyle name="제목 3 20" xfId="8977"/>
    <cellStyle name="제목 3 21" xfId="8978"/>
    <cellStyle name="제목 3 22" xfId="8979"/>
    <cellStyle name="제목 3 23" xfId="8980"/>
    <cellStyle name="제목 3 24" xfId="8981"/>
    <cellStyle name="제목 3 25" xfId="8982"/>
    <cellStyle name="제목 3 26" xfId="8983"/>
    <cellStyle name="제목 3 27" xfId="8984"/>
    <cellStyle name="제목 3 27 2" xfId="8985"/>
    <cellStyle name="제목 3 28" xfId="8986"/>
    <cellStyle name="제목 3 29" xfId="8987"/>
    <cellStyle name="제목 3 3" xfId="8988"/>
    <cellStyle name="제목 3 3 2" xfId="8989"/>
    <cellStyle name="제목 3 3 3" xfId="8990"/>
    <cellStyle name="제목 3 3 4" xfId="8991"/>
    <cellStyle name="제목 3 30" xfId="8992"/>
    <cellStyle name="제목 3 31" xfId="8993"/>
    <cellStyle name="제목 3 32" xfId="8994"/>
    <cellStyle name="제목 3 33" xfId="8995"/>
    <cellStyle name="제목 3 34" xfId="8996"/>
    <cellStyle name="제목 3 35" xfId="8997"/>
    <cellStyle name="제목 3 36" xfId="8998"/>
    <cellStyle name="제목 3 37" xfId="8999"/>
    <cellStyle name="제목 3 37 2" xfId="9000"/>
    <cellStyle name="제목 3 38" xfId="9001"/>
    <cellStyle name="제목 3 39" xfId="9002"/>
    <cellStyle name="제목 3 4" xfId="9003"/>
    <cellStyle name="제목 3 4 2" xfId="9004"/>
    <cellStyle name="제목 3 4 3" xfId="9005"/>
    <cellStyle name="제목 3 4 4" xfId="9006"/>
    <cellStyle name="제목 3 40" xfId="9007"/>
    <cellStyle name="제목 3 41" xfId="9008"/>
    <cellStyle name="제목 3 42" xfId="9009"/>
    <cellStyle name="제목 3 43" xfId="9010"/>
    <cellStyle name="제목 3 44" xfId="9011"/>
    <cellStyle name="제목 3 45" xfId="9012"/>
    <cellStyle name="제목 3 45 2" xfId="9013"/>
    <cellStyle name="제목 3 45 3" xfId="9014"/>
    <cellStyle name="제목 3 46" xfId="9015"/>
    <cellStyle name="제목 3 47" xfId="9016"/>
    <cellStyle name="제목 3 48" xfId="9017"/>
    <cellStyle name="제목 3 49" xfId="9018"/>
    <cellStyle name="제목 3 5" xfId="9019"/>
    <cellStyle name="제목 3 5 2" xfId="9020"/>
    <cellStyle name="제목 3 5 3" xfId="9021"/>
    <cellStyle name="제목 3 5 4" xfId="9022"/>
    <cellStyle name="제목 3 50" xfId="9023"/>
    <cellStyle name="제목 3 51" xfId="9024"/>
    <cellStyle name="제목 3 52" xfId="9025"/>
    <cellStyle name="제목 3 53" xfId="9026"/>
    <cellStyle name="제목 3 54" xfId="9027"/>
    <cellStyle name="제목 3 55" xfId="9028"/>
    <cellStyle name="제목 3 6" xfId="9029"/>
    <cellStyle name="제목 3 6 2" xfId="9030"/>
    <cellStyle name="제목 3 6 3" xfId="9031"/>
    <cellStyle name="제목 3 6 4" xfId="9032"/>
    <cellStyle name="제목 3 7" xfId="9033"/>
    <cellStyle name="제목 3 7 2" xfId="9034"/>
    <cellStyle name="제목 3 7 3" xfId="9035"/>
    <cellStyle name="제목 3 7 4" xfId="9036"/>
    <cellStyle name="제목 3 8" xfId="9037"/>
    <cellStyle name="제목 3 9" xfId="9038"/>
    <cellStyle name="제목 30" xfId="9039"/>
    <cellStyle name="제목 30 2" xfId="9040"/>
    <cellStyle name="제목 31" xfId="9041"/>
    <cellStyle name="제목 32" xfId="9042"/>
    <cellStyle name="제목 33" xfId="9043"/>
    <cellStyle name="제목 34" xfId="9044"/>
    <cellStyle name="제목 35" xfId="9045"/>
    <cellStyle name="제목 36" xfId="9046"/>
    <cellStyle name="제목 37" xfId="9047"/>
    <cellStyle name="제목 38" xfId="9048"/>
    <cellStyle name="제목 39" xfId="9049"/>
    <cellStyle name="제목 4 10" xfId="9050"/>
    <cellStyle name="제목 4 11" xfId="9051"/>
    <cellStyle name="제목 4 12" xfId="9052"/>
    <cellStyle name="제목 4 13" xfId="9053"/>
    <cellStyle name="제목 4 14" xfId="9054"/>
    <cellStyle name="제목 4 14 2" xfId="9055"/>
    <cellStyle name="제목 4 14 3" xfId="9056"/>
    <cellStyle name="제목 4 15" xfId="9057"/>
    <cellStyle name="제목 4 15 2" xfId="9058"/>
    <cellStyle name="제목 4 15 3" xfId="9059"/>
    <cellStyle name="제목 4 16" xfId="9060"/>
    <cellStyle name="제목 4 16 2" xfId="9061"/>
    <cellStyle name="제목 4 16 3" xfId="9062"/>
    <cellStyle name="제목 4 17" xfId="9063"/>
    <cellStyle name="제목 4 17 2" xfId="9064"/>
    <cellStyle name="제목 4 17 3" xfId="9065"/>
    <cellStyle name="제목 4 18" xfId="9066"/>
    <cellStyle name="제목 4 18 2" xfId="9067"/>
    <cellStyle name="제목 4 18 3" xfId="9068"/>
    <cellStyle name="제목 4 19" xfId="9069"/>
    <cellStyle name="제목 4 19 2" xfId="9070"/>
    <cellStyle name="제목 4 19 3" xfId="9071"/>
    <cellStyle name="제목 4 2" xfId="9072"/>
    <cellStyle name="제목 4 2 10" xfId="9073"/>
    <cellStyle name="제목 4 2 11" xfId="9074"/>
    <cellStyle name="제목 4 2 12" xfId="9075"/>
    <cellStyle name="제목 4 2 13" xfId="9076"/>
    <cellStyle name="제목 4 2 14" xfId="9077"/>
    <cellStyle name="제목 4 2 15" xfId="9078"/>
    <cellStyle name="제목 4 2 16" xfId="9079"/>
    <cellStyle name="제목 4 2 17" xfId="9080"/>
    <cellStyle name="제목 4 2 18" xfId="9081"/>
    <cellStyle name="제목 4 2 19" xfId="9082"/>
    <cellStyle name="제목 4 2 2" xfId="9083"/>
    <cellStyle name="제목 4 2 20" xfId="9084"/>
    <cellStyle name="제목 4 2 21" xfId="9085"/>
    <cellStyle name="제목 4 2 22" xfId="9086"/>
    <cellStyle name="제목 4 2 23" xfId="9087"/>
    <cellStyle name="제목 4 2 24" xfId="9088"/>
    <cellStyle name="제목 4 2 25" xfId="9089"/>
    <cellStyle name="제목 4 2 26" xfId="9090"/>
    <cellStyle name="제목 4 2 27" xfId="9091"/>
    <cellStyle name="제목 4 2 28" xfId="9092"/>
    <cellStyle name="제목 4 2 29" xfId="9093"/>
    <cellStyle name="제목 4 2 3" xfId="9094"/>
    <cellStyle name="제목 4 2 30" xfId="9095"/>
    <cellStyle name="제목 4 2 31" xfId="9096"/>
    <cellStyle name="제목 4 2 32" xfId="9097"/>
    <cellStyle name="제목 4 2 33" xfId="9098"/>
    <cellStyle name="제목 4 2 34" xfId="9099"/>
    <cellStyle name="제목 4 2 35" xfId="9100"/>
    <cellStyle name="제목 4 2 36" xfId="9101"/>
    <cellStyle name="제목 4 2 37" xfId="9102"/>
    <cellStyle name="제목 4 2 38" xfId="9103"/>
    <cellStyle name="제목 4 2 39" xfId="9104"/>
    <cellStyle name="제목 4 2 4" xfId="9105"/>
    <cellStyle name="제목 4 2 5" xfId="9106"/>
    <cellStyle name="제목 4 2 6" xfId="9107"/>
    <cellStyle name="제목 4 2 7" xfId="9108"/>
    <cellStyle name="제목 4 2 8" xfId="9109"/>
    <cellStyle name="제목 4 2 9" xfId="9110"/>
    <cellStyle name="제목 4 20" xfId="9111"/>
    <cellStyle name="제목 4 21" xfId="9112"/>
    <cellStyle name="제목 4 22" xfId="9113"/>
    <cellStyle name="제목 4 23" xfId="9114"/>
    <cellStyle name="제목 4 24" xfId="9115"/>
    <cellStyle name="제목 4 25" xfId="9116"/>
    <cellStyle name="제목 4 26" xfId="9117"/>
    <cellStyle name="제목 4 27" xfId="9118"/>
    <cellStyle name="제목 4 27 2" xfId="9119"/>
    <cellStyle name="제목 4 28" xfId="9120"/>
    <cellStyle name="제목 4 29" xfId="9121"/>
    <cellStyle name="제목 4 3" xfId="9122"/>
    <cellStyle name="제목 4 3 2" xfId="9123"/>
    <cellStyle name="제목 4 3 3" xfId="9124"/>
    <cellStyle name="제목 4 3 4" xfId="9125"/>
    <cellStyle name="제목 4 30" xfId="9126"/>
    <cellStyle name="제목 4 31" xfId="9127"/>
    <cellStyle name="제목 4 32" xfId="9128"/>
    <cellStyle name="제목 4 33" xfId="9129"/>
    <cellStyle name="제목 4 34" xfId="9130"/>
    <cellStyle name="제목 4 35" xfId="9131"/>
    <cellStyle name="제목 4 36" xfId="9132"/>
    <cellStyle name="제목 4 37" xfId="9133"/>
    <cellStyle name="제목 4 37 2" xfId="9134"/>
    <cellStyle name="제목 4 38" xfId="9135"/>
    <cellStyle name="제목 4 39" xfId="9136"/>
    <cellStyle name="제목 4 4" xfId="9137"/>
    <cellStyle name="제목 4 4 2" xfId="9138"/>
    <cellStyle name="제목 4 4 3" xfId="9139"/>
    <cellStyle name="제목 4 4 4" xfId="9140"/>
    <cellStyle name="제목 4 40" xfId="9141"/>
    <cellStyle name="제목 4 41" xfId="9142"/>
    <cellStyle name="제목 4 42" xfId="9143"/>
    <cellStyle name="제목 4 43" xfId="9144"/>
    <cellStyle name="제목 4 44" xfId="9145"/>
    <cellStyle name="제목 4 45" xfId="9146"/>
    <cellStyle name="제목 4 45 2" xfId="9147"/>
    <cellStyle name="제목 4 45 3" xfId="9148"/>
    <cellStyle name="제목 4 46" xfId="9149"/>
    <cellStyle name="제목 4 47" xfId="9150"/>
    <cellStyle name="제목 4 48" xfId="9151"/>
    <cellStyle name="제목 4 49" xfId="9152"/>
    <cellStyle name="제목 4 5" xfId="9153"/>
    <cellStyle name="제목 4 5 2" xfId="9154"/>
    <cellStyle name="제목 4 5 3" xfId="9155"/>
    <cellStyle name="제목 4 5 4" xfId="9156"/>
    <cellStyle name="제목 4 50" xfId="9157"/>
    <cellStyle name="제목 4 51" xfId="9158"/>
    <cellStyle name="제목 4 52" xfId="9159"/>
    <cellStyle name="제목 4 53" xfId="9160"/>
    <cellStyle name="제목 4 54" xfId="9161"/>
    <cellStyle name="제목 4 55" xfId="9162"/>
    <cellStyle name="제목 4 6" xfId="9163"/>
    <cellStyle name="제목 4 6 2" xfId="9164"/>
    <cellStyle name="제목 4 6 3" xfId="9165"/>
    <cellStyle name="제목 4 6 4" xfId="9166"/>
    <cellStyle name="제목 4 7" xfId="9167"/>
    <cellStyle name="제목 4 7 2" xfId="9168"/>
    <cellStyle name="제목 4 7 3" xfId="9169"/>
    <cellStyle name="제목 4 7 4" xfId="9170"/>
    <cellStyle name="제목 4 8" xfId="9171"/>
    <cellStyle name="제목 4 9" xfId="9172"/>
    <cellStyle name="제목 40" xfId="9173"/>
    <cellStyle name="제목 40 2" xfId="9174"/>
    <cellStyle name="제목 41" xfId="9175"/>
    <cellStyle name="제목 42" xfId="9176"/>
    <cellStyle name="제목 43" xfId="9177"/>
    <cellStyle name="제목 44" xfId="9178"/>
    <cellStyle name="제목 45" xfId="9179"/>
    <cellStyle name="제목 46" xfId="9180"/>
    <cellStyle name="제목 47" xfId="9181"/>
    <cellStyle name="제목 48" xfId="9182"/>
    <cellStyle name="제목 48 2" xfId="9183"/>
    <cellStyle name="제목 48 3" xfId="9184"/>
    <cellStyle name="제목 49" xfId="9185"/>
    <cellStyle name="제목 5" xfId="9186"/>
    <cellStyle name="제목 5 10" xfId="9187"/>
    <cellStyle name="제목 5 11" xfId="9188"/>
    <cellStyle name="제목 5 12" xfId="9189"/>
    <cellStyle name="제목 5 13" xfId="9190"/>
    <cellStyle name="제목 5 14" xfId="9191"/>
    <cellStyle name="제목 5 15" xfId="9192"/>
    <cellStyle name="제목 5 16" xfId="9193"/>
    <cellStyle name="제목 5 17" xfId="9194"/>
    <cellStyle name="제목 5 18" xfId="9195"/>
    <cellStyle name="제목 5 19" xfId="9196"/>
    <cellStyle name="제목 5 2" xfId="9197"/>
    <cellStyle name="제목 5 20" xfId="9198"/>
    <cellStyle name="제목 5 21" xfId="9199"/>
    <cellStyle name="제목 5 22" xfId="9200"/>
    <cellStyle name="제목 5 23" xfId="9201"/>
    <cellStyle name="제목 5 24" xfId="9202"/>
    <cellStyle name="제목 5 25" xfId="9203"/>
    <cellStyle name="제목 5 26" xfId="9204"/>
    <cellStyle name="제목 5 27" xfId="9205"/>
    <cellStyle name="제목 5 28" xfId="9206"/>
    <cellStyle name="제목 5 29" xfId="9207"/>
    <cellStyle name="제목 5 3" xfId="9208"/>
    <cellStyle name="제목 5 30" xfId="9209"/>
    <cellStyle name="제목 5 31" xfId="9210"/>
    <cellStyle name="제목 5 32" xfId="9211"/>
    <cellStyle name="제목 5 33" xfId="9212"/>
    <cellStyle name="제목 5 34" xfId="9213"/>
    <cellStyle name="제목 5 35" xfId="9214"/>
    <cellStyle name="제목 5 36" xfId="9215"/>
    <cellStyle name="제목 5 37" xfId="9216"/>
    <cellStyle name="제목 5 38" xfId="9217"/>
    <cellStyle name="제목 5 39" xfId="9218"/>
    <cellStyle name="제목 5 4" xfId="9219"/>
    <cellStyle name="제목 5 5" xfId="9220"/>
    <cellStyle name="제목 5 6" xfId="9221"/>
    <cellStyle name="제목 5 7" xfId="9222"/>
    <cellStyle name="제목 5 8" xfId="9223"/>
    <cellStyle name="제목 5 9" xfId="9224"/>
    <cellStyle name="제목 50" xfId="9225"/>
    <cellStyle name="제목 51" xfId="9226"/>
    <cellStyle name="제목 52" xfId="9227"/>
    <cellStyle name="제목 53" xfId="9228"/>
    <cellStyle name="제목 54" xfId="9229"/>
    <cellStyle name="제목 55" xfId="9230"/>
    <cellStyle name="제목 56" xfId="9231"/>
    <cellStyle name="제목 57" xfId="9232"/>
    <cellStyle name="제목 58" xfId="9233"/>
    <cellStyle name="제목 6" xfId="9234"/>
    <cellStyle name="제목 6 2" xfId="9235"/>
    <cellStyle name="제목 6 3" xfId="9236"/>
    <cellStyle name="제목 6 4" xfId="9237"/>
    <cellStyle name="제목 7" xfId="9238"/>
    <cellStyle name="제목 7 2" xfId="9239"/>
    <cellStyle name="제목 7 3" xfId="9240"/>
    <cellStyle name="제목 7 4" xfId="9241"/>
    <cellStyle name="제목 8" xfId="9242"/>
    <cellStyle name="제목 8 2" xfId="9243"/>
    <cellStyle name="제목 8 3" xfId="9244"/>
    <cellStyle name="제목 8 4" xfId="9245"/>
    <cellStyle name="제목 9" xfId="9246"/>
    <cellStyle name="제목 9 2" xfId="9247"/>
    <cellStyle name="제목 9 3" xfId="9248"/>
    <cellStyle name="제목 9 4" xfId="9249"/>
    <cellStyle name="제목1" xfId="9250"/>
    <cellStyle name="제목2" xfId="9251"/>
    <cellStyle name="제조번호" xfId="9252"/>
    <cellStyle name="晀화_양식2_계획대비" xfId="9253"/>
    <cellStyle name="좋은양식" xfId="9254"/>
    <cellStyle name="좋음 10" xfId="9255"/>
    <cellStyle name="좋음 11" xfId="9256"/>
    <cellStyle name="좋음 12" xfId="9257"/>
    <cellStyle name="좋음 13" xfId="9258"/>
    <cellStyle name="좋음 14" xfId="9259"/>
    <cellStyle name="좋음 14 2" xfId="9260"/>
    <cellStyle name="좋음 14 3" xfId="9261"/>
    <cellStyle name="좋음 15" xfId="9262"/>
    <cellStyle name="좋음 15 2" xfId="9263"/>
    <cellStyle name="좋음 15 3" xfId="9264"/>
    <cellStyle name="좋음 16" xfId="9265"/>
    <cellStyle name="좋음 16 2" xfId="9266"/>
    <cellStyle name="좋음 16 3" xfId="9267"/>
    <cellStyle name="좋음 17" xfId="9268"/>
    <cellStyle name="좋음 17 2" xfId="9269"/>
    <cellStyle name="좋음 17 3" xfId="9270"/>
    <cellStyle name="좋음 18" xfId="9271"/>
    <cellStyle name="좋음 18 2" xfId="9272"/>
    <cellStyle name="좋음 18 3" xfId="9273"/>
    <cellStyle name="좋음 19" xfId="9274"/>
    <cellStyle name="좋음 19 2" xfId="9275"/>
    <cellStyle name="좋음 19 3" xfId="9276"/>
    <cellStyle name="좋음 2" xfId="9277"/>
    <cellStyle name="좋음 2 10" xfId="9278"/>
    <cellStyle name="좋음 2 11" xfId="9279"/>
    <cellStyle name="좋음 2 12" xfId="9280"/>
    <cellStyle name="좋음 2 13" xfId="9281"/>
    <cellStyle name="좋음 2 14" xfId="9282"/>
    <cellStyle name="좋음 2 15" xfId="9283"/>
    <cellStyle name="좋음 2 16" xfId="9284"/>
    <cellStyle name="좋음 2 17" xfId="9285"/>
    <cellStyle name="좋음 2 18" xfId="9286"/>
    <cellStyle name="좋음 2 19" xfId="9287"/>
    <cellStyle name="좋음 2 2" xfId="9288"/>
    <cellStyle name="좋음 2 20" xfId="9289"/>
    <cellStyle name="좋음 2 21" xfId="9290"/>
    <cellStyle name="좋음 2 22" xfId="9291"/>
    <cellStyle name="좋음 2 23" xfId="9292"/>
    <cellStyle name="좋음 2 24" xfId="9293"/>
    <cellStyle name="좋음 2 25" xfId="9294"/>
    <cellStyle name="좋음 2 26" xfId="9295"/>
    <cellStyle name="좋음 2 27" xfId="9296"/>
    <cellStyle name="좋음 2 28" xfId="9297"/>
    <cellStyle name="좋음 2 29" xfId="9298"/>
    <cellStyle name="좋음 2 3" xfId="9299"/>
    <cellStyle name="좋음 2 30" xfId="9300"/>
    <cellStyle name="좋음 2 31" xfId="9301"/>
    <cellStyle name="좋음 2 32" xfId="9302"/>
    <cellStyle name="좋음 2 33" xfId="9303"/>
    <cellStyle name="좋음 2 34" xfId="9304"/>
    <cellStyle name="좋음 2 35" xfId="9305"/>
    <cellStyle name="좋음 2 36" xfId="9306"/>
    <cellStyle name="좋음 2 37" xfId="9307"/>
    <cellStyle name="좋음 2 38" xfId="9308"/>
    <cellStyle name="좋음 2 39" xfId="9309"/>
    <cellStyle name="좋음 2 4" xfId="9310"/>
    <cellStyle name="좋음 2 5" xfId="9311"/>
    <cellStyle name="좋음 2 6" xfId="9312"/>
    <cellStyle name="좋음 2 7" xfId="9313"/>
    <cellStyle name="좋음 2 8" xfId="9314"/>
    <cellStyle name="좋음 2 9" xfId="9315"/>
    <cellStyle name="좋음 20" xfId="9316"/>
    <cellStyle name="좋음 21" xfId="9317"/>
    <cellStyle name="좋음 22" xfId="9318"/>
    <cellStyle name="좋음 23" xfId="9319"/>
    <cellStyle name="좋음 24" xfId="9320"/>
    <cellStyle name="좋음 25" xfId="9321"/>
    <cellStyle name="좋음 26" xfId="9322"/>
    <cellStyle name="좋음 27" xfId="9323"/>
    <cellStyle name="좋음 27 2" xfId="9324"/>
    <cellStyle name="좋음 28" xfId="9325"/>
    <cellStyle name="좋음 29" xfId="9326"/>
    <cellStyle name="좋음 3" xfId="9327"/>
    <cellStyle name="좋음 3 2" xfId="9328"/>
    <cellStyle name="좋음 3 3" xfId="9329"/>
    <cellStyle name="좋음 3 4" xfId="9330"/>
    <cellStyle name="좋음 30" xfId="9331"/>
    <cellStyle name="좋음 31" xfId="9332"/>
    <cellStyle name="좋음 32" xfId="9333"/>
    <cellStyle name="좋음 33" xfId="9334"/>
    <cellStyle name="좋음 34" xfId="9335"/>
    <cellStyle name="좋음 35" xfId="9336"/>
    <cellStyle name="좋음 36" xfId="9337"/>
    <cellStyle name="좋음 37" xfId="9338"/>
    <cellStyle name="좋음 37 2" xfId="9339"/>
    <cellStyle name="좋음 38" xfId="9340"/>
    <cellStyle name="좋음 39" xfId="9341"/>
    <cellStyle name="좋음 4" xfId="9342"/>
    <cellStyle name="좋음 4 2" xfId="9343"/>
    <cellStyle name="좋음 4 3" xfId="9344"/>
    <cellStyle name="좋음 4 4" xfId="9345"/>
    <cellStyle name="좋음 40" xfId="9346"/>
    <cellStyle name="좋음 41" xfId="9347"/>
    <cellStyle name="좋음 42" xfId="9348"/>
    <cellStyle name="좋음 43" xfId="9349"/>
    <cellStyle name="좋음 44" xfId="9350"/>
    <cellStyle name="좋음 45" xfId="9351"/>
    <cellStyle name="좋음 45 2" xfId="9352"/>
    <cellStyle name="좋음 45 3" xfId="9353"/>
    <cellStyle name="좋음 46" xfId="9354"/>
    <cellStyle name="좋음 47" xfId="9355"/>
    <cellStyle name="좋음 48" xfId="9356"/>
    <cellStyle name="좋음 49" xfId="9357"/>
    <cellStyle name="좋음 5" xfId="9358"/>
    <cellStyle name="좋음 5 2" xfId="9359"/>
    <cellStyle name="좋음 5 3" xfId="9360"/>
    <cellStyle name="좋음 5 4" xfId="9361"/>
    <cellStyle name="좋음 50" xfId="9362"/>
    <cellStyle name="좋음 51" xfId="9363"/>
    <cellStyle name="좋음 52" xfId="9364"/>
    <cellStyle name="좋음 53" xfId="9365"/>
    <cellStyle name="좋음 54" xfId="9366"/>
    <cellStyle name="좋음 55" xfId="9367"/>
    <cellStyle name="좋음 6" xfId="9368"/>
    <cellStyle name="좋음 6 2" xfId="9369"/>
    <cellStyle name="좋음 6 3" xfId="9370"/>
    <cellStyle name="좋음 6 4" xfId="9371"/>
    <cellStyle name="좋음 7" xfId="9372"/>
    <cellStyle name="좋음 7 2" xfId="9373"/>
    <cellStyle name="좋음 7 3" xfId="9374"/>
    <cellStyle name="좋음 7 4" xfId="9375"/>
    <cellStyle name="좋음 8" xfId="9376"/>
    <cellStyle name="좋음 9" xfId="9377"/>
    <cellStyle name="준_회의소집 (3)산)(2)(2)용 (2) (2)TS_선수금 (2)_선수금 (2)∢≜尢∢≜尢∢≜尢∢≜尢∢≜尢∢≜尢∢≜尢∢≜⑜Ⱓ⌣㬰剛摥≝≜尢∢≜尢∢≜尢∢≜尢∢≜尢∢≜尢∢≜尢∢≜尢∢≜尢∢≜尢∢≜尢∢≜尢∢≜尢∢≜尢∢≜尢∢≜尢∢≜渀置ᄰ" xfId="9378"/>
    <cellStyle name="줅" xfId="9379"/>
    <cellStyle name="즓㉤㿙㑩贚ꍆ㿡㑩贚ꍆ㿑" xfId="9380"/>
    <cellStyle name="증감" xfId="9381"/>
    <cellStyle name="지정되지 않음" xfId="9382"/>
    <cellStyle name="쨊ㅐ쫨E0]_0899intecosch" xfId="9383"/>
    <cellStyle name="쨊ㅐ쫨E0899intecosch" xfId="9384"/>
    <cellStyle name="쨊ㅐ쫨E0899M1RP" xfId="9385"/>
    <cellStyle name="쨊ㅐ쫨E1999Year End Provision" xfId="9386"/>
    <cellStyle name="쬘" xfId="9387"/>
    <cellStyle name="钎霖_  辆  钦  " xfId="9388"/>
    <cellStyle name="千分位[0]_COMM" xfId="9389"/>
    <cellStyle name="千分位_COMM" xfId="9390"/>
    <cellStyle name="千位分隔[0]_investee status_alibaba" xfId="9391"/>
    <cellStyle name="千位分隔_PERSONAL" xfId="9392"/>
    <cellStyle name="쵭" xfId="9393"/>
    <cellStyle name="출력 10" xfId="9394"/>
    <cellStyle name="출력 11" xfId="9395"/>
    <cellStyle name="출력 12" xfId="9396"/>
    <cellStyle name="출력 13" xfId="9397"/>
    <cellStyle name="출력 14" xfId="9398"/>
    <cellStyle name="출력 14 2" xfId="9399"/>
    <cellStyle name="출력 14 3" xfId="9400"/>
    <cellStyle name="출력 15" xfId="9401"/>
    <cellStyle name="출력 15 2" xfId="9402"/>
    <cellStyle name="출력 15 3" xfId="9403"/>
    <cellStyle name="출력 16" xfId="9404"/>
    <cellStyle name="출력 16 2" xfId="9405"/>
    <cellStyle name="출력 16 3" xfId="9406"/>
    <cellStyle name="출력 17" xfId="9407"/>
    <cellStyle name="출력 17 2" xfId="9408"/>
    <cellStyle name="출력 17 3" xfId="9409"/>
    <cellStyle name="출력 18" xfId="9410"/>
    <cellStyle name="출력 18 2" xfId="9411"/>
    <cellStyle name="출력 18 3" xfId="9412"/>
    <cellStyle name="출력 19" xfId="9413"/>
    <cellStyle name="출력 19 2" xfId="9414"/>
    <cellStyle name="출력 19 3" xfId="9415"/>
    <cellStyle name="출력 2" xfId="9416"/>
    <cellStyle name="출력 2 10" xfId="9417"/>
    <cellStyle name="출력 2 11" xfId="9418"/>
    <cellStyle name="출력 2 12" xfId="9419"/>
    <cellStyle name="출력 2 13" xfId="9420"/>
    <cellStyle name="출력 2 14" xfId="9421"/>
    <cellStyle name="출력 2 15" xfId="9422"/>
    <cellStyle name="출력 2 16" xfId="9423"/>
    <cellStyle name="출력 2 17" xfId="9424"/>
    <cellStyle name="출력 2 18" xfId="9425"/>
    <cellStyle name="출력 2 19" xfId="9426"/>
    <cellStyle name="출력 2 2" xfId="9427"/>
    <cellStyle name="출력 2 20" xfId="9428"/>
    <cellStyle name="출력 2 21" xfId="9429"/>
    <cellStyle name="출력 2 22" xfId="9430"/>
    <cellStyle name="출력 2 23" xfId="9431"/>
    <cellStyle name="출력 2 24" xfId="9432"/>
    <cellStyle name="출력 2 25" xfId="9433"/>
    <cellStyle name="출력 2 26" xfId="9434"/>
    <cellStyle name="출력 2 27" xfId="9435"/>
    <cellStyle name="출력 2 28" xfId="9436"/>
    <cellStyle name="출력 2 29" xfId="9437"/>
    <cellStyle name="출력 2 3" xfId="9438"/>
    <cellStyle name="출력 2 30" xfId="9439"/>
    <cellStyle name="출력 2 31" xfId="9440"/>
    <cellStyle name="출력 2 32" xfId="9441"/>
    <cellStyle name="출력 2 33" xfId="9442"/>
    <cellStyle name="출력 2 34" xfId="9443"/>
    <cellStyle name="출력 2 35" xfId="9444"/>
    <cellStyle name="출력 2 36" xfId="9445"/>
    <cellStyle name="출력 2 37" xfId="9446"/>
    <cellStyle name="출력 2 38" xfId="9447"/>
    <cellStyle name="출력 2 39" xfId="9448"/>
    <cellStyle name="출력 2 4" xfId="9449"/>
    <cellStyle name="출력 2 5" xfId="9450"/>
    <cellStyle name="출력 2 6" xfId="9451"/>
    <cellStyle name="출력 2 7" xfId="9452"/>
    <cellStyle name="출력 2 8" xfId="9453"/>
    <cellStyle name="출력 2 9" xfId="9454"/>
    <cellStyle name="출력 20" xfId="9455"/>
    <cellStyle name="출력 21" xfId="9456"/>
    <cellStyle name="출력 22" xfId="9457"/>
    <cellStyle name="출력 23" xfId="9458"/>
    <cellStyle name="출력 24" xfId="9459"/>
    <cellStyle name="출력 25" xfId="9460"/>
    <cellStyle name="출력 26" xfId="9461"/>
    <cellStyle name="출력 27" xfId="9462"/>
    <cellStyle name="출력 27 2" xfId="9463"/>
    <cellStyle name="출력 28" xfId="9464"/>
    <cellStyle name="출력 29" xfId="9465"/>
    <cellStyle name="출력 3" xfId="9466"/>
    <cellStyle name="출력 3 2" xfId="9467"/>
    <cellStyle name="출력 3 3" xfId="9468"/>
    <cellStyle name="출력 3 4" xfId="9469"/>
    <cellStyle name="출력 30" xfId="9470"/>
    <cellStyle name="출력 31" xfId="9471"/>
    <cellStyle name="출력 32" xfId="9472"/>
    <cellStyle name="출력 33" xfId="9473"/>
    <cellStyle name="출력 34" xfId="9474"/>
    <cellStyle name="출력 35" xfId="9475"/>
    <cellStyle name="출력 36" xfId="9476"/>
    <cellStyle name="출력 37" xfId="9477"/>
    <cellStyle name="출력 37 2" xfId="9478"/>
    <cellStyle name="출력 38" xfId="9479"/>
    <cellStyle name="출력 39" xfId="9480"/>
    <cellStyle name="출력 4" xfId="9481"/>
    <cellStyle name="출력 4 2" xfId="9482"/>
    <cellStyle name="출력 4 3" xfId="9483"/>
    <cellStyle name="출력 4 4" xfId="9484"/>
    <cellStyle name="출력 40" xfId="9485"/>
    <cellStyle name="출력 41" xfId="9486"/>
    <cellStyle name="출력 42" xfId="9487"/>
    <cellStyle name="출력 43" xfId="9488"/>
    <cellStyle name="출력 44" xfId="9489"/>
    <cellStyle name="출력 45" xfId="9490"/>
    <cellStyle name="출력 45 2" xfId="9491"/>
    <cellStyle name="출력 45 3" xfId="9492"/>
    <cellStyle name="출력 46" xfId="9493"/>
    <cellStyle name="출력 47" xfId="9494"/>
    <cellStyle name="출력 48" xfId="9495"/>
    <cellStyle name="출력 49" xfId="9496"/>
    <cellStyle name="출력 5" xfId="9497"/>
    <cellStyle name="출력 5 2" xfId="9498"/>
    <cellStyle name="출력 5 3" xfId="9499"/>
    <cellStyle name="출력 5 4" xfId="9500"/>
    <cellStyle name="출력 50" xfId="9501"/>
    <cellStyle name="출력 51" xfId="9502"/>
    <cellStyle name="출력 52" xfId="9503"/>
    <cellStyle name="출력 53" xfId="9504"/>
    <cellStyle name="출력 54" xfId="9505"/>
    <cellStyle name="출력 55" xfId="9506"/>
    <cellStyle name="출력 6" xfId="9507"/>
    <cellStyle name="출력 6 2" xfId="9508"/>
    <cellStyle name="출력 6 3" xfId="9509"/>
    <cellStyle name="출력 6 4" xfId="9510"/>
    <cellStyle name="출력 7" xfId="9511"/>
    <cellStyle name="출력 7 2" xfId="9512"/>
    <cellStyle name="출력 7 3" xfId="9513"/>
    <cellStyle name="출력 7 4" xfId="9514"/>
    <cellStyle name="출력 8" xfId="9515"/>
    <cellStyle name="출력 9" xfId="9516"/>
    <cellStyle name="캅셀" xfId="9517"/>
    <cellStyle name="코" xfId="9518"/>
    <cellStyle name="콤? [0]" xfId="9519"/>
    <cellStyle name="콤? [0] 2" xfId="9520"/>
    <cellStyle name="콤냡?&lt;_x000f_$??: `1_1 " xfId="9521"/>
    <cellStyle name="콤냡?&lt;_x000f_$??:_x0009_`1_1" xfId="9522"/>
    <cellStyle name="콤릈_laroux_2" xfId="9523"/>
    <cellStyle name="콤마 [0?업전 (2)2) (수)???????L낺" xfId="9524"/>
    <cellStyle name="콤마 [0]" xfId="9525"/>
    <cellStyle name="콤마 [0]laroux_1" xfId="9526"/>
    <cellStyle name="콤마 [0]-총계" xfId="9527"/>
    <cellStyle name="콤마 [0]-합계" xfId="9528"/>
    <cellStyle name="콤마 [0]-합계2" xfId="9529"/>
    <cellStyle name="콤마 [2" xfId="9530"/>
    <cellStyle name="콤마 [2]" xfId="9531"/>
    <cellStyle name="콤마,_x0005__x0014_" xfId="9532"/>
    <cellStyle name="콤마[0]" xfId="9533"/>
    <cellStyle name="콤마_   " xfId="9534"/>
    <cellStyle name="콤마쇔[0]_대총괄표 " xfId="9535"/>
    <cellStyle name="쿯뱐[0]_pldt" xfId="9536"/>
    <cellStyle name="쿯뱐_0899intecosch" xfId="9537"/>
    <cellStyle name="쿯퉩E[0]_0899intecosch" xfId="9538"/>
    <cellStyle name="큰글자" xfId="9539"/>
    <cellStyle name="턜퀂뎡" xfId="9540"/>
    <cellStyle name="테두리(실선)" xfId="9541"/>
    <cellStyle name="통_회사개요" xfId="9542"/>
    <cellStyle name="통화 " xfId="9543"/>
    <cellStyle name="통화 ?]_제조1부1과 현황 " xfId="9544"/>
    <cellStyle name="通貨 [0.00]_LCNEGO" xfId="9545"/>
    <cellStyle name="통화 [0] 2" xfId="9546"/>
    <cellStyle name="통화 [0ɝ_laroux_성일개발(주)현금흐름표" xfId="9547"/>
    <cellStyle name="통화 [0ဠ_Model mix1_원가 " xfId="9548"/>
    <cellStyle name="통화 [1]" xfId="9549"/>
    <cellStyle name="通貨_LCNEGO" xfId="9550"/>
    <cellStyle name="튡" xfId="9551"/>
    <cellStyle name="트럭" xfId="9552"/>
    <cellStyle name="ㅍ준" xfId="9553"/>
    <cellStyle name="烹拳 [0]_  辆  钦  " xfId="9554"/>
    <cellStyle name="烹拳_  辆  钦  " xfId="9555"/>
    <cellStyle name="퍼센트" xfId="9556"/>
    <cellStyle name="퍼센트 2" xfId="9557"/>
    <cellStyle name="표구분" xfId="9558"/>
    <cellStyle name="表示済みのハイパーリンク" xfId="9559"/>
    <cellStyle name="표준" xfId="0" builtinId="0"/>
    <cellStyle name="표준 10" xfId="21"/>
    <cellStyle name="표준 10 2" xfId="78"/>
    <cellStyle name="표준 10 2 2" xfId="9561"/>
    <cellStyle name="표준 10 3" xfId="129"/>
    <cellStyle name="표준 10 3 2" xfId="9562"/>
    <cellStyle name="표준 10 4" xfId="9560"/>
    <cellStyle name="표준 11" xfId="22"/>
    <cellStyle name="표준 11 2" xfId="79"/>
    <cellStyle name="표준 11 2 2" xfId="9564"/>
    <cellStyle name="표준 11 3" xfId="130"/>
    <cellStyle name="표준 11 4" xfId="9563"/>
    <cellStyle name="표준 12" xfId="23"/>
    <cellStyle name="표준 12 2" xfId="80"/>
    <cellStyle name="표준 12 2 2" xfId="9566"/>
    <cellStyle name="표준 12 3" xfId="131"/>
    <cellStyle name="표준 12 4" xfId="9565"/>
    <cellStyle name="표준 13" xfId="24"/>
    <cellStyle name="표준 13 2" xfId="81"/>
    <cellStyle name="표준 13 2 2" xfId="9568"/>
    <cellStyle name="표준 13 3" xfId="132"/>
    <cellStyle name="표준 13 4" xfId="9567"/>
    <cellStyle name="표준 14" xfId="25"/>
    <cellStyle name="표준 14 2" xfId="82"/>
    <cellStyle name="표준 14 2 2" xfId="9570"/>
    <cellStyle name="표준 14 3" xfId="133"/>
    <cellStyle name="표준 14 3 2" xfId="9571"/>
    <cellStyle name="표준 14 4" xfId="9569"/>
    <cellStyle name="표준 15" xfId="26"/>
    <cellStyle name="표준 15 2" xfId="83"/>
    <cellStyle name="표준 15 2 2" xfId="9573"/>
    <cellStyle name="표준 15 3" xfId="134"/>
    <cellStyle name="표준 15 3 2" xfId="9574"/>
    <cellStyle name="표준 15 4" xfId="9575"/>
    <cellStyle name="표준 15 5" xfId="9576"/>
    <cellStyle name="표준 15 6" xfId="9572"/>
    <cellStyle name="표준 16" xfId="27"/>
    <cellStyle name="표준 16 2" xfId="84"/>
    <cellStyle name="표준 16 2 2" xfId="9578"/>
    <cellStyle name="표준 16 3" xfId="135"/>
    <cellStyle name="표준 16 3 2" xfId="9579"/>
    <cellStyle name="표준 16 4" xfId="9577"/>
    <cellStyle name="표준 17" xfId="28"/>
    <cellStyle name="표준 17 2" xfId="85"/>
    <cellStyle name="표준 17 2 2" xfId="9581"/>
    <cellStyle name="표준 17 3" xfId="136"/>
    <cellStyle name="표준 17 3 2" xfId="9582"/>
    <cellStyle name="표준 17 4" xfId="9583"/>
    <cellStyle name="표준 17 4 2" xfId="9584"/>
    <cellStyle name="표준 17 4 3" xfId="9585"/>
    <cellStyle name="표준 17 5" xfId="9586"/>
    <cellStyle name="표준 17 6" xfId="9587"/>
    <cellStyle name="표준 17 6 2" xfId="10045"/>
    <cellStyle name="표준 17 7" xfId="9580"/>
    <cellStyle name="표준 18" xfId="29"/>
    <cellStyle name="표준 18 2" xfId="86"/>
    <cellStyle name="표준 18 2 2" xfId="9589"/>
    <cellStyle name="표준 18 3" xfId="137"/>
    <cellStyle name="표준 18 4" xfId="9588"/>
    <cellStyle name="표준 19" xfId="30"/>
    <cellStyle name="표준 19 2" xfId="87"/>
    <cellStyle name="표준 19 2 2" xfId="9591"/>
    <cellStyle name="표준 19 3" xfId="138"/>
    <cellStyle name="표준 19 3 2" xfId="9592"/>
    <cellStyle name="표준 19 3 3" xfId="10059"/>
    <cellStyle name="표준 19 4" xfId="9590"/>
    <cellStyle name="표준 2" xfId="5"/>
    <cellStyle name="標準 2" xfId="10048"/>
    <cellStyle name="표준 2 10" xfId="9594"/>
    <cellStyle name="표준 2 10 2" xfId="9595"/>
    <cellStyle name="표준 2 10 3" xfId="10038"/>
    <cellStyle name="표준 2 100" xfId="116"/>
    <cellStyle name="표준 2 11" xfId="9596"/>
    <cellStyle name="표준 2 11 2" xfId="9597"/>
    <cellStyle name="표준 2 11 3" xfId="9598"/>
    <cellStyle name="표준 2 11 4" xfId="9599"/>
    <cellStyle name="표준 2 11 5" xfId="9600"/>
    <cellStyle name="표준 2 11 6" xfId="9601"/>
    <cellStyle name="표준 2 11 7" xfId="9602"/>
    <cellStyle name="표준 2 12" xfId="9603"/>
    <cellStyle name="표준 2 13" xfId="9604"/>
    <cellStyle name="표준 2 13 2" xfId="9605"/>
    <cellStyle name="표준 2 14" xfId="9606"/>
    <cellStyle name="표준 2 14 2" xfId="9607"/>
    <cellStyle name="표준 2 15" xfId="9608"/>
    <cellStyle name="표준 2 15 2" xfId="9609"/>
    <cellStyle name="표준 2 16" xfId="9610"/>
    <cellStyle name="표준 2 16 2" xfId="9611"/>
    <cellStyle name="표준 2 17" xfId="9612"/>
    <cellStyle name="표준 2 17 2" xfId="9613"/>
    <cellStyle name="표준 2 18" xfId="9614"/>
    <cellStyle name="표준 2 18 2" xfId="9615"/>
    <cellStyle name="표준 2 18 3" xfId="10043"/>
    <cellStyle name="표준 2 19" xfId="9616"/>
    <cellStyle name="표준 2 19 2" xfId="9617"/>
    <cellStyle name="표준 2 2" xfId="11"/>
    <cellStyle name="표준 2 2 10" xfId="9619"/>
    <cellStyle name="표준 2 2 11" xfId="9620"/>
    <cellStyle name="표준 2 2 11 2" xfId="9621"/>
    <cellStyle name="표준 2 2 12" xfId="9622"/>
    <cellStyle name="표준 2 2 13" xfId="9623"/>
    <cellStyle name="표준 2 2 14" xfId="9624"/>
    <cellStyle name="표준 2 2 15" xfId="9625"/>
    <cellStyle name="표준 2 2 16" xfId="9626"/>
    <cellStyle name="표준 2 2 17" xfId="9627"/>
    <cellStyle name="표준 2 2 18" xfId="9628"/>
    <cellStyle name="표준 2 2 18 2" xfId="9629"/>
    <cellStyle name="표준 2 2 19" xfId="9630"/>
    <cellStyle name="표준 2 2 2" xfId="9631"/>
    <cellStyle name="표준 2 2 2 10" xfId="9632"/>
    <cellStyle name="표준 2 2 2 11" xfId="9633"/>
    <cellStyle name="표준 2 2 2 11 2" xfId="9634"/>
    <cellStyle name="표준 2 2 2 12" xfId="9635"/>
    <cellStyle name="표준 2 2 2 13" xfId="9636"/>
    <cellStyle name="표준 2 2 2 14" xfId="9637"/>
    <cellStyle name="표준 2 2 2 15" xfId="9638"/>
    <cellStyle name="표준 2 2 2 16" xfId="9639"/>
    <cellStyle name="표준 2 2 2 17" xfId="9640"/>
    <cellStyle name="표준 2 2 2 18" xfId="9641"/>
    <cellStyle name="표준 2 2 2 18 2" xfId="9642"/>
    <cellStyle name="표준 2 2 2 19" xfId="9643"/>
    <cellStyle name="표준 2 2 2 2" xfId="9644"/>
    <cellStyle name="표준 2 2 2 2 10" xfId="9645"/>
    <cellStyle name="표준 2 2 2 2 10 2" xfId="9646"/>
    <cellStyle name="표준 2 2 2 2 11" xfId="9647"/>
    <cellStyle name="표준 2 2 2 2 12" xfId="9648"/>
    <cellStyle name="표준 2 2 2 2 13" xfId="9649"/>
    <cellStyle name="표준 2 2 2 2 14" xfId="9650"/>
    <cellStyle name="표준 2 2 2 2 15" xfId="9651"/>
    <cellStyle name="표준 2 2 2 2 16" xfId="9652"/>
    <cellStyle name="표준 2 2 2 2 17" xfId="9653"/>
    <cellStyle name="표준 2 2 2 2 17 2" xfId="9654"/>
    <cellStyle name="표준 2 2 2 2 17 3" xfId="9655"/>
    <cellStyle name="표준 2 2 2 2 18" xfId="9656"/>
    <cellStyle name="표준 2 2 2 2 19" xfId="9657"/>
    <cellStyle name="표준 2 2 2 2 2" xfId="9658"/>
    <cellStyle name="표준 2 2 2 2 2 10" xfId="9659"/>
    <cellStyle name="표준 2 2 2 2 2 10 2" xfId="9660"/>
    <cellStyle name="표준 2 2 2 2 2 11" xfId="9661"/>
    <cellStyle name="표준 2 2 2 2 2 12" xfId="9662"/>
    <cellStyle name="표준 2 2 2 2 2 13" xfId="9663"/>
    <cellStyle name="표준 2 2 2 2 2 14" xfId="9664"/>
    <cellStyle name="표준 2 2 2 2 2 15" xfId="9665"/>
    <cellStyle name="표준 2 2 2 2 2 16" xfId="9666"/>
    <cellStyle name="표준 2 2 2 2 2 17" xfId="9667"/>
    <cellStyle name="표준 2 2 2 2 2 17 2" xfId="9668"/>
    <cellStyle name="표준 2 2 2 2 2 17 3" xfId="9669"/>
    <cellStyle name="표준 2 2 2 2 2 18" xfId="9670"/>
    <cellStyle name="표준 2 2 2 2 2 19" xfId="9671"/>
    <cellStyle name="표준 2 2 2 2 2 2" xfId="9672"/>
    <cellStyle name="표준 2 2 2 2 2 2 10" xfId="9673"/>
    <cellStyle name="표준 2 2 2 2 2 2 10 2" xfId="9674"/>
    <cellStyle name="표준 2 2 2 2 2 2 10 3" xfId="9675"/>
    <cellStyle name="표준 2 2 2 2 2 2 11" xfId="9676"/>
    <cellStyle name="표준 2 2 2 2 2 2 12" xfId="9677"/>
    <cellStyle name="표준 2 2 2 2 2 2 13" xfId="9678"/>
    <cellStyle name="표준 2 2 2 2 2 2 14" xfId="9679"/>
    <cellStyle name="표준 2 2 2 2 2 2 15" xfId="9680"/>
    <cellStyle name="표준 2 2 2 2 2 2 16" xfId="9681"/>
    <cellStyle name="표준 2 2 2 2 2 2 17" xfId="9682"/>
    <cellStyle name="표준 2 2 2 2 2 2 18" xfId="9683"/>
    <cellStyle name="표준 2 2 2 2 2 2 2" xfId="9684"/>
    <cellStyle name="표준 2 2 2 2 2 2 2 10" xfId="9685"/>
    <cellStyle name="표준 2 2 2 2 2 2 2 10 2" xfId="9686"/>
    <cellStyle name="표준 2 2 2 2 2 2 2 10 3" xfId="9687"/>
    <cellStyle name="표준 2 2 2 2 2 2 2 11" xfId="9688"/>
    <cellStyle name="표준 2 2 2 2 2 2 2 12" xfId="9689"/>
    <cellStyle name="표준 2 2 2 2 2 2 2 13" xfId="9690"/>
    <cellStyle name="표준 2 2 2 2 2 2 2 14" xfId="9691"/>
    <cellStyle name="표준 2 2 2 2 2 2 2 15" xfId="9692"/>
    <cellStyle name="표준 2 2 2 2 2 2 2 16" xfId="9693"/>
    <cellStyle name="표준 2 2 2 2 2 2 2 17" xfId="9694"/>
    <cellStyle name="표준 2 2 2 2 2 2 2 18" xfId="9695"/>
    <cellStyle name="표준 2 2 2 2 2 2 2 2" xfId="9696"/>
    <cellStyle name="표준 2 2 2 2 2 2 2 2 10" xfId="9697"/>
    <cellStyle name="표준 2 2 2 2 2 2 2 2 11" xfId="9698"/>
    <cellStyle name="표준 2 2 2 2 2 2 2 2 2" xfId="9699"/>
    <cellStyle name="표준 2 2 2 2 2 2 2 2 2 10" xfId="9700"/>
    <cellStyle name="표준 2 2 2 2 2 2 2 2 2 11" xfId="9701"/>
    <cellStyle name="표준 2 2 2 2 2 2 2 2 2 2" xfId="9702"/>
    <cellStyle name="표준 2 2 2 2 2 2 2 2 2 2 2" xfId="9703"/>
    <cellStyle name="표준 2 2 2 2 2 2 2 2 2 2 3" xfId="9704"/>
    <cellStyle name="표준 2 2 2 2 2 2 2 2 2 3" xfId="9705"/>
    <cellStyle name="표준 2 2 2 2 2 2 2 2 2 4" xfId="9706"/>
    <cellStyle name="표준 2 2 2 2 2 2 2 2 2 5" xfId="9707"/>
    <cellStyle name="표준 2 2 2 2 2 2 2 2 2 6" xfId="9708"/>
    <cellStyle name="표준 2 2 2 2 2 2 2 2 2 7" xfId="9709"/>
    <cellStyle name="표준 2 2 2 2 2 2 2 2 2 8" xfId="9710"/>
    <cellStyle name="표준 2 2 2 2 2 2 2 2 2 9" xfId="9711"/>
    <cellStyle name="표준 2 2 2 2 2 2 2 2 3" xfId="9712"/>
    <cellStyle name="표준 2 2 2 2 2 2 2 2 3 2" xfId="9713"/>
    <cellStyle name="표준 2 2 2 2 2 2 2 2 3 3" xfId="9714"/>
    <cellStyle name="표준 2 2 2 2 2 2 2 2 4" xfId="9715"/>
    <cellStyle name="표준 2 2 2 2 2 2 2 2 5" xfId="9716"/>
    <cellStyle name="표준 2 2 2 2 2 2 2 2 6" xfId="9717"/>
    <cellStyle name="표준 2 2 2 2 2 2 2 2 7" xfId="9718"/>
    <cellStyle name="표준 2 2 2 2 2 2 2 2 8" xfId="9719"/>
    <cellStyle name="표준 2 2 2 2 2 2 2 2 9" xfId="9720"/>
    <cellStyle name="표준 2 2 2 2 2 2 2 3" xfId="9721"/>
    <cellStyle name="표준 2 2 2 2 2 2 2 4" xfId="9722"/>
    <cellStyle name="표준 2 2 2 2 2 2 2 5" xfId="9723"/>
    <cellStyle name="표준 2 2 2 2 2 2 2 6" xfId="9724"/>
    <cellStyle name="표준 2 2 2 2 2 2 2 7" xfId="9725"/>
    <cellStyle name="표준 2 2 2 2 2 2 2 8" xfId="9726"/>
    <cellStyle name="표준 2 2 2 2 2 2 2 9" xfId="9727"/>
    <cellStyle name="표준 2 2 2 2 2 2 3" xfId="9728"/>
    <cellStyle name="표준 2 2 2 2 2 2 3 2" xfId="9729"/>
    <cellStyle name="표준 2 2 2 2 2 2 4" xfId="9730"/>
    <cellStyle name="표준 2 2 2 2 2 2 5" xfId="9731"/>
    <cellStyle name="표준 2 2 2 2 2 2 6" xfId="9732"/>
    <cellStyle name="표준 2 2 2 2 2 2 7" xfId="9733"/>
    <cellStyle name="표준 2 2 2 2 2 2 8" xfId="9734"/>
    <cellStyle name="표준 2 2 2 2 2 2 9" xfId="9735"/>
    <cellStyle name="표준 2 2 2 2 2 20" xfId="9736"/>
    <cellStyle name="표준 2 2 2 2 2 21" xfId="9737"/>
    <cellStyle name="표준 2 2 2 2 2 22" xfId="9738"/>
    <cellStyle name="표준 2 2 2 2 2 23" xfId="9739"/>
    <cellStyle name="표준 2 2 2 2 2 24" xfId="9740"/>
    <cellStyle name="표준 2 2 2 2 2 25" xfId="9741"/>
    <cellStyle name="표준 2 2 2 2 2 3" xfId="9742"/>
    <cellStyle name="표준 2 2 2 2 2 4" xfId="9743"/>
    <cellStyle name="표준 2 2 2 2 2 5" xfId="9744"/>
    <cellStyle name="표준 2 2 2 2 2 6" xfId="9745"/>
    <cellStyle name="표준 2 2 2 2 2 7" xfId="9746"/>
    <cellStyle name="표준 2 2 2 2 2 8" xfId="9747"/>
    <cellStyle name="표준 2 2 2 2 2 9" xfId="9748"/>
    <cellStyle name="표준 2 2 2 2 20" xfId="9749"/>
    <cellStyle name="표준 2 2 2 2 21" xfId="9750"/>
    <cellStyle name="표준 2 2 2 2 22" xfId="9751"/>
    <cellStyle name="표준 2 2 2 2 23" xfId="9752"/>
    <cellStyle name="표준 2 2 2 2 24" xfId="9753"/>
    <cellStyle name="표준 2 2 2 2 25" xfId="9754"/>
    <cellStyle name="표준 2 2 2 2 3" xfId="9755"/>
    <cellStyle name="표준 2 2 2 2 3 2" xfId="9756"/>
    <cellStyle name="표준 2 2 2 2 4" xfId="9757"/>
    <cellStyle name="표준 2 2 2 2 5" xfId="9758"/>
    <cellStyle name="표준 2 2 2 2 6" xfId="9759"/>
    <cellStyle name="표준 2 2 2 2 7" xfId="9760"/>
    <cellStyle name="표준 2 2 2 2 8" xfId="9761"/>
    <cellStyle name="표준 2 2 2 2 9" xfId="9762"/>
    <cellStyle name="표준 2 2 2 20" xfId="9763"/>
    <cellStyle name="표준 2 2 2 21" xfId="9764"/>
    <cellStyle name="표준 2 2 2 22" xfId="9765"/>
    <cellStyle name="표준 2 2 2 23" xfId="9766"/>
    <cellStyle name="표준 2 2 2 24" xfId="9767"/>
    <cellStyle name="표준 2 2 2 25" xfId="9768"/>
    <cellStyle name="표준 2 2 2 25 2" xfId="9769"/>
    <cellStyle name="표준 2 2 2 25 3" xfId="9770"/>
    <cellStyle name="표준 2 2 2 26" xfId="9771"/>
    <cellStyle name="표준 2 2 2 27" xfId="9772"/>
    <cellStyle name="표준 2 2 2 28" xfId="9773"/>
    <cellStyle name="표준 2 2 2 29" xfId="9774"/>
    <cellStyle name="표준 2 2 2 3" xfId="9775"/>
    <cellStyle name="표준 2 2 2 30" xfId="9776"/>
    <cellStyle name="표준 2 2 2 31" xfId="9777"/>
    <cellStyle name="표준 2 2 2 32" xfId="9778"/>
    <cellStyle name="표준 2 2 2 33" xfId="9779"/>
    <cellStyle name="표준 2 2 2 34" xfId="9780"/>
    <cellStyle name="표준 2 2 2 4" xfId="9781"/>
    <cellStyle name="표준 2 2 2 5" xfId="9782"/>
    <cellStyle name="표준 2 2 2 6" xfId="9783"/>
    <cellStyle name="표준 2 2 2 7" xfId="9784"/>
    <cellStyle name="표준 2 2 2 8" xfId="9785"/>
    <cellStyle name="표준 2 2 2 9" xfId="9786"/>
    <cellStyle name="표준 2 2 20" xfId="9787"/>
    <cellStyle name="표준 2 2 21" xfId="9788"/>
    <cellStyle name="표준 2 2 22" xfId="9789"/>
    <cellStyle name="표준 2 2 23" xfId="9790"/>
    <cellStyle name="표준 2 2 24" xfId="9791"/>
    <cellStyle name="표준 2 2 25" xfId="9792"/>
    <cellStyle name="표준 2 2 25 2" xfId="9793"/>
    <cellStyle name="표준 2 2 25 3" xfId="9794"/>
    <cellStyle name="표준 2 2 26" xfId="9795"/>
    <cellStyle name="표준 2 2 27" xfId="9796"/>
    <cellStyle name="표준 2 2 28" xfId="9797"/>
    <cellStyle name="표준 2 2 29" xfId="9798"/>
    <cellStyle name="표준 2 2 3" xfId="9799"/>
    <cellStyle name="표준 2 2 3 2" xfId="9800"/>
    <cellStyle name="표준 2 2 3 3" xfId="9801"/>
    <cellStyle name="표준 2 2 3 5" xfId="10049"/>
    <cellStyle name="표준 2 2 30" xfId="9802"/>
    <cellStyle name="표준 2 2 31" xfId="9803"/>
    <cellStyle name="표준 2 2 32" xfId="9804"/>
    <cellStyle name="표준 2 2 33" xfId="9805"/>
    <cellStyle name="표준 2 2 34" xfId="9618"/>
    <cellStyle name="표준 2 2 4" xfId="9806"/>
    <cellStyle name="표준 2 2 5" xfId="9807"/>
    <cellStyle name="표준 2 2 6" xfId="9808"/>
    <cellStyle name="표준 2 2 7" xfId="9809"/>
    <cellStyle name="표준 2 2 8" xfId="9810"/>
    <cellStyle name="표준 2 2 9" xfId="9811"/>
    <cellStyle name="표준 2 20" xfId="9812"/>
    <cellStyle name="표준 2 20 2" xfId="9813"/>
    <cellStyle name="표준 2 21" xfId="9814"/>
    <cellStyle name="표준 2 21 2" xfId="9815"/>
    <cellStyle name="표준 2 21 3" xfId="10051"/>
    <cellStyle name="표준 2 22" xfId="9816"/>
    <cellStyle name="표준 2 22 2" xfId="9817"/>
    <cellStyle name="표준 2 23" xfId="9818"/>
    <cellStyle name="표준 2 24" xfId="9819"/>
    <cellStyle name="표준 2 25" xfId="9820"/>
    <cellStyle name="표준 2 26" xfId="9821"/>
    <cellStyle name="표준 2 27" xfId="9822"/>
    <cellStyle name="표준 2 28" xfId="9823"/>
    <cellStyle name="표준 2 29" xfId="9824"/>
    <cellStyle name="표준 2 3" xfId="8"/>
    <cellStyle name="표준 2 3 2" xfId="69"/>
    <cellStyle name="표준 2 3 2 2" xfId="9826"/>
    <cellStyle name="표준 2 3 3" xfId="169"/>
    <cellStyle name="표준 2 3 3 2" xfId="9827"/>
    <cellStyle name="표준 2 3 4" xfId="9825"/>
    <cellStyle name="표준 2 30" xfId="9828"/>
    <cellStyle name="표준 2 31" xfId="9829"/>
    <cellStyle name="표준 2 31 2" xfId="9830"/>
    <cellStyle name="표준 2 32" xfId="9831"/>
    <cellStyle name="표준 2 33" xfId="9832"/>
    <cellStyle name="표준 2 34" xfId="9833"/>
    <cellStyle name="표준 2 35" xfId="9834"/>
    <cellStyle name="표준 2 36" xfId="9835"/>
    <cellStyle name="표준 2 37" xfId="9836"/>
    <cellStyle name="표준 2 38" xfId="9837"/>
    <cellStyle name="표준 2 39" xfId="9838"/>
    <cellStyle name="표준 2 39 2" xfId="9839"/>
    <cellStyle name="표준 2 39 3" xfId="9840"/>
    <cellStyle name="표준 2 4" xfId="120"/>
    <cellStyle name="표준 2 4 2" xfId="9842"/>
    <cellStyle name="표준 2 4 3" xfId="9843"/>
    <cellStyle name="표준 2 4 4" xfId="9841"/>
    <cellStyle name="표준 2 40" xfId="9844"/>
    <cellStyle name="표준 2 41" xfId="9845"/>
    <cellStyle name="표준 2 42" xfId="9846"/>
    <cellStyle name="표준 2 43" xfId="9847"/>
    <cellStyle name="표준 2 44" xfId="9848"/>
    <cellStyle name="표준 2 45" xfId="9849"/>
    <cellStyle name="표준 2 46" xfId="9850"/>
    <cellStyle name="표준 2 47" xfId="9851"/>
    <cellStyle name="표준 2 48" xfId="9852"/>
    <cellStyle name="표준 2 49" xfId="9853"/>
    <cellStyle name="표준 2 5" xfId="9854"/>
    <cellStyle name="표준 2 5 2" xfId="9855"/>
    <cellStyle name="표준 2 5 3" xfId="9856"/>
    <cellStyle name="표준 2 50" xfId="9857"/>
    <cellStyle name="표준 2 51" xfId="9593"/>
    <cellStyle name="표준 2 52" xfId="10041"/>
    <cellStyle name="표준 2 6" xfId="9858"/>
    <cellStyle name="표준 2 6 2" xfId="9859"/>
    <cellStyle name="표준 2 6 3" xfId="9860"/>
    <cellStyle name="표준 2 7" xfId="9861"/>
    <cellStyle name="표준 2 7 2" xfId="9862"/>
    <cellStyle name="표준 2 7 3" xfId="9863"/>
    <cellStyle name="표준 2 8" xfId="9864"/>
    <cellStyle name="표준 2 8 2" xfId="9865"/>
    <cellStyle name="표준 2 8 3" xfId="9866"/>
    <cellStyle name="표준 2 9" xfId="9867"/>
    <cellStyle name="표준 2 9 2" xfId="9868"/>
    <cellStyle name="표준 2 9 3" xfId="9869"/>
    <cellStyle name="표준 2_(주)Viromed_급여대사" xfId="9870"/>
    <cellStyle name="표준 20" xfId="31"/>
    <cellStyle name="표준 20 2" xfId="88"/>
    <cellStyle name="표준 20 2 2" xfId="9872"/>
    <cellStyle name="표준 20 3" xfId="139"/>
    <cellStyle name="표준 20 3 2" xfId="9873"/>
    <cellStyle name="표준 20 4" xfId="9871"/>
    <cellStyle name="표준 21" xfId="32"/>
    <cellStyle name="표준 21 2" xfId="89"/>
    <cellStyle name="표준 21 2 2" xfId="9875"/>
    <cellStyle name="표준 21 3" xfId="140"/>
    <cellStyle name="표준 21 3 2" xfId="9876"/>
    <cellStyle name="표준 21 4" xfId="9874"/>
    <cellStyle name="표준 22" xfId="33"/>
    <cellStyle name="표준 22 2" xfId="90"/>
    <cellStyle name="표준 22 2 2" xfId="9878"/>
    <cellStyle name="표준 22 3" xfId="141"/>
    <cellStyle name="표준 22 4" xfId="9877"/>
    <cellStyle name="표준 23" xfId="34"/>
    <cellStyle name="표준 23 2" xfId="91"/>
    <cellStyle name="표준 23 3" xfId="142"/>
    <cellStyle name="표준 23 4" xfId="9879"/>
    <cellStyle name="표준 24" xfId="35"/>
    <cellStyle name="표준 24 2" xfId="92"/>
    <cellStyle name="표준 24 2 2" xfId="9881"/>
    <cellStyle name="표준 24 3" xfId="143"/>
    <cellStyle name="표준 24 4" xfId="9880"/>
    <cellStyle name="표준 25" xfId="36"/>
    <cellStyle name="표준 25 2" xfId="93"/>
    <cellStyle name="표준 25 2 2" xfId="9883"/>
    <cellStyle name="표준 25 3" xfId="144"/>
    <cellStyle name="표준 25 4" xfId="9882"/>
    <cellStyle name="표준 26" xfId="37"/>
    <cellStyle name="표준 26 2" xfId="94"/>
    <cellStyle name="표준 26 2 2" xfId="9885"/>
    <cellStyle name="표준 26 3" xfId="145"/>
    <cellStyle name="표준 26 4" xfId="9884"/>
    <cellStyle name="표준 27" xfId="38"/>
    <cellStyle name="표준 27 2" xfId="95"/>
    <cellStyle name="표준 27 2 2" xfId="9887"/>
    <cellStyle name="표준 27 3" xfId="146"/>
    <cellStyle name="표준 27 4" xfId="9886"/>
    <cellStyle name="표준 28" xfId="39"/>
    <cellStyle name="표준 28 2" xfId="96"/>
    <cellStyle name="표준 28 2 2" xfId="9889"/>
    <cellStyle name="표준 28 3" xfId="147"/>
    <cellStyle name="표준 28 4" xfId="9888"/>
    <cellStyle name="표준 29" xfId="40"/>
    <cellStyle name="표준 29 2" xfId="97"/>
    <cellStyle name="표준 29 2 2" xfId="9891"/>
    <cellStyle name="표준 29 3" xfId="148"/>
    <cellStyle name="표준 29 4" xfId="9890"/>
    <cellStyle name="표준 3" xfId="3"/>
    <cellStyle name="표준 3 10" xfId="9893"/>
    <cellStyle name="표준 3 11" xfId="9894"/>
    <cellStyle name="표준 3 12" xfId="9895"/>
    <cellStyle name="표준 3 13" xfId="9896"/>
    <cellStyle name="표준 3 14" xfId="9897"/>
    <cellStyle name="표준 3 15" xfId="9898"/>
    <cellStyle name="표준 3 16" xfId="9899"/>
    <cellStyle name="표준 3 17" xfId="9900"/>
    <cellStyle name="표준 3 18" xfId="9901"/>
    <cellStyle name="표준 3 19" xfId="9902"/>
    <cellStyle name="표준 3 2" xfId="12"/>
    <cellStyle name="표준 3 2 2" xfId="9904"/>
    <cellStyle name="표준 3 2 3" xfId="9905"/>
    <cellStyle name="표준 3 2 35" xfId="10057"/>
    <cellStyle name="표준 3 2 4" xfId="9903"/>
    <cellStyle name="표준 3 20" xfId="9906"/>
    <cellStyle name="표준 3 21" xfId="9907"/>
    <cellStyle name="표준 3 22" xfId="9908"/>
    <cellStyle name="표준 3 23" xfId="9909"/>
    <cellStyle name="표준 3 24" xfId="9910"/>
    <cellStyle name="표준 3 25" xfId="9911"/>
    <cellStyle name="표준 3 26" xfId="9912"/>
    <cellStyle name="표준 3 27" xfId="9913"/>
    <cellStyle name="표준 3 28" xfId="9914"/>
    <cellStyle name="표준 3 29" xfId="9915"/>
    <cellStyle name="표준 3 3" xfId="66"/>
    <cellStyle name="표준 3 3 2" xfId="9917"/>
    <cellStyle name="표준 3 3 3" xfId="9916"/>
    <cellStyle name="표준 3 30" xfId="9918"/>
    <cellStyle name="표준 3 31" xfId="9919"/>
    <cellStyle name="표준 3 32" xfId="9920"/>
    <cellStyle name="표준 3 33" xfId="9921"/>
    <cellStyle name="표준 3 34" xfId="9892"/>
    <cellStyle name="표준 3 35" xfId="10052"/>
    <cellStyle name="표준 3 4" xfId="9922"/>
    <cellStyle name="표준 3 5" xfId="9923"/>
    <cellStyle name="표준 3 6" xfId="9924"/>
    <cellStyle name="표준 3 7" xfId="9925"/>
    <cellStyle name="표준 3 8" xfId="9926"/>
    <cellStyle name="표준 3 9" xfId="9927"/>
    <cellStyle name="표준 30" xfId="41"/>
    <cellStyle name="표준 30 2" xfId="98"/>
    <cellStyle name="표준 30 2 2" xfId="9929"/>
    <cellStyle name="표준 30 3" xfId="149"/>
    <cellStyle name="표준 30 3 2" xfId="9930"/>
    <cellStyle name="표준 30 4" xfId="9928"/>
    <cellStyle name="표준 31" xfId="42"/>
    <cellStyle name="표준 31 2" xfId="99"/>
    <cellStyle name="표준 31 3" xfId="150"/>
    <cellStyle name="표준 31 4" xfId="9931"/>
    <cellStyle name="표준 32" xfId="43"/>
    <cellStyle name="표준 32 2" xfId="100"/>
    <cellStyle name="표준 32 2 2" xfId="9933"/>
    <cellStyle name="표준 32 3" xfId="151"/>
    <cellStyle name="표준 32 4" xfId="9932"/>
    <cellStyle name="표준 33" xfId="44"/>
    <cellStyle name="표준 33 2" xfId="101"/>
    <cellStyle name="표준 33 2 2" xfId="9935"/>
    <cellStyle name="표준 33 3" xfId="152"/>
    <cellStyle name="표준 33 3 2" xfId="9936"/>
    <cellStyle name="표준 33 4" xfId="9934"/>
    <cellStyle name="표준 33_인건비배분_상세HR(8월)" xfId="9937"/>
    <cellStyle name="표준 34" xfId="45"/>
    <cellStyle name="표준 34 2" xfId="102"/>
    <cellStyle name="표준 34 3" xfId="153"/>
    <cellStyle name="표준 34 4" xfId="9938"/>
    <cellStyle name="표준 35" xfId="46"/>
    <cellStyle name="표준 35 2" xfId="103"/>
    <cellStyle name="표준 35 3" xfId="154"/>
    <cellStyle name="표준 35 4" xfId="9939"/>
    <cellStyle name="표준 36" xfId="47"/>
    <cellStyle name="표준 36 2" xfId="104"/>
    <cellStyle name="표준 36 3" xfId="155"/>
    <cellStyle name="표준 36 4" xfId="9940"/>
    <cellStyle name="표준 37" xfId="48"/>
    <cellStyle name="표준 37 2" xfId="105"/>
    <cellStyle name="표준 37 3" xfId="156"/>
    <cellStyle name="표준 37 4" xfId="9941"/>
    <cellStyle name="표준 38" xfId="49"/>
    <cellStyle name="표준 38 2" xfId="106"/>
    <cellStyle name="표준 38 3" xfId="157"/>
    <cellStyle name="표준 38 4" xfId="9942"/>
    <cellStyle name="표준 39" xfId="50"/>
    <cellStyle name="표준 39 2" xfId="107"/>
    <cellStyle name="표준 39 3" xfId="158"/>
    <cellStyle name="표준 39 4" xfId="9943"/>
    <cellStyle name="표준 4" xfId="14"/>
    <cellStyle name="표준 4 2" xfId="58"/>
    <cellStyle name="표준 4 2 2" xfId="9945"/>
    <cellStyle name="표준 4 2 3" xfId="10061"/>
    <cellStyle name="표준 4 3" xfId="9946"/>
    <cellStyle name="표준 4 4" xfId="9947"/>
    <cellStyle name="표준 4 5" xfId="9948"/>
    <cellStyle name="표준 4 6" xfId="9949"/>
    <cellStyle name="표준 4 7" xfId="9944"/>
    <cellStyle name="표준 40" xfId="51"/>
    <cellStyle name="표준 40 2" xfId="108"/>
    <cellStyle name="표준 40 3" xfId="159"/>
    <cellStyle name="표준 40 4" xfId="9950"/>
    <cellStyle name="표준 41" xfId="52"/>
    <cellStyle name="표준 41 2" xfId="109"/>
    <cellStyle name="표준 41 3" xfId="160"/>
    <cellStyle name="표준 41 4" xfId="9951"/>
    <cellStyle name="표준 42" xfId="53"/>
    <cellStyle name="표준 42 2" xfId="9952"/>
    <cellStyle name="표준 43" xfId="54"/>
    <cellStyle name="표준 43 2" xfId="60"/>
    <cellStyle name="표준 43 3" xfId="9953"/>
    <cellStyle name="표준 44" xfId="6"/>
    <cellStyle name="표준 44 2" xfId="67"/>
    <cellStyle name="표준 44 3" xfId="166"/>
    <cellStyle name="표준 44 4" xfId="9954"/>
    <cellStyle name="표준 45" xfId="62"/>
    <cellStyle name="표준 45 2" xfId="167"/>
    <cellStyle name="표준 45 3" xfId="9955"/>
    <cellStyle name="표준 46" xfId="63"/>
    <cellStyle name="표준 46 2" xfId="170"/>
    <cellStyle name="표준 46 3" xfId="9956"/>
    <cellStyle name="표준 47" xfId="115"/>
    <cellStyle name="표준 47 2" xfId="9957"/>
    <cellStyle name="표준 48" xfId="117"/>
    <cellStyle name="표준 48 2" xfId="9958"/>
    <cellStyle name="표준 49" xfId="118"/>
    <cellStyle name="표준 49 2" xfId="9959"/>
    <cellStyle name="표준 5" xfId="15"/>
    <cellStyle name="표준 5 2" xfId="72"/>
    <cellStyle name="표준 5 2 2" xfId="9961"/>
    <cellStyle name="표준 5 3" xfId="123"/>
    <cellStyle name="표준 5 3 2" xfId="9962"/>
    <cellStyle name="표준 5 4" xfId="9963"/>
    <cellStyle name="표준 5 5" xfId="9964"/>
    <cellStyle name="표준 5 6" xfId="9960"/>
    <cellStyle name="표준 5 7" xfId="10063"/>
    <cellStyle name="표준 50" xfId="171"/>
    <cellStyle name="표준 50 2" xfId="9965"/>
    <cellStyle name="표준 51" xfId="9966"/>
    <cellStyle name="표준 52" xfId="9967"/>
    <cellStyle name="표준 53" xfId="9968"/>
    <cellStyle name="표준 54" xfId="9969"/>
    <cellStyle name="표준 55" xfId="9970"/>
    <cellStyle name="표준 55 2" xfId="9971"/>
    <cellStyle name="표준 56" xfId="9972"/>
    <cellStyle name="표준 57" xfId="9973"/>
    <cellStyle name="표준 58" xfId="9974"/>
    <cellStyle name="표준 59" xfId="9975"/>
    <cellStyle name="표준 6" xfId="17"/>
    <cellStyle name="표준 6 2" xfId="74"/>
    <cellStyle name="표준 6 2 2" xfId="177"/>
    <cellStyle name="표준 6 3" xfId="125"/>
    <cellStyle name="표준 6 3 2" xfId="9977"/>
    <cellStyle name="표준 6 4" xfId="9978"/>
    <cellStyle name="표준 6 5" xfId="9979"/>
    <cellStyle name="표준 6 6" xfId="9976"/>
    <cellStyle name="표준 60" xfId="9980"/>
    <cellStyle name="표준 61" xfId="9981"/>
    <cellStyle name="표준 62" xfId="9982"/>
    <cellStyle name="표준 63" xfId="9983"/>
    <cellStyle name="표준 64" xfId="9984"/>
    <cellStyle name="표준 65" xfId="9985"/>
    <cellStyle name="표준 66" xfId="9986"/>
    <cellStyle name="표준 67" xfId="9987"/>
    <cellStyle name="표준 68" xfId="174"/>
    <cellStyle name="표준 69" xfId="179"/>
    <cellStyle name="표준 7" xfId="18"/>
    <cellStyle name="표준 7 2" xfId="75"/>
    <cellStyle name="표준 7 2 2" xfId="9989"/>
    <cellStyle name="표준 7 3" xfId="126"/>
    <cellStyle name="표준 7 3 2" xfId="9990"/>
    <cellStyle name="표준 7 4" xfId="9991"/>
    <cellStyle name="표준 7 5" xfId="9992"/>
    <cellStyle name="표준 7 5 2" xfId="10055"/>
    <cellStyle name="표준 7 6" xfId="9988"/>
    <cellStyle name="표준 70" xfId="10027"/>
    <cellStyle name="표준 71" xfId="9993"/>
    <cellStyle name="표준 72" xfId="10028"/>
    <cellStyle name="표준 73" xfId="10029"/>
    <cellStyle name="표준 74" xfId="10030"/>
    <cellStyle name="표준 75" xfId="10031"/>
    <cellStyle name="표준 76" xfId="10032"/>
    <cellStyle name="표준 77" xfId="10033"/>
    <cellStyle name="표준 78" xfId="10034"/>
    <cellStyle name="표준 79" xfId="10035"/>
    <cellStyle name="표준 8" xfId="19"/>
    <cellStyle name="표준 8 2" xfId="76"/>
    <cellStyle name="표준 8 2 2" xfId="9995"/>
    <cellStyle name="표준 8 3" xfId="127"/>
    <cellStyle name="표준 8 4" xfId="4"/>
    <cellStyle name="표준 8 5" xfId="9994"/>
    <cellStyle name="표준 8 5 2" xfId="10044"/>
    <cellStyle name="표준 9" xfId="20"/>
    <cellStyle name="표준 9 2" xfId="77"/>
    <cellStyle name="표준 9 2 2" xfId="9997"/>
    <cellStyle name="표준 9 3" xfId="128"/>
    <cellStyle name="표준 9 4" xfId="9996"/>
    <cellStyle name="標準_(01)タイムクリエイトＰＬ単年度1" xfId="9998"/>
    <cellStyle name="標準1203" xfId="9999"/>
    <cellStyle name="푤준_계수·손익계수_계산내역2" xfId="10000"/>
    <cellStyle name="프로젝트개발UNIT" xfId="10001"/>
    <cellStyle name="하이퍼링크 2" xfId="10002"/>
    <cellStyle name="하이퍼링크 2 2" xfId="10003"/>
    <cellStyle name="하이퍼링크 3" xfId="10004"/>
    <cellStyle name="하이퍼링크 4" xfId="10005"/>
    <cellStyle name="합산" xfId="10006"/>
    <cellStyle name="합산 2" xfId="10007"/>
    <cellStyle name="桁?切り [0.00]_PLDT" xfId="10008"/>
    <cellStyle name="桁?切り_98CFFORM" xfId="10009"/>
    <cellStyle name="桁区切り [0.00]_Add1" xfId="10010"/>
    <cellStyle name="桁区切り_98CFFORM" xfId="10011"/>
    <cellStyle name="행제목" xfId="10012"/>
    <cellStyle name="货币[0]_PERSONAL" xfId="10013"/>
    <cellStyle name="货币_PERSONAL" xfId="10014"/>
    <cellStyle name="화폐" xfId="10015"/>
    <cellStyle name="貨幣 [0]_COMM" xfId="10016"/>
    <cellStyle name="貨幣_COMM" xfId="10017"/>
    <cellStyle name="화폐기호" xfId="10018"/>
    <cellStyle name="화폐기호 2" xfId="10019"/>
    <cellStyle name="화폐기호 3" xfId="10020"/>
    <cellStyle name="화폐기호0" xfId="10021"/>
    <cellStyle name="화폐기호0 2" xfId="10022"/>
    <cellStyle name="황" xfId="10023"/>
    <cellStyle name="황대호" xfId="10024"/>
    <cellStyle name="회색테두리" xfId="10025"/>
    <cellStyle name="훐r?손익1" xfId="10026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23055"/>
      <color rgb="FF001530"/>
      <color rgb="FFF0F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externalLink" Target="externalLinks/externalLink1.xml"/><Relationship Id="rId63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externalLink" Target="externalLinks/externalLink2.xml"/><Relationship Id="rId64" Type="http://schemas.openxmlformats.org/officeDocument/2006/relationships/customXml" Target="../customXml/item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Relationship Id="rId65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.MATTHEW/01.&#54924;&#44228;/01.&#44208;&#49328;&#51088;&#47308;/FY2020/3&#50900;/&#50672;&#44208;/&#51088;&#54924;&#49324;&#51221;&#49328;&#54364;/ENT_FY2020%203&#50900;%20&#51221;&#49328;&#54364;_V2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0.MATTHEW/01.&#54924;&#44228;/01.&#44208;&#49328;&#51088;&#47308;/FY2022/2022.09/01.&#50672;&#44208;/SKSQ&#50629;&#47196;&#46300;/FNS/&#52712;&#54633;/FNS_TEMP_223_T198_202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정세부"/>
      <sheetName val="조정전표"/>
      <sheetName val="INDEX"/>
      <sheetName val="BS_INPUT"/>
      <sheetName val="IS_INPUT"/>
      <sheetName val="T_CF"/>
      <sheetName val="CFS"/>
      <sheetName val="유형자산"/>
      <sheetName val="무형자산"/>
      <sheetName val="사용권자산"/>
      <sheetName val="리스부채"/>
      <sheetName val="종업원급여"/>
      <sheetName val="보증금"/>
      <sheetName val="외화환산"/>
      <sheetName val="대여금 및 차입금"/>
      <sheetName val="채권연령"/>
      <sheetName val="비용의성격별분류"/>
      <sheetName val="Sheet1"/>
      <sheetName val="특수관계자거래"/>
      <sheetName val="drop"/>
      <sheetName val="IS_LOCAL"/>
      <sheetName val="IS_KRW"/>
      <sheetName val="BS_LOCAL"/>
      <sheetName val="BS_KRW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D3" t="str">
            <v>VALIDATION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FN0010"/>
      <sheetName val="FN0020"/>
      <sheetName val="FN0040"/>
      <sheetName val="FN0061"/>
      <sheetName val="FN0062"/>
      <sheetName val="FN0064"/>
      <sheetName val="FN0141"/>
      <sheetName val="FN0151"/>
      <sheetName val="FN0152"/>
      <sheetName val="FN0161"/>
      <sheetName val="FN0170"/>
      <sheetName val="FN0180"/>
      <sheetName val="FN0181"/>
      <sheetName val="FN0240"/>
      <sheetName val="FN0260"/>
      <sheetName val="FN0270"/>
      <sheetName val="FN0291"/>
      <sheetName val="FN0292"/>
      <sheetName val="FN0300"/>
      <sheetName val="FN0310"/>
      <sheetName val="FN0320"/>
      <sheetName val="FN0330"/>
      <sheetName val="FN0331"/>
      <sheetName val="FN0340"/>
      <sheetName val="FN0350"/>
      <sheetName val="FN0380"/>
      <sheetName val="FN0390"/>
      <sheetName val="FN0430"/>
      <sheetName val="FN0440"/>
      <sheetName val="FN0510"/>
      <sheetName val="FN0530"/>
      <sheetName val="FN0550"/>
      <sheetName val="FN0560"/>
      <sheetName val="FN0580"/>
      <sheetName val="FN0582"/>
      <sheetName val="FN0583"/>
      <sheetName val="FN0592"/>
      <sheetName val="FN0620"/>
      <sheetName val="FN0670"/>
      <sheetName val="FN0691"/>
      <sheetName val="FN0710"/>
      <sheetName val="FN0740"/>
      <sheetName val="FN0750"/>
      <sheetName val="FN0760"/>
      <sheetName val="FN0770"/>
      <sheetName val="FN0780"/>
      <sheetName val="FN0781"/>
      <sheetName val="FN0900"/>
      <sheetName val="FN0980"/>
      <sheetName val="FN0981"/>
      <sheetName val="FN0982"/>
      <sheetName val="FN0983"/>
      <sheetName val="FN0984"/>
      <sheetName val="FN098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3">
          <cell r="K3">
            <v>624668881</v>
          </cell>
          <cell r="U3">
            <v>-20627500</v>
          </cell>
        </row>
        <row r="4">
          <cell r="K4">
            <v>2242384312</v>
          </cell>
          <cell r="U4">
            <v>-103180348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ky81@naver.com" id="{791FECDD-D244-4D8E-8981-71E7219E5A9F}" userId="026391ada507688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7" dT="2021-06-03T08:12:39.16" personId="{791FECDD-D244-4D8E-8981-71E7219E5A9F}" id="{BD9DC888-E6CD-4D9D-8F75-6E24219408A0}">
    <text>전기말환율로 FIX: 20년말 전액손상으로 환산평가하지 않음</text>
  </threadedComment>
  <threadedComment ref="W17" dT="2021-06-03T08:12:39.16" personId="{791FECDD-D244-4D8E-8981-71E7219E5A9F}" id="{63BA142C-A847-4F51-843F-E88F074944CA}">
    <text>전기말환율로 FIX: 20년말 전액손상으로 환산평가하지 않음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1.bin"/><Relationship Id="rId4" Type="http://schemas.microsoft.com/office/2017/10/relationships/threadedComment" Target="../threadedComments/threadedComment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3:F15"/>
  <sheetViews>
    <sheetView showGridLines="0" zoomScale="80" zoomScaleNormal="80" workbookViewId="0">
      <selection activeCell="F17" sqref="F17"/>
    </sheetView>
  </sheetViews>
  <sheetFormatPr defaultColWidth="8.75" defaultRowHeight="18" customHeight="1"/>
  <cols>
    <col min="1" max="3" width="2.375" style="3" customWidth="1"/>
    <col min="4" max="22" width="20.375" style="3" customWidth="1"/>
    <col min="23" max="16384" width="8.75" style="3"/>
  </cols>
  <sheetData>
    <row r="3" spans="4:6" s="2" customFormat="1" ht="18" customHeight="1">
      <c r="D3" s="2" t="s">
        <v>15</v>
      </c>
      <c r="E3" s="1"/>
    </row>
    <row r="4" spans="4:6" s="2" customFormat="1" ht="18" customHeight="1">
      <c r="D4" s="2" t="s">
        <v>1869</v>
      </c>
      <c r="E4" s="1"/>
    </row>
    <row r="5" spans="4:6" s="2" customFormat="1" ht="18" customHeight="1" thickBot="1">
      <c r="D5" s="3"/>
      <c r="E5" s="23"/>
      <c r="F5" s="3"/>
    </row>
    <row r="6" spans="4:6" ht="18" customHeight="1">
      <c r="D6" s="139" t="s">
        <v>1870</v>
      </c>
      <c r="E6" s="140">
        <v>44104</v>
      </c>
    </row>
    <row r="7" spans="4:6" ht="18" customHeight="1">
      <c r="D7" s="141" t="s">
        <v>580</v>
      </c>
      <c r="E7" s="142" t="s">
        <v>15</v>
      </c>
      <c r="F7" s="2"/>
    </row>
    <row r="8" spans="4:6" ht="18" customHeight="1" thickBot="1">
      <c r="D8" s="143" t="s">
        <v>1871</v>
      </c>
      <c r="E8" s="144" t="s">
        <v>473</v>
      </c>
    </row>
    <row r="13" spans="4:6" ht="18" customHeight="1">
      <c r="D13" s="3" t="s">
        <v>1866</v>
      </c>
    </row>
    <row r="14" spans="4:6" ht="18" customHeight="1">
      <c r="D14" s="137" t="s">
        <v>1867</v>
      </c>
    </row>
    <row r="15" spans="4:6" ht="18" customHeight="1">
      <c r="D15" s="138" t="s">
        <v>1868</v>
      </c>
    </row>
  </sheetData>
  <phoneticPr fontId="2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'C:\00.MATTHEW\01.회계\01.결산자료\FY2020\3월\연결\자회사정산표\[ENT_FY2020 3월 정산표_V2.0.xlsx]drop'!#REF!</xm:f>
          </x14:formula1>
          <xm:sqref>E7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33"/>
  <sheetViews>
    <sheetView showGridLines="0" zoomScale="80" zoomScaleNormal="80" workbookViewId="0">
      <selection activeCell="F45" sqref="F45"/>
    </sheetView>
  </sheetViews>
  <sheetFormatPr defaultColWidth="8.75" defaultRowHeight="18" customHeight="1"/>
  <cols>
    <col min="1" max="3" width="2.375" style="3" customWidth="1"/>
    <col min="4" max="6" width="18.25" style="3" customWidth="1"/>
    <col min="7" max="7" width="18.25" style="23" customWidth="1"/>
    <col min="8" max="15" width="18.25" style="3" customWidth="1"/>
    <col min="16" max="16" width="14.625" style="3" customWidth="1"/>
    <col min="17" max="21" width="20.375" style="3" customWidth="1"/>
    <col min="22" max="16384" width="8.75" style="3"/>
  </cols>
  <sheetData>
    <row r="1" spans="1:14" ht="33.6" customHeight="1">
      <c r="A1" s="2" t="s">
        <v>501</v>
      </c>
    </row>
    <row r="2" spans="1:14" ht="18" customHeight="1">
      <c r="D2" s="358" t="s">
        <v>1912</v>
      </c>
    </row>
    <row r="3" spans="1:14" s="33" customFormat="1" ht="18" customHeight="1">
      <c r="D3" s="2062" t="s">
        <v>502</v>
      </c>
      <c r="E3" s="2062" t="s">
        <v>503</v>
      </c>
      <c r="F3" s="2062" t="s">
        <v>504</v>
      </c>
      <c r="G3" s="2062" t="s">
        <v>505</v>
      </c>
      <c r="H3" s="2062" t="s">
        <v>506</v>
      </c>
      <c r="I3" s="2062"/>
      <c r="J3" s="2062" t="s">
        <v>507</v>
      </c>
      <c r="K3" s="2062"/>
      <c r="L3" s="2062" t="s">
        <v>1737</v>
      </c>
      <c r="M3" s="2062"/>
    </row>
    <row r="4" spans="1:14" s="280" customFormat="1" ht="18" customHeight="1">
      <c r="D4" s="2062"/>
      <c r="E4" s="2062"/>
      <c r="F4" s="2062"/>
      <c r="G4" s="2062"/>
      <c r="H4" s="348" t="s">
        <v>508</v>
      </c>
      <c r="I4" s="348" t="s">
        <v>500</v>
      </c>
      <c r="J4" s="348" t="s">
        <v>508</v>
      </c>
      <c r="K4" s="348" t="s">
        <v>500</v>
      </c>
      <c r="L4" s="348" t="s">
        <v>508</v>
      </c>
      <c r="M4" s="348" t="s">
        <v>500</v>
      </c>
    </row>
    <row r="5" spans="1:14" s="6" customFormat="1" ht="18" customHeight="1">
      <c r="D5" s="349">
        <v>1</v>
      </c>
      <c r="E5" s="6" t="s">
        <v>15</v>
      </c>
      <c r="F5" s="6" t="s">
        <v>509</v>
      </c>
      <c r="G5" s="30" t="s">
        <v>510</v>
      </c>
      <c r="H5" s="217">
        <v>1</v>
      </c>
      <c r="I5" s="217">
        <v>1</v>
      </c>
      <c r="J5" s="217">
        <v>1</v>
      </c>
      <c r="K5" s="217">
        <v>1</v>
      </c>
      <c r="L5" s="217">
        <v>1</v>
      </c>
      <c r="M5" s="217">
        <v>1</v>
      </c>
    </row>
    <row r="6" spans="1:14" s="6" customFormat="1" ht="18" customHeight="1">
      <c r="D6" s="349">
        <v>2</v>
      </c>
      <c r="E6" s="6" t="s">
        <v>15</v>
      </c>
      <c r="F6" s="6" t="s">
        <v>511</v>
      </c>
      <c r="G6" s="30" t="s">
        <v>512</v>
      </c>
      <c r="H6" s="217">
        <v>1</v>
      </c>
      <c r="I6" s="217">
        <v>1</v>
      </c>
      <c r="J6" s="217">
        <v>1</v>
      </c>
      <c r="K6" s="217">
        <v>1</v>
      </c>
      <c r="L6" s="217">
        <v>0</v>
      </c>
      <c r="M6" s="217">
        <v>0</v>
      </c>
      <c r="N6" s="33" t="s">
        <v>1738</v>
      </c>
    </row>
    <row r="7" spans="1:14" s="6" customFormat="1" ht="18" customHeight="1">
      <c r="D7" s="349">
        <v>3</v>
      </c>
      <c r="E7" s="6" t="s">
        <v>15</v>
      </c>
      <c r="F7" s="6" t="s">
        <v>513</v>
      </c>
      <c r="G7" s="30" t="s">
        <v>514</v>
      </c>
      <c r="H7" s="217">
        <v>1</v>
      </c>
      <c r="I7" s="217">
        <v>1</v>
      </c>
      <c r="J7" s="217">
        <v>1</v>
      </c>
      <c r="K7" s="217">
        <v>1</v>
      </c>
      <c r="L7" s="217">
        <v>0</v>
      </c>
      <c r="M7" s="217">
        <v>0</v>
      </c>
      <c r="N7" s="33" t="s">
        <v>1739</v>
      </c>
    </row>
    <row r="8" spans="1:14" s="6" customFormat="1" ht="18" customHeight="1">
      <c r="D8" s="349">
        <v>4</v>
      </c>
      <c r="E8" s="6" t="s">
        <v>15</v>
      </c>
      <c r="F8" s="6" t="s">
        <v>515</v>
      </c>
      <c r="G8" s="30" t="s">
        <v>514</v>
      </c>
      <c r="H8" s="217">
        <v>1</v>
      </c>
      <c r="I8" s="217">
        <v>1</v>
      </c>
      <c r="J8" s="217">
        <v>1</v>
      </c>
      <c r="K8" s="217">
        <v>1</v>
      </c>
      <c r="L8" s="217">
        <v>1</v>
      </c>
      <c r="M8" s="217">
        <v>1</v>
      </c>
    </row>
    <row r="9" spans="1:14" s="6" customFormat="1" ht="18" customHeight="1">
      <c r="D9" s="349">
        <v>5</v>
      </c>
      <c r="E9" s="6" t="s">
        <v>15</v>
      </c>
      <c r="F9" s="6" t="s">
        <v>516</v>
      </c>
      <c r="G9" s="30" t="s">
        <v>514</v>
      </c>
      <c r="H9" s="217">
        <v>1</v>
      </c>
      <c r="I9" s="217">
        <v>1</v>
      </c>
      <c r="J9" s="350">
        <v>0</v>
      </c>
      <c r="K9" s="350">
        <v>0</v>
      </c>
      <c r="L9" s="350">
        <v>0</v>
      </c>
      <c r="M9" s="350">
        <v>0</v>
      </c>
      <c r="N9" s="33" t="s">
        <v>517</v>
      </c>
    </row>
    <row r="10" spans="1:14" s="6" customFormat="1" ht="18" customHeight="1">
      <c r="D10" s="349">
        <v>6</v>
      </c>
      <c r="E10" s="6" t="s">
        <v>15</v>
      </c>
      <c r="F10" s="6" t="s">
        <v>518</v>
      </c>
      <c r="G10" s="30" t="s">
        <v>519</v>
      </c>
      <c r="H10" s="217">
        <v>0.442</v>
      </c>
      <c r="I10" s="217">
        <v>0.442</v>
      </c>
      <c r="J10" s="217">
        <v>1</v>
      </c>
      <c r="K10" s="217">
        <v>1</v>
      </c>
      <c r="L10" s="217">
        <v>0</v>
      </c>
      <c r="M10" s="217">
        <v>0</v>
      </c>
      <c r="N10" s="33" t="s">
        <v>1531</v>
      </c>
    </row>
    <row r="11" spans="1:14" s="6" customFormat="1" ht="18" customHeight="1">
      <c r="D11" s="349">
        <v>7</v>
      </c>
      <c r="E11" s="6" t="s">
        <v>509</v>
      </c>
      <c r="F11" s="6" t="s">
        <v>520</v>
      </c>
      <c r="G11" s="30" t="s">
        <v>521</v>
      </c>
      <c r="H11" s="217">
        <v>1</v>
      </c>
      <c r="I11" s="217">
        <v>1</v>
      </c>
      <c r="J11" s="217">
        <v>1</v>
      </c>
      <c r="K11" s="217">
        <v>1</v>
      </c>
      <c r="L11" s="217">
        <v>1</v>
      </c>
      <c r="M11" s="217">
        <v>1</v>
      </c>
    </row>
    <row r="12" spans="1:14" s="6" customFormat="1" ht="18" customHeight="1">
      <c r="D12" s="349">
        <v>8</v>
      </c>
      <c r="E12" s="6" t="s">
        <v>509</v>
      </c>
      <c r="F12" s="6" t="s">
        <v>522</v>
      </c>
      <c r="G12" s="30" t="s">
        <v>521</v>
      </c>
      <c r="H12" s="217">
        <v>1</v>
      </c>
      <c r="I12" s="217">
        <v>1</v>
      </c>
      <c r="J12" s="217">
        <v>1</v>
      </c>
      <c r="K12" s="217">
        <v>1</v>
      </c>
      <c r="L12" s="217">
        <v>1</v>
      </c>
      <c r="M12" s="217">
        <v>1</v>
      </c>
    </row>
    <row r="13" spans="1:14" ht="18" customHeight="1">
      <c r="H13" s="351"/>
      <c r="I13" s="351"/>
    </row>
    <row r="14" spans="1:14" ht="18" customHeight="1">
      <c r="H14" s="351"/>
      <c r="I14" s="351"/>
    </row>
    <row r="15" spans="1:14" s="2" customFormat="1" ht="18" customHeight="1">
      <c r="G15" s="1"/>
      <c r="H15" s="352"/>
      <c r="I15" s="352"/>
    </row>
    <row r="16" spans="1:14" ht="18" customHeight="1">
      <c r="H16" s="351"/>
      <c r="I16" s="351"/>
    </row>
    <row r="18" spans="4:17" ht="18" customHeight="1">
      <c r="D18" s="3" t="s">
        <v>1864</v>
      </c>
    </row>
    <row r="19" spans="4:17" ht="18" customHeight="1">
      <c r="D19" s="2062" t="s">
        <v>502</v>
      </c>
      <c r="E19" s="2062" t="s">
        <v>503</v>
      </c>
      <c r="F19" s="2062" t="s">
        <v>504</v>
      </c>
      <c r="G19" s="2062" t="s">
        <v>505</v>
      </c>
      <c r="H19" s="2062" t="s">
        <v>506</v>
      </c>
      <c r="I19" s="2062"/>
      <c r="J19" s="2062" t="s">
        <v>507</v>
      </c>
      <c r="K19" s="2062"/>
      <c r="L19" s="2062" t="s">
        <v>1737</v>
      </c>
      <c r="M19" s="2062"/>
    </row>
    <row r="20" spans="4:17" ht="18" customHeight="1">
      <c r="D20" s="2062"/>
      <c r="E20" s="2062"/>
      <c r="F20" s="2062"/>
      <c r="G20" s="2062"/>
      <c r="H20" s="348" t="s">
        <v>508</v>
      </c>
      <c r="I20" s="348" t="s">
        <v>500</v>
      </c>
      <c r="J20" s="348" t="s">
        <v>508</v>
      </c>
      <c r="K20" s="348" t="s">
        <v>500</v>
      </c>
      <c r="L20" s="348" t="s">
        <v>508</v>
      </c>
      <c r="M20" s="348" t="s">
        <v>500</v>
      </c>
    </row>
    <row r="21" spans="4:17" ht="18" customHeight="1">
      <c r="D21" s="349">
        <v>1</v>
      </c>
      <c r="E21" s="6" t="s">
        <v>15</v>
      </c>
      <c r="F21" s="6" t="s">
        <v>509</v>
      </c>
      <c r="G21" s="30" t="s">
        <v>510</v>
      </c>
      <c r="H21" s="217">
        <v>1</v>
      </c>
      <c r="I21" s="217">
        <v>1</v>
      </c>
      <c r="J21" s="217">
        <v>1</v>
      </c>
      <c r="K21" s="217">
        <v>1</v>
      </c>
      <c r="L21" s="217">
        <v>1</v>
      </c>
      <c r="M21" s="217">
        <v>1</v>
      </c>
    </row>
    <row r="22" spans="4:17" ht="18" customHeight="1">
      <c r="D22" s="349">
        <v>2</v>
      </c>
      <c r="E22" s="6" t="s">
        <v>15</v>
      </c>
      <c r="F22" s="6" t="s">
        <v>515</v>
      </c>
      <c r="G22" s="30" t="s">
        <v>514</v>
      </c>
      <c r="H22" s="217">
        <v>1</v>
      </c>
      <c r="I22" s="217">
        <v>1</v>
      </c>
      <c r="J22" s="217">
        <v>1</v>
      </c>
      <c r="K22" s="217">
        <v>1</v>
      </c>
      <c r="L22" s="217">
        <v>1</v>
      </c>
      <c r="M22" s="217">
        <v>1</v>
      </c>
    </row>
    <row r="23" spans="4:17" ht="18" customHeight="1">
      <c r="D23" s="349">
        <v>3</v>
      </c>
      <c r="E23" s="6" t="s">
        <v>509</v>
      </c>
      <c r="F23" s="6" t="s">
        <v>520</v>
      </c>
      <c r="G23" s="30" t="s">
        <v>521</v>
      </c>
      <c r="H23" s="217">
        <v>1</v>
      </c>
      <c r="I23" s="217">
        <v>1</v>
      </c>
      <c r="J23" s="217">
        <v>1</v>
      </c>
      <c r="K23" s="217">
        <v>1</v>
      </c>
      <c r="L23" s="217">
        <v>1</v>
      </c>
      <c r="M23" s="217">
        <v>1</v>
      </c>
    </row>
    <row r="24" spans="4:17" ht="18" customHeight="1">
      <c r="D24" s="349">
        <v>4</v>
      </c>
      <c r="E24" s="6" t="s">
        <v>509</v>
      </c>
      <c r="F24" s="6" t="s">
        <v>522</v>
      </c>
      <c r="G24" s="30" t="s">
        <v>521</v>
      </c>
      <c r="H24" s="217">
        <v>1</v>
      </c>
      <c r="I24" s="217">
        <v>1</v>
      </c>
      <c r="J24" s="217">
        <v>1</v>
      </c>
      <c r="K24" s="217">
        <v>1</v>
      </c>
      <c r="L24" s="217">
        <v>1</v>
      </c>
      <c r="M24" s="217">
        <v>1</v>
      </c>
    </row>
    <row r="27" spans="4:17" ht="18" customHeight="1">
      <c r="D27" s="3" t="s">
        <v>2001</v>
      </c>
    </row>
    <row r="28" spans="4:17" ht="18" customHeight="1">
      <c r="D28" s="2062" t="s">
        <v>502</v>
      </c>
      <c r="E28" s="2062" t="s">
        <v>503</v>
      </c>
      <c r="F28" s="2062" t="s">
        <v>504</v>
      </c>
      <c r="G28" s="2062" t="s">
        <v>505</v>
      </c>
      <c r="H28" s="2062" t="s">
        <v>506</v>
      </c>
      <c r="I28" s="2062"/>
      <c r="J28" s="2062" t="s">
        <v>507</v>
      </c>
      <c r="K28" s="2062"/>
      <c r="L28" s="2062" t="s">
        <v>1737</v>
      </c>
      <c r="M28" s="2062"/>
      <c r="N28" s="2062" t="s">
        <v>1913</v>
      </c>
      <c r="O28" s="2062"/>
      <c r="P28" s="2062" t="s">
        <v>2000</v>
      </c>
      <c r="Q28" s="2062"/>
    </row>
    <row r="29" spans="4:17" ht="18" customHeight="1">
      <c r="D29" s="2062"/>
      <c r="E29" s="2062"/>
      <c r="F29" s="2062"/>
      <c r="G29" s="2062"/>
      <c r="H29" s="357" t="s">
        <v>508</v>
      </c>
      <c r="I29" s="357" t="s">
        <v>500</v>
      </c>
      <c r="J29" s="357" t="s">
        <v>508</v>
      </c>
      <c r="K29" s="357" t="s">
        <v>500</v>
      </c>
      <c r="L29" s="357" t="s">
        <v>508</v>
      </c>
      <c r="M29" s="357" t="s">
        <v>500</v>
      </c>
      <c r="N29" s="357" t="s">
        <v>508</v>
      </c>
      <c r="O29" s="357" t="s">
        <v>500</v>
      </c>
      <c r="P29" s="367" t="s">
        <v>508</v>
      </c>
      <c r="Q29" s="367" t="s">
        <v>500</v>
      </c>
    </row>
    <row r="30" spans="4:17" ht="18" customHeight="1">
      <c r="D30" s="349">
        <v>1</v>
      </c>
      <c r="E30" s="6" t="s">
        <v>15</v>
      </c>
      <c r="F30" s="6" t="s">
        <v>509</v>
      </c>
      <c r="G30" s="30" t="s">
        <v>510</v>
      </c>
      <c r="H30" s="217">
        <v>1</v>
      </c>
      <c r="I30" s="217">
        <v>1</v>
      </c>
      <c r="J30" s="217">
        <v>1</v>
      </c>
      <c r="K30" s="217">
        <v>1</v>
      </c>
      <c r="L30" s="217">
        <v>1</v>
      </c>
      <c r="M30" s="217">
        <v>1</v>
      </c>
      <c r="N30" s="217">
        <v>1</v>
      </c>
      <c r="O30" s="217">
        <v>1</v>
      </c>
      <c r="P30" s="217">
        <v>1</v>
      </c>
      <c r="Q30" s="217">
        <v>1</v>
      </c>
    </row>
    <row r="31" spans="4:17" ht="18" customHeight="1">
      <c r="D31" s="349">
        <v>2</v>
      </c>
      <c r="E31" s="6" t="s">
        <v>15</v>
      </c>
      <c r="F31" s="6" t="s">
        <v>515</v>
      </c>
      <c r="G31" s="30" t="s">
        <v>514</v>
      </c>
      <c r="H31" s="217">
        <v>1</v>
      </c>
      <c r="I31" s="217">
        <v>1</v>
      </c>
      <c r="J31" s="217">
        <v>1</v>
      </c>
      <c r="K31" s="217">
        <v>1</v>
      </c>
      <c r="L31" s="217">
        <v>1</v>
      </c>
      <c r="M31" s="217">
        <v>1</v>
      </c>
      <c r="N31" s="217">
        <v>1</v>
      </c>
      <c r="O31" s="217">
        <v>1</v>
      </c>
      <c r="P31" s="217">
        <v>1</v>
      </c>
      <c r="Q31" s="217">
        <v>1</v>
      </c>
    </row>
    <row r="32" spans="4:17" ht="18" customHeight="1">
      <c r="D32" s="349">
        <v>3</v>
      </c>
      <c r="E32" s="6" t="s">
        <v>509</v>
      </c>
      <c r="F32" s="6" t="s">
        <v>520</v>
      </c>
      <c r="G32" s="30" t="s">
        <v>521</v>
      </c>
      <c r="H32" s="217">
        <v>1</v>
      </c>
      <c r="I32" s="217">
        <v>1</v>
      </c>
      <c r="J32" s="217">
        <v>1</v>
      </c>
      <c r="K32" s="217">
        <v>1</v>
      </c>
      <c r="L32" s="217">
        <v>1</v>
      </c>
      <c r="M32" s="217">
        <v>1</v>
      </c>
      <c r="N32" s="217">
        <v>1</v>
      </c>
      <c r="O32" s="217">
        <v>1</v>
      </c>
      <c r="P32" s="217">
        <v>1</v>
      </c>
      <c r="Q32" s="217">
        <v>1</v>
      </c>
    </row>
    <row r="33" spans="4:17" ht="18" customHeight="1">
      <c r="D33" s="349">
        <v>4</v>
      </c>
      <c r="E33" s="6" t="s">
        <v>509</v>
      </c>
      <c r="F33" s="6" t="s">
        <v>522</v>
      </c>
      <c r="G33" s="30" t="s">
        <v>521</v>
      </c>
      <c r="H33" s="217">
        <v>1</v>
      </c>
      <c r="I33" s="217">
        <v>1</v>
      </c>
      <c r="J33" s="217">
        <v>1</v>
      </c>
      <c r="K33" s="217">
        <v>1</v>
      </c>
      <c r="L33" s="217">
        <v>1</v>
      </c>
      <c r="M33" s="217">
        <v>1</v>
      </c>
      <c r="N33" s="217">
        <v>1</v>
      </c>
      <c r="O33" s="217">
        <v>1</v>
      </c>
      <c r="P33" s="217">
        <v>1</v>
      </c>
      <c r="Q33" s="217">
        <v>1</v>
      </c>
    </row>
  </sheetData>
  <mergeCells count="23">
    <mergeCell ref="P28:Q28"/>
    <mergeCell ref="J3:K3"/>
    <mergeCell ref="L3:M3"/>
    <mergeCell ref="D3:D4"/>
    <mergeCell ref="E3:E4"/>
    <mergeCell ref="F3:F4"/>
    <mergeCell ref="G3:G4"/>
    <mergeCell ref="H3:I3"/>
    <mergeCell ref="J19:K19"/>
    <mergeCell ref="L19:M19"/>
    <mergeCell ref="D19:D20"/>
    <mergeCell ref="E19:E20"/>
    <mergeCell ref="F19:F20"/>
    <mergeCell ref="G19:G20"/>
    <mergeCell ref="H19:I19"/>
    <mergeCell ref="J28:K28"/>
    <mergeCell ref="L28:M28"/>
    <mergeCell ref="N28:O28"/>
    <mergeCell ref="D28:D29"/>
    <mergeCell ref="E28:E29"/>
    <mergeCell ref="F28:F29"/>
    <mergeCell ref="G28:G29"/>
    <mergeCell ref="H28:I28"/>
  </mergeCells>
  <phoneticPr fontId="2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C2:AC384"/>
  <sheetViews>
    <sheetView showGridLines="0" zoomScaleNormal="100" workbookViewId="0">
      <pane xSplit="7" ySplit="6" topLeftCell="Z172" activePane="bottomRight" state="frozen"/>
      <selection activeCell="AA236" sqref="AA236"/>
      <selection pane="topRight" activeCell="AA236" sqref="AA236"/>
      <selection pane="bottomLeft" activeCell="AA236" sqref="AA236"/>
      <selection pane="bottomRight" activeCell="F186" sqref="F186"/>
    </sheetView>
  </sheetViews>
  <sheetFormatPr defaultColWidth="8.75" defaultRowHeight="18" customHeight="1" outlineLevelCol="1"/>
  <cols>
    <col min="1" max="3" width="2.375" style="6" customWidth="1"/>
    <col min="4" max="5" width="19.875" style="6" customWidth="1"/>
    <col min="6" max="6" width="31.875" style="30" bestFit="1" customWidth="1"/>
    <col min="7" max="7" width="25.625" style="6" customWidth="1"/>
    <col min="8" max="9" width="19.25" style="279" customWidth="1" outlineLevel="1"/>
    <col min="10" max="11" width="19.375" style="279" customWidth="1" outlineLevel="1"/>
    <col min="12" max="12" width="19.375" style="279" customWidth="1"/>
    <col min="13" max="13" width="3.125" style="6" customWidth="1"/>
    <col min="14" max="19" width="19.375" style="279" customWidth="1"/>
    <col min="20" max="20" width="2.25" style="6" customWidth="1"/>
    <col min="21" max="21" width="22.5" style="279" bestFit="1" customWidth="1"/>
    <col min="22" max="22" width="5.625" style="6" bestFit="1" customWidth="1"/>
    <col min="23" max="23" width="13.75" style="6" customWidth="1"/>
    <col min="24" max="24" width="13.125" style="6" bestFit="1" customWidth="1"/>
    <col min="25" max="25" width="9.625" style="6" bestFit="1" customWidth="1"/>
    <col min="26" max="26" width="14.125" style="3" bestFit="1" customWidth="1"/>
    <col min="27" max="27" width="8.75" style="6"/>
    <col min="28" max="28" width="14.125" style="3" bestFit="1" customWidth="1"/>
    <col min="29" max="16384" width="8.75" style="6"/>
  </cols>
  <sheetData>
    <row r="2" spans="3:29" s="204" customFormat="1" ht="18" customHeight="1">
      <c r="F2" s="32"/>
      <c r="H2" s="278"/>
      <c r="I2" s="278"/>
      <c r="J2" s="463" t="s">
        <v>2294</v>
      </c>
      <c r="K2" s="278"/>
      <c r="L2" s="278"/>
      <c r="N2" s="278"/>
      <c r="O2" s="278"/>
      <c r="P2" s="278"/>
      <c r="Q2" s="278"/>
      <c r="R2" s="278"/>
      <c r="S2" s="278"/>
      <c r="U2" s="278"/>
      <c r="Z2" s="24"/>
      <c r="AB2" s="24"/>
    </row>
    <row r="3" spans="3:29" ht="18" customHeight="1">
      <c r="D3" s="33"/>
    </row>
    <row r="4" spans="3:29" s="280" customFormat="1" ht="18" customHeight="1">
      <c r="H4" s="488" t="s">
        <v>2291</v>
      </c>
      <c r="I4" s="488" t="s">
        <v>2293</v>
      </c>
      <c r="J4" s="488" t="s">
        <v>2292</v>
      </c>
      <c r="K4" s="488" t="s">
        <v>2384</v>
      </c>
      <c r="L4" s="249"/>
      <c r="N4" s="249"/>
      <c r="O4" s="249"/>
      <c r="P4" s="249"/>
      <c r="Q4" s="249"/>
      <c r="R4" s="249"/>
      <c r="S4" s="249"/>
      <c r="U4" s="249"/>
      <c r="Z4" s="8" t="s">
        <v>2370</v>
      </c>
      <c r="AB4" s="8" t="s">
        <v>2383</v>
      </c>
    </row>
    <row r="5" spans="3:29" ht="18" customHeight="1" thickBot="1">
      <c r="H5" s="279">
        <f>H355-H352-H349</f>
        <v>0</v>
      </c>
      <c r="I5" s="279">
        <f>I355-I352-I349</f>
        <v>0</v>
      </c>
      <c r="J5" s="279">
        <f>J355-J352-J349</f>
        <v>0</v>
      </c>
      <c r="K5" s="279">
        <f t="shared" ref="K5:S5" si="0">K355-K352-K349</f>
        <v>0</v>
      </c>
      <c r="L5" s="279">
        <f t="shared" si="0"/>
        <v>0</v>
      </c>
      <c r="N5" s="279">
        <f>N355-N352-N349</f>
        <v>0</v>
      </c>
      <c r="O5" s="279">
        <f t="shared" si="0"/>
        <v>0</v>
      </c>
      <c r="P5" s="279">
        <f t="shared" si="0"/>
        <v>-1.4901161193847656E-8</v>
      </c>
      <c r="Q5" s="279">
        <f t="shared" si="0"/>
        <v>0</v>
      </c>
      <c r="R5" s="279">
        <f t="shared" si="0"/>
        <v>0</v>
      </c>
      <c r="S5" s="279">
        <f t="shared" si="0"/>
        <v>0</v>
      </c>
      <c r="U5" s="456">
        <f>U355-U352-U349</f>
        <v>0</v>
      </c>
      <c r="Z5" s="456">
        <f>Z355-Z352-Z349</f>
        <v>0</v>
      </c>
      <c r="AB5" s="456">
        <f>AB355-AB352-AB349</f>
        <v>0</v>
      </c>
    </row>
    <row r="6" spans="3:29" s="283" customFormat="1" ht="38.1" customHeight="1">
      <c r="D6" s="9" t="s">
        <v>1361</v>
      </c>
      <c r="E6" s="10" t="s">
        <v>1362</v>
      </c>
      <c r="F6" s="10" t="s">
        <v>17</v>
      </c>
      <c r="G6" s="10" t="s">
        <v>691</v>
      </c>
      <c r="H6" s="253" t="s">
        <v>15</v>
      </c>
      <c r="I6" s="253" t="s">
        <v>2189</v>
      </c>
      <c r="J6" s="253" t="s">
        <v>217</v>
      </c>
      <c r="K6" s="253" t="s">
        <v>215</v>
      </c>
      <c r="L6" s="281" t="s">
        <v>227</v>
      </c>
      <c r="M6" s="282"/>
      <c r="N6" s="213" t="s">
        <v>1447</v>
      </c>
      <c r="O6" s="214" t="s">
        <v>1448</v>
      </c>
      <c r="P6" s="214" t="s">
        <v>1449</v>
      </c>
      <c r="Q6" s="214" t="s">
        <v>1450</v>
      </c>
      <c r="R6" s="214" t="s">
        <v>1451</v>
      </c>
      <c r="S6" s="215" t="s">
        <v>1462</v>
      </c>
      <c r="U6" s="284" t="s">
        <v>1463</v>
      </c>
      <c r="Z6" s="284" t="s">
        <v>1463</v>
      </c>
      <c r="AB6" s="284" t="s">
        <v>1463</v>
      </c>
    </row>
    <row r="7" spans="3:29" ht="18" customHeight="1">
      <c r="C7" s="6">
        <v>1</v>
      </c>
      <c r="D7" s="285" t="s">
        <v>692</v>
      </c>
      <c r="E7" s="286" t="s">
        <v>692</v>
      </c>
      <c r="F7" s="287"/>
      <c r="G7" s="286" t="s">
        <v>693</v>
      </c>
      <c r="H7" s="288">
        <f>SUM(H8,H10,H74,H125,H175)</f>
        <v>2776289498</v>
      </c>
      <c r="I7" s="288">
        <f>SUM(I8,I10,I74,I125,I175)</f>
        <v>-1062858162</v>
      </c>
      <c r="J7" s="288">
        <f>SUM(J8,J10,J74,J125,J175)</f>
        <v>18879154</v>
      </c>
      <c r="K7" s="288">
        <f>SUM(K8,K10,K74,K125,K175)</f>
        <v>680949926</v>
      </c>
      <c r="L7" s="289">
        <f>SUM(L8,L10,L74,L125,L175)</f>
        <v>2413260416</v>
      </c>
      <c r="N7" s="290">
        <v>0</v>
      </c>
      <c r="O7" s="288">
        <v>0</v>
      </c>
      <c r="P7" s="288">
        <v>-141771.84849999845</v>
      </c>
      <c r="Q7" s="288">
        <v>0</v>
      </c>
      <c r="R7" s="288">
        <v>-20000000</v>
      </c>
      <c r="S7" s="289">
        <v>-20141771.848499998</v>
      </c>
      <c r="U7" s="291">
        <f>SUM(U8,U10,U74,U125,U175)</f>
        <v>2393118644</v>
      </c>
      <c r="Z7" s="291">
        <v>-8741054130</v>
      </c>
      <c r="AB7" s="291">
        <f>U7-Z7</f>
        <v>11134172774</v>
      </c>
    </row>
    <row r="8" spans="3:29" ht="18" customHeight="1">
      <c r="C8" s="6">
        <v>1</v>
      </c>
      <c r="D8" s="285" t="s">
        <v>694</v>
      </c>
      <c r="E8" s="286" t="s">
        <v>694</v>
      </c>
      <c r="F8" s="287"/>
      <c r="G8" s="286" t="s">
        <v>209</v>
      </c>
      <c r="H8" s="288">
        <f>H9</f>
        <v>-14356395788</v>
      </c>
      <c r="I8" s="288">
        <f>I9</f>
        <v>-1036303374</v>
      </c>
      <c r="J8" s="288">
        <f>J9</f>
        <v>-317722783</v>
      </c>
      <c r="K8" s="288">
        <f>K9</f>
        <v>-566547623</v>
      </c>
      <c r="L8" s="289">
        <f>L9</f>
        <v>-16276969568</v>
      </c>
      <c r="N8" s="290">
        <v>0</v>
      </c>
      <c r="O8" s="288">
        <v>172052596</v>
      </c>
      <c r="P8" s="288">
        <v>-2333333</v>
      </c>
      <c r="Q8" s="288">
        <v>0</v>
      </c>
      <c r="R8" s="288">
        <v>4157280</v>
      </c>
      <c r="S8" s="289">
        <v>173876543</v>
      </c>
      <c r="U8" s="291">
        <f>U9</f>
        <v>-16103093025</v>
      </c>
      <c r="Z8" s="291">
        <v>-313754948</v>
      </c>
      <c r="AB8" s="291">
        <f t="shared" ref="AB8:AB71" si="1">U8-Z8</f>
        <v>-15789338077</v>
      </c>
    </row>
    <row r="9" spans="3:29" ht="18" customHeight="1">
      <c r="C9" s="6">
        <v>1</v>
      </c>
      <c r="D9" s="292" t="s">
        <v>695</v>
      </c>
      <c r="E9" s="293" t="s">
        <v>695</v>
      </c>
      <c r="F9" s="294" t="s">
        <v>1950</v>
      </c>
      <c r="G9" s="293" t="s">
        <v>696</v>
      </c>
      <c r="H9" s="370">
        <v>-14356395788</v>
      </c>
      <c r="I9" s="370">
        <v>-1036303374</v>
      </c>
      <c r="J9" s="370">
        <v>-317722783</v>
      </c>
      <c r="K9" s="370">
        <v>-566547623</v>
      </c>
      <c r="L9" s="296">
        <f>SUM(H9:K9)</f>
        <v>-16276969568</v>
      </c>
      <c r="N9" s="297">
        <v>0</v>
      </c>
      <c r="O9" s="295">
        <v>172052596</v>
      </c>
      <c r="P9" s="295">
        <v>-2333333</v>
      </c>
      <c r="Q9" s="295">
        <v>0</v>
      </c>
      <c r="R9" s="295">
        <v>4157280</v>
      </c>
      <c r="S9" s="296">
        <v>173876543</v>
      </c>
      <c r="U9" s="298">
        <f>ROUND(S9+L9,0)</f>
        <v>-16103093025</v>
      </c>
      <c r="W9" s="7" t="b">
        <f>U9-T_IS!X128=0</f>
        <v>0</v>
      </c>
      <c r="X9" s="7"/>
      <c r="Z9" s="305">
        <v>-313754948</v>
      </c>
      <c r="AB9" s="305">
        <f t="shared" si="1"/>
        <v>-15789338077</v>
      </c>
    </row>
    <row r="10" spans="3:29" ht="18" customHeight="1">
      <c r="C10" s="6">
        <v>1</v>
      </c>
      <c r="D10" s="285" t="s">
        <v>697</v>
      </c>
      <c r="E10" s="286" t="s">
        <v>697</v>
      </c>
      <c r="F10" s="287"/>
      <c r="G10" s="286" t="s">
        <v>698</v>
      </c>
      <c r="H10" s="288">
        <f>SUM(H11:H73)</f>
        <v>36793339970</v>
      </c>
      <c r="I10" s="288">
        <f>SUM(I11:I73)</f>
        <v>140989384</v>
      </c>
      <c r="J10" s="288">
        <f>SUM(J11:J73)</f>
        <v>16527849</v>
      </c>
      <c r="K10" s="288">
        <f>SUM(K11:K73)</f>
        <v>999428502</v>
      </c>
      <c r="L10" s="289">
        <f>SUM(L11:L73)</f>
        <v>37950285705</v>
      </c>
      <c r="N10" s="290">
        <v>0</v>
      </c>
      <c r="O10" s="288">
        <v>0</v>
      </c>
      <c r="P10" s="288">
        <v>-47128749</v>
      </c>
      <c r="Q10" s="288">
        <v>0</v>
      </c>
      <c r="R10" s="288">
        <v>0</v>
      </c>
      <c r="S10" s="289">
        <v>-47128749</v>
      </c>
      <c r="U10" s="291">
        <f>SUM(U11:U73)</f>
        <v>37903156956</v>
      </c>
      <c r="V10" s="6" t="b">
        <f>U10=SUM(U11:U73)</f>
        <v>1</v>
      </c>
      <c r="X10" s="7">
        <f>U10+U74</f>
        <v>30446241780</v>
      </c>
      <c r="Z10" s="291">
        <v>19891924235</v>
      </c>
      <c r="AA10" s="6" t="b">
        <f>Z10=SUM(Z11:Z73)</f>
        <v>1</v>
      </c>
      <c r="AB10" s="291">
        <f t="shared" si="1"/>
        <v>18011232721</v>
      </c>
      <c r="AC10" s="6" t="b">
        <f>AB10=SUM(AB11:AB73)</f>
        <v>1</v>
      </c>
    </row>
    <row r="11" spans="3:29" ht="18" customHeight="1">
      <c r="C11" s="6">
        <v>1</v>
      </c>
      <c r="D11" s="292" t="s">
        <v>699</v>
      </c>
      <c r="E11" s="293" t="s">
        <v>699</v>
      </c>
      <c r="F11" s="294" t="s">
        <v>488</v>
      </c>
      <c r="G11" s="293" t="s">
        <v>488</v>
      </c>
      <c r="H11" s="370">
        <v>3534831701</v>
      </c>
      <c r="I11" s="370">
        <v>64876856</v>
      </c>
      <c r="J11" s="452">
        <v>15317766</v>
      </c>
      <c r="K11" s="295">
        <v>366602023</v>
      </c>
      <c r="L11" s="296">
        <f t="shared" ref="L11:L42" si="2">SUM(H11:K11)</f>
        <v>3981628346</v>
      </c>
      <c r="N11" s="297">
        <v>0</v>
      </c>
      <c r="O11" s="295">
        <v>0</v>
      </c>
      <c r="P11" s="295">
        <v>0</v>
      </c>
      <c r="Q11" s="295">
        <v>0</v>
      </c>
      <c r="R11" s="295">
        <v>0</v>
      </c>
      <c r="S11" s="296">
        <v>0</v>
      </c>
      <c r="U11" s="298">
        <f t="shared" ref="U11:U73" si="3">ROUND(S11+L11,0)</f>
        <v>3981628346</v>
      </c>
      <c r="Z11" s="305">
        <v>3067602777</v>
      </c>
      <c r="AB11" s="305">
        <f t="shared" si="1"/>
        <v>914025569</v>
      </c>
    </row>
    <row r="12" spans="3:29" ht="18" customHeight="1">
      <c r="C12" s="6">
        <v>1</v>
      </c>
      <c r="D12" s="292" t="s">
        <v>700</v>
      </c>
      <c r="E12" s="293" t="s">
        <v>700</v>
      </c>
      <c r="F12" s="294" t="s">
        <v>386</v>
      </c>
      <c r="G12" s="293" t="s">
        <v>386</v>
      </c>
      <c r="H12" s="370">
        <v>3857142123</v>
      </c>
      <c r="I12" s="370">
        <v>247666</v>
      </c>
      <c r="J12" s="295">
        <v>0</v>
      </c>
      <c r="K12" s="295">
        <v>15578634</v>
      </c>
      <c r="L12" s="296">
        <f t="shared" si="2"/>
        <v>3872968423</v>
      </c>
      <c r="N12" s="297">
        <v>0</v>
      </c>
      <c r="O12" s="295">
        <v>0</v>
      </c>
      <c r="P12" s="295">
        <v>0</v>
      </c>
      <c r="Q12" s="295">
        <v>0</v>
      </c>
      <c r="R12" s="295">
        <v>0</v>
      </c>
      <c r="S12" s="296">
        <v>0</v>
      </c>
      <c r="U12" s="298">
        <f t="shared" si="3"/>
        <v>3872968423</v>
      </c>
      <c r="Z12" s="305">
        <v>3210282324</v>
      </c>
      <c r="AB12" s="305">
        <f t="shared" si="1"/>
        <v>662686099</v>
      </c>
    </row>
    <row r="13" spans="3:29" ht="18" customHeight="1">
      <c r="C13" s="6">
        <v>1</v>
      </c>
      <c r="D13" s="292" t="s">
        <v>701</v>
      </c>
      <c r="E13" s="293" t="s">
        <v>701</v>
      </c>
      <c r="F13" s="294" t="s">
        <v>262</v>
      </c>
      <c r="G13" s="293" t="s">
        <v>262</v>
      </c>
      <c r="H13" s="370">
        <v>1740464370</v>
      </c>
      <c r="I13" s="370">
        <v>26655902</v>
      </c>
      <c r="J13" s="295">
        <v>0</v>
      </c>
      <c r="K13" s="295">
        <v>26749081</v>
      </c>
      <c r="L13" s="296">
        <f t="shared" si="2"/>
        <v>1793869353</v>
      </c>
      <c r="N13" s="297">
        <v>0</v>
      </c>
      <c r="O13" s="295">
        <v>0</v>
      </c>
      <c r="P13" s="295">
        <v>0</v>
      </c>
      <c r="Q13" s="295">
        <v>0</v>
      </c>
      <c r="R13" s="295">
        <v>0</v>
      </c>
      <c r="S13" s="296">
        <v>0</v>
      </c>
      <c r="U13" s="298">
        <f t="shared" si="3"/>
        <v>1793869353</v>
      </c>
      <c r="Z13" s="305">
        <v>1475250123</v>
      </c>
      <c r="AB13" s="305">
        <f t="shared" si="1"/>
        <v>318619230</v>
      </c>
    </row>
    <row r="14" spans="3:29" ht="18" customHeight="1">
      <c r="C14" s="6">
        <v>1</v>
      </c>
      <c r="D14" s="292" t="s">
        <v>702</v>
      </c>
      <c r="E14" s="293" t="s">
        <v>702</v>
      </c>
      <c r="F14" s="294" t="s">
        <v>1416</v>
      </c>
      <c r="G14" s="293" t="s">
        <v>302</v>
      </c>
      <c r="H14" s="370">
        <v>-410162407</v>
      </c>
      <c r="I14" s="370">
        <v>0</v>
      </c>
      <c r="J14" s="295">
        <v>0</v>
      </c>
      <c r="K14" s="295">
        <v>0</v>
      </c>
      <c r="L14" s="296">
        <f t="shared" si="2"/>
        <v>-410162407</v>
      </c>
      <c r="N14" s="297">
        <v>0</v>
      </c>
      <c r="O14" s="295">
        <v>0</v>
      </c>
      <c r="P14" s="295">
        <v>0</v>
      </c>
      <c r="Q14" s="295">
        <v>0</v>
      </c>
      <c r="R14" s="295">
        <v>0</v>
      </c>
      <c r="S14" s="296">
        <v>0</v>
      </c>
      <c r="U14" s="298">
        <f t="shared" si="3"/>
        <v>-410162407</v>
      </c>
      <c r="W14" s="6" t="b">
        <f>U14=T_IS!X69</f>
        <v>0</v>
      </c>
      <c r="Z14" s="305">
        <v>-222716469</v>
      </c>
      <c r="AB14" s="305">
        <f t="shared" si="1"/>
        <v>-187445938</v>
      </c>
    </row>
    <row r="15" spans="3:29" ht="18" customHeight="1">
      <c r="C15" s="6">
        <v>1</v>
      </c>
      <c r="D15" s="292" t="s">
        <v>703</v>
      </c>
      <c r="E15" s="293" t="s">
        <v>703</v>
      </c>
      <c r="F15" s="294" t="s">
        <v>683</v>
      </c>
      <c r="G15" s="293" t="s">
        <v>683</v>
      </c>
      <c r="H15" s="370">
        <v>59793028</v>
      </c>
      <c r="I15" s="370">
        <v>0</v>
      </c>
      <c r="J15" s="295">
        <v>0</v>
      </c>
      <c r="K15" s="295">
        <v>0</v>
      </c>
      <c r="L15" s="296">
        <f t="shared" si="2"/>
        <v>59793028</v>
      </c>
      <c r="N15" s="297">
        <v>0</v>
      </c>
      <c r="O15" s="295">
        <v>0</v>
      </c>
      <c r="P15" s="295">
        <v>0</v>
      </c>
      <c r="Q15" s="295">
        <v>0</v>
      </c>
      <c r="R15" s="295">
        <v>0</v>
      </c>
      <c r="S15" s="296">
        <v>0</v>
      </c>
      <c r="U15" s="298">
        <f t="shared" si="3"/>
        <v>59793028</v>
      </c>
      <c r="W15" s="6" t="b">
        <f>T_IS!X95+T_IS!X96=U15</f>
        <v>0</v>
      </c>
      <c r="Z15" s="305">
        <v>62560224</v>
      </c>
      <c r="AB15" s="305">
        <f t="shared" si="1"/>
        <v>-2767196</v>
      </c>
    </row>
    <row r="16" spans="3:29" ht="18" customHeight="1">
      <c r="C16" s="6">
        <v>1</v>
      </c>
      <c r="D16" s="292" t="s">
        <v>704</v>
      </c>
      <c r="E16" s="293" t="s">
        <v>704</v>
      </c>
      <c r="F16" s="294" t="s">
        <v>1446</v>
      </c>
      <c r="G16" s="293" t="s">
        <v>705</v>
      </c>
      <c r="H16" s="370">
        <v>0</v>
      </c>
      <c r="I16" s="295">
        <v>0</v>
      </c>
      <c r="J16" s="295">
        <v>0</v>
      </c>
      <c r="K16" s="295">
        <v>0</v>
      </c>
      <c r="L16" s="296">
        <f t="shared" si="2"/>
        <v>0</v>
      </c>
      <c r="N16" s="297">
        <v>0</v>
      </c>
      <c r="O16" s="295">
        <v>0</v>
      </c>
      <c r="P16" s="295">
        <v>0</v>
      </c>
      <c r="Q16" s="295">
        <v>0</v>
      </c>
      <c r="R16" s="295">
        <v>0</v>
      </c>
      <c r="S16" s="296">
        <v>0</v>
      </c>
      <c r="U16" s="298">
        <f t="shared" si="3"/>
        <v>0</v>
      </c>
      <c r="Z16" s="305">
        <v>0</v>
      </c>
      <c r="AB16" s="305">
        <f t="shared" si="1"/>
        <v>0</v>
      </c>
    </row>
    <row r="17" spans="3:28" ht="18" customHeight="1">
      <c r="C17" s="6">
        <v>1</v>
      </c>
      <c r="D17" s="292" t="s">
        <v>706</v>
      </c>
      <c r="E17" s="293" t="s">
        <v>706</v>
      </c>
      <c r="F17" s="294" t="s">
        <v>1420</v>
      </c>
      <c r="G17" s="293" t="s">
        <v>707</v>
      </c>
      <c r="H17" s="370">
        <v>0</v>
      </c>
      <c r="I17" s="370">
        <v>0</v>
      </c>
      <c r="J17" s="295">
        <v>0</v>
      </c>
      <c r="K17" s="295">
        <v>0</v>
      </c>
      <c r="L17" s="296">
        <f t="shared" si="2"/>
        <v>0</v>
      </c>
      <c r="N17" s="297">
        <v>0</v>
      </c>
      <c r="O17" s="295">
        <v>0</v>
      </c>
      <c r="P17" s="295">
        <v>0</v>
      </c>
      <c r="Q17" s="295">
        <v>0</v>
      </c>
      <c r="R17" s="295">
        <v>0</v>
      </c>
      <c r="S17" s="296">
        <v>0</v>
      </c>
      <c r="U17" s="298">
        <f t="shared" si="3"/>
        <v>0</v>
      </c>
      <c r="Z17" s="305">
        <v>0</v>
      </c>
      <c r="AB17" s="305">
        <f t="shared" si="1"/>
        <v>0</v>
      </c>
    </row>
    <row r="18" spans="3:28" ht="18" customHeight="1">
      <c r="C18" s="6">
        <v>1</v>
      </c>
      <c r="D18" s="292" t="s">
        <v>708</v>
      </c>
      <c r="E18" s="293" t="s">
        <v>708</v>
      </c>
      <c r="F18" s="294" t="s">
        <v>611</v>
      </c>
      <c r="G18" s="293" t="s">
        <v>709</v>
      </c>
      <c r="H18" s="370">
        <v>0</v>
      </c>
      <c r="I18" s="295">
        <v>0</v>
      </c>
      <c r="J18" s="295">
        <v>0</v>
      </c>
      <c r="K18" s="295">
        <v>0</v>
      </c>
      <c r="L18" s="296">
        <f t="shared" si="2"/>
        <v>0</v>
      </c>
      <c r="N18" s="297">
        <v>0</v>
      </c>
      <c r="O18" s="295">
        <v>0</v>
      </c>
      <c r="P18" s="295">
        <v>0</v>
      </c>
      <c r="Q18" s="295">
        <v>0</v>
      </c>
      <c r="R18" s="295">
        <v>0</v>
      </c>
      <c r="S18" s="296">
        <v>0</v>
      </c>
      <c r="U18" s="298">
        <f t="shared" si="3"/>
        <v>0</v>
      </c>
      <c r="Z18" s="305">
        <v>0</v>
      </c>
      <c r="AB18" s="305">
        <f t="shared" si="1"/>
        <v>0</v>
      </c>
    </row>
    <row r="19" spans="3:28" ht="18" customHeight="1">
      <c r="C19" s="6">
        <v>1</v>
      </c>
      <c r="D19" s="292" t="s">
        <v>710</v>
      </c>
      <c r="E19" s="293" t="s">
        <v>710</v>
      </c>
      <c r="F19" s="294" t="s">
        <v>611</v>
      </c>
      <c r="G19" s="293" t="s">
        <v>711</v>
      </c>
      <c r="H19" s="370">
        <v>0</v>
      </c>
      <c r="I19" s="295">
        <v>0</v>
      </c>
      <c r="J19" s="295">
        <v>0</v>
      </c>
      <c r="K19" s="295">
        <v>0</v>
      </c>
      <c r="L19" s="296">
        <f t="shared" si="2"/>
        <v>0</v>
      </c>
      <c r="N19" s="297">
        <v>0</v>
      </c>
      <c r="O19" s="295">
        <v>0</v>
      </c>
      <c r="P19" s="295">
        <v>0</v>
      </c>
      <c r="Q19" s="295">
        <v>0</v>
      </c>
      <c r="R19" s="295">
        <v>0</v>
      </c>
      <c r="S19" s="296">
        <v>0</v>
      </c>
      <c r="U19" s="298">
        <f t="shared" si="3"/>
        <v>0</v>
      </c>
      <c r="Z19" s="305">
        <v>0</v>
      </c>
      <c r="AB19" s="305">
        <f t="shared" si="1"/>
        <v>0</v>
      </c>
    </row>
    <row r="20" spans="3:28" ht="18" customHeight="1">
      <c r="C20" s="6">
        <v>1</v>
      </c>
      <c r="D20" s="292" t="s">
        <v>712</v>
      </c>
      <c r="E20" s="293" t="s">
        <v>712</v>
      </c>
      <c r="F20" s="294" t="s">
        <v>1731</v>
      </c>
      <c r="G20" s="293" t="s">
        <v>713</v>
      </c>
      <c r="H20" s="370">
        <v>0</v>
      </c>
      <c r="I20" s="295">
        <v>0</v>
      </c>
      <c r="J20" s="295">
        <v>0</v>
      </c>
      <c r="K20" s="295">
        <v>0</v>
      </c>
      <c r="L20" s="296">
        <f t="shared" si="2"/>
        <v>0</v>
      </c>
      <c r="N20" s="297">
        <v>0</v>
      </c>
      <c r="O20" s="295">
        <v>0</v>
      </c>
      <c r="P20" s="295">
        <v>0</v>
      </c>
      <c r="Q20" s="295">
        <v>0</v>
      </c>
      <c r="R20" s="295">
        <v>0</v>
      </c>
      <c r="S20" s="296">
        <v>0</v>
      </c>
      <c r="U20" s="298">
        <f t="shared" si="3"/>
        <v>0</v>
      </c>
      <c r="W20" s="6" t="b">
        <f>U20=-T_IS!X119</f>
        <v>0</v>
      </c>
      <c r="Z20" s="305">
        <v>0</v>
      </c>
      <c r="AB20" s="305">
        <f t="shared" si="1"/>
        <v>0</v>
      </c>
    </row>
    <row r="21" spans="3:28" ht="18" customHeight="1">
      <c r="C21" s="6">
        <v>1</v>
      </c>
      <c r="D21" s="292" t="s">
        <v>714</v>
      </c>
      <c r="E21" s="293" t="s">
        <v>714</v>
      </c>
      <c r="F21" s="294" t="s">
        <v>611</v>
      </c>
      <c r="G21" s="293" t="s">
        <v>715</v>
      </c>
      <c r="H21" s="370">
        <v>0</v>
      </c>
      <c r="I21" s="295">
        <v>0</v>
      </c>
      <c r="J21" s="295">
        <v>0</v>
      </c>
      <c r="K21" s="295">
        <v>0</v>
      </c>
      <c r="L21" s="296">
        <f t="shared" si="2"/>
        <v>0</v>
      </c>
      <c r="N21" s="297">
        <v>0</v>
      </c>
      <c r="O21" s="295">
        <v>0</v>
      </c>
      <c r="P21" s="295">
        <v>0</v>
      </c>
      <c r="Q21" s="295">
        <v>0</v>
      </c>
      <c r="R21" s="295">
        <v>0</v>
      </c>
      <c r="S21" s="296">
        <v>0</v>
      </c>
      <c r="U21" s="298">
        <f t="shared" si="3"/>
        <v>0</v>
      </c>
      <c r="Z21" s="305">
        <v>0</v>
      </c>
      <c r="AB21" s="305">
        <f t="shared" si="1"/>
        <v>0</v>
      </c>
    </row>
    <row r="22" spans="3:28" ht="18" customHeight="1">
      <c r="C22" s="6">
        <v>1</v>
      </c>
      <c r="D22" s="292" t="s">
        <v>716</v>
      </c>
      <c r="E22" s="293" t="s">
        <v>716</v>
      </c>
      <c r="F22" s="294" t="s">
        <v>377</v>
      </c>
      <c r="G22" s="293" t="s">
        <v>717</v>
      </c>
      <c r="H22" s="370">
        <v>0</v>
      </c>
      <c r="I22" s="370">
        <v>0</v>
      </c>
      <c r="J22" s="295">
        <v>0</v>
      </c>
      <c r="K22" s="295">
        <v>0</v>
      </c>
      <c r="L22" s="296">
        <f t="shared" si="2"/>
        <v>0</v>
      </c>
      <c r="N22" s="297">
        <v>0</v>
      </c>
      <c r="O22" s="295">
        <v>0</v>
      </c>
      <c r="P22" s="295">
        <v>0</v>
      </c>
      <c r="Q22" s="295">
        <v>0</v>
      </c>
      <c r="R22" s="295">
        <v>0</v>
      </c>
      <c r="S22" s="296">
        <v>0</v>
      </c>
      <c r="U22" s="298">
        <f t="shared" si="3"/>
        <v>0</v>
      </c>
      <c r="Z22" s="305">
        <v>0</v>
      </c>
      <c r="AB22" s="305">
        <f t="shared" si="1"/>
        <v>0</v>
      </c>
    </row>
    <row r="23" spans="3:28" ht="18" customHeight="1">
      <c r="C23" s="6">
        <v>1</v>
      </c>
      <c r="D23" s="292" t="s">
        <v>718</v>
      </c>
      <c r="E23" s="293" t="s">
        <v>718</v>
      </c>
      <c r="F23" s="294"/>
      <c r="G23" s="293" t="s">
        <v>719</v>
      </c>
      <c r="H23" s="370">
        <v>0</v>
      </c>
      <c r="I23" s="295">
        <v>0</v>
      </c>
      <c r="J23" s="295">
        <v>0</v>
      </c>
      <c r="K23" s="295">
        <v>0</v>
      </c>
      <c r="L23" s="296">
        <f t="shared" si="2"/>
        <v>0</v>
      </c>
      <c r="N23" s="297">
        <v>0</v>
      </c>
      <c r="O23" s="295">
        <v>0</v>
      </c>
      <c r="P23" s="295">
        <v>0</v>
      </c>
      <c r="Q23" s="295">
        <v>0</v>
      </c>
      <c r="R23" s="295">
        <v>0</v>
      </c>
      <c r="S23" s="296">
        <v>0</v>
      </c>
      <c r="U23" s="298">
        <f t="shared" si="3"/>
        <v>0</v>
      </c>
      <c r="Z23" s="305">
        <v>0</v>
      </c>
      <c r="AB23" s="305">
        <f t="shared" si="1"/>
        <v>0</v>
      </c>
    </row>
    <row r="24" spans="3:28" ht="18" customHeight="1">
      <c r="C24" s="6">
        <v>1</v>
      </c>
      <c r="D24" s="292" t="s">
        <v>720</v>
      </c>
      <c r="E24" s="293" t="s">
        <v>720</v>
      </c>
      <c r="F24" s="294"/>
      <c r="G24" s="293" t="s">
        <v>721</v>
      </c>
      <c r="H24" s="370">
        <v>0</v>
      </c>
      <c r="I24" s="295">
        <v>0</v>
      </c>
      <c r="J24" s="295">
        <v>0</v>
      </c>
      <c r="K24" s="295">
        <v>0</v>
      </c>
      <c r="L24" s="296">
        <f t="shared" si="2"/>
        <v>0</v>
      </c>
      <c r="N24" s="297">
        <v>0</v>
      </c>
      <c r="O24" s="295">
        <v>0</v>
      </c>
      <c r="P24" s="295">
        <v>0</v>
      </c>
      <c r="Q24" s="295">
        <v>0</v>
      </c>
      <c r="R24" s="295">
        <v>0</v>
      </c>
      <c r="S24" s="296">
        <v>0</v>
      </c>
      <c r="U24" s="298">
        <f t="shared" si="3"/>
        <v>0</v>
      </c>
      <c r="Z24" s="305">
        <v>0</v>
      </c>
      <c r="AB24" s="305">
        <f t="shared" si="1"/>
        <v>0</v>
      </c>
    </row>
    <row r="25" spans="3:28" ht="18" customHeight="1">
      <c r="C25" s="6">
        <v>1</v>
      </c>
      <c r="D25" s="292" t="s">
        <v>722</v>
      </c>
      <c r="E25" s="293" t="s">
        <v>722</v>
      </c>
      <c r="F25" s="294"/>
      <c r="G25" s="293" t="s">
        <v>723</v>
      </c>
      <c r="H25" s="370">
        <v>0</v>
      </c>
      <c r="I25" s="295">
        <v>0</v>
      </c>
      <c r="J25" s="295">
        <v>0</v>
      </c>
      <c r="K25" s="295">
        <v>0</v>
      </c>
      <c r="L25" s="296">
        <f t="shared" si="2"/>
        <v>0</v>
      </c>
      <c r="N25" s="297">
        <v>0</v>
      </c>
      <c r="O25" s="295">
        <v>0</v>
      </c>
      <c r="P25" s="295">
        <v>0</v>
      </c>
      <c r="Q25" s="295">
        <v>0</v>
      </c>
      <c r="R25" s="295">
        <v>0</v>
      </c>
      <c r="S25" s="296">
        <v>0</v>
      </c>
      <c r="U25" s="298">
        <f t="shared" si="3"/>
        <v>0</v>
      </c>
      <c r="Z25" s="305">
        <v>0</v>
      </c>
      <c r="AB25" s="305">
        <f t="shared" si="1"/>
        <v>0</v>
      </c>
    </row>
    <row r="26" spans="3:28" ht="18" customHeight="1">
      <c r="C26" s="6">
        <v>1</v>
      </c>
      <c r="D26" s="292" t="s">
        <v>724</v>
      </c>
      <c r="E26" s="293" t="s">
        <v>724</v>
      </c>
      <c r="F26" s="294"/>
      <c r="G26" s="293" t="s">
        <v>725</v>
      </c>
      <c r="H26" s="370">
        <v>0</v>
      </c>
      <c r="I26" s="295">
        <v>0</v>
      </c>
      <c r="J26" s="295">
        <v>0</v>
      </c>
      <c r="K26" s="295">
        <v>0</v>
      </c>
      <c r="L26" s="296">
        <f t="shared" si="2"/>
        <v>0</v>
      </c>
      <c r="N26" s="297">
        <v>0</v>
      </c>
      <c r="O26" s="295">
        <v>0</v>
      </c>
      <c r="P26" s="295">
        <v>0</v>
      </c>
      <c r="Q26" s="295">
        <v>0</v>
      </c>
      <c r="R26" s="295">
        <v>0</v>
      </c>
      <c r="S26" s="296">
        <v>0</v>
      </c>
      <c r="U26" s="298">
        <f t="shared" si="3"/>
        <v>0</v>
      </c>
      <c r="Z26" s="305">
        <v>0</v>
      </c>
      <c r="AB26" s="305">
        <f t="shared" si="1"/>
        <v>0</v>
      </c>
    </row>
    <row r="27" spans="3:28" ht="18" customHeight="1">
      <c r="C27" s="6">
        <v>1</v>
      </c>
      <c r="D27" s="292" t="s">
        <v>726</v>
      </c>
      <c r="E27" s="293" t="s">
        <v>726</v>
      </c>
      <c r="F27" s="294"/>
      <c r="G27" s="293" t="s">
        <v>727</v>
      </c>
      <c r="H27" s="370">
        <v>0</v>
      </c>
      <c r="I27" s="295">
        <v>0</v>
      </c>
      <c r="J27" s="295">
        <v>0</v>
      </c>
      <c r="K27" s="295">
        <v>0</v>
      </c>
      <c r="L27" s="296">
        <f t="shared" si="2"/>
        <v>0</v>
      </c>
      <c r="N27" s="297">
        <v>0</v>
      </c>
      <c r="O27" s="295">
        <v>0</v>
      </c>
      <c r="P27" s="295">
        <v>0</v>
      </c>
      <c r="Q27" s="295">
        <v>0</v>
      </c>
      <c r="R27" s="295">
        <v>0</v>
      </c>
      <c r="S27" s="296">
        <v>0</v>
      </c>
      <c r="U27" s="298">
        <f t="shared" si="3"/>
        <v>0</v>
      </c>
      <c r="Z27" s="305">
        <v>0</v>
      </c>
      <c r="AB27" s="305">
        <f t="shared" si="1"/>
        <v>0</v>
      </c>
    </row>
    <row r="28" spans="3:28" ht="18" customHeight="1">
      <c r="C28" s="6">
        <v>1</v>
      </c>
      <c r="D28" s="292" t="s">
        <v>728</v>
      </c>
      <c r="E28" s="293" t="s">
        <v>728</v>
      </c>
      <c r="F28" s="294"/>
      <c r="G28" s="293" t="s">
        <v>729</v>
      </c>
      <c r="H28" s="370">
        <v>0</v>
      </c>
      <c r="I28" s="295">
        <v>0</v>
      </c>
      <c r="J28" s="295">
        <v>0</v>
      </c>
      <c r="K28" s="295">
        <v>0</v>
      </c>
      <c r="L28" s="296">
        <f t="shared" si="2"/>
        <v>0</v>
      </c>
      <c r="N28" s="297">
        <v>0</v>
      </c>
      <c r="O28" s="295">
        <v>0</v>
      </c>
      <c r="P28" s="295">
        <v>0</v>
      </c>
      <c r="Q28" s="295">
        <v>0</v>
      </c>
      <c r="R28" s="295">
        <v>0</v>
      </c>
      <c r="S28" s="296">
        <v>0</v>
      </c>
      <c r="U28" s="298">
        <f t="shared" si="3"/>
        <v>0</v>
      </c>
      <c r="Z28" s="305">
        <v>0</v>
      </c>
      <c r="AB28" s="305">
        <f t="shared" si="1"/>
        <v>0</v>
      </c>
    </row>
    <row r="29" spans="3:28" ht="18" customHeight="1">
      <c r="C29" s="6">
        <v>1</v>
      </c>
      <c r="D29" s="292" t="s">
        <v>730</v>
      </c>
      <c r="E29" s="293" t="s">
        <v>730</v>
      </c>
      <c r="F29" s="294" t="s">
        <v>687</v>
      </c>
      <c r="G29" s="293" t="s">
        <v>687</v>
      </c>
      <c r="H29" s="370">
        <v>0</v>
      </c>
      <c r="I29" s="295">
        <v>0</v>
      </c>
      <c r="J29" s="295">
        <v>0</v>
      </c>
      <c r="K29" s="295">
        <v>0</v>
      </c>
      <c r="L29" s="296">
        <f t="shared" si="2"/>
        <v>0</v>
      </c>
      <c r="N29" s="297">
        <v>0</v>
      </c>
      <c r="O29" s="295">
        <v>0</v>
      </c>
      <c r="P29" s="295">
        <v>0</v>
      </c>
      <c r="Q29" s="295">
        <v>0</v>
      </c>
      <c r="R29" s="295">
        <v>0</v>
      </c>
      <c r="S29" s="296">
        <v>0</v>
      </c>
      <c r="U29" s="298">
        <f t="shared" si="3"/>
        <v>0</v>
      </c>
      <c r="Z29" s="305">
        <v>0</v>
      </c>
      <c r="AB29" s="305">
        <f t="shared" si="1"/>
        <v>0</v>
      </c>
    </row>
    <row r="30" spans="3:28" ht="18" customHeight="1">
      <c r="C30" s="6">
        <v>1</v>
      </c>
      <c r="D30" s="292" t="s">
        <v>731</v>
      </c>
      <c r="E30" s="293" t="s">
        <v>731</v>
      </c>
      <c r="F30" s="294" t="s">
        <v>732</v>
      </c>
      <c r="G30" s="293" t="s">
        <v>732</v>
      </c>
      <c r="H30" s="370">
        <v>0</v>
      </c>
      <c r="I30" s="295">
        <v>0</v>
      </c>
      <c r="J30" s="295">
        <v>0</v>
      </c>
      <c r="K30" s="295">
        <v>0</v>
      </c>
      <c r="L30" s="296">
        <f t="shared" si="2"/>
        <v>0</v>
      </c>
      <c r="N30" s="297">
        <v>0</v>
      </c>
      <c r="O30" s="295">
        <v>0</v>
      </c>
      <c r="P30" s="295">
        <v>0</v>
      </c>
      <c r="Q30" s="295">
        <v>0</v>
      </c>
      <c r="R30" s="295">
        <v>0</v>
      </c>
      <c r="S30" s="296">
        <v>0</v>
      </c>
      <c r="U30" s="298">
        <f t="shared" si="3"/>
        <v>0</v>
      </c>
      <c r="Z30" s="305">
        <v>0</v>
      </c>
      <c r="AB30" s="305">
        <f t="shared" si="1"/>
        <v>0</v>
      </c>
    </row>
    <row r="31" spans="3:28" ht="18" customHeight="1">
      <c r="C31" s="6">
        <v>1</v>
      </c>
      <c r="D31" s="292" t="s">
        <v>733</v>
      </c>
      <c r="E31" s="293" t="s">
        <v>733</v>
      </c>
      <c r="F31" s="294" t="s">
        <v>734</v>
      </c>
      <c r="G31" s="293" t="s">
        <v>734</v>
      </c>
      <c r="H31" s="370">
        <v>2138878</v>
      </c>
      <c r="I31" s="295">
        <v>0</v>
      </c>
      <c r="J31" s="295">
        <v>0</v>
      </c>
      <c r="K31" s="295">
        <v>6078892</v>
      </c>
      <c r="L31" s="296">
        <f t="shared" si="2"/>
        <v>8217770</v>
      </c>
      <c r="N31" s="297">
        <v>0</v>
      </c>
      <c r="O31" s="295">
        <v>0</v>
      </c>
      <c r="P31" s="295">
        <v>0</v>
      </c>
      <c r="Q31" s="295">
        <v>0</v>
      </c>
      <c r="R31" s="295">
        <v>0</v>
      </c>
      <c r="S31" s="296">
        <v>0</v>
      </c>
      <c r="U31" s="298">
        <f t="shared" si="3"/>
        <v>8217770</v>
      </c>
      <c r="Z31" s="305">
        <v>6427556</v>
      </c>
      <c r="AB31" s="305">
        <f t="shared" si="1"/>
        <v>1790214</v>
      </c>
    </row>
    <row r="32" spans="3:28" ht="18" customHeight="1">
      <c r="C32" s="6">
        <v>1</v>
      </c>
      <c r="D32" s="292" t="s">
        <v>735</v>
      </c>
      <c r="E32" s="293" t="s">
        <v>735</v>
      </c>
      <c r="F32" s="294" t="s">
        <v>481</v>
      </c>
      <c r="G32" s="293" t="s">
        <v>481</v>
      </c>
      <c r="H32" s="370">
        <v>0</v>
      </c>
      <c r="I32" s="295">
        <v>0</v>
      </c>
      <c r="J32" s="295">
        <v>0</v>
      </c>
      <c r="K32" s="295">
        <v>0</v>
      </c>
      <c r="L32" s="296">
        <f t="shared" si="2"/>
        <v>0</v>
      </c>
      <c r="N32" s="297">
        <v>0</v>
      </c>
      <c r="O32" s="295">
        <v>0</v>
      </c>
      <c r="P32" s="295">
        <v>0</v>
      </c>
      <c r="Q32" s="295">
        <v>0</v>
      </c>
      <c r="R32" s="295">
        <v>0</v>
      </c>
      <c r="S32" s="296">
        <v>0</v>
      </c>
      <c r="U32" s="298">
        <f t="shared" si="3"/>
        <v>0</v>
      </c>
      <c r="Z32" s="305">
        <v>0</v>
      </c>
      <c r="AB32" s="305">
        <f t="shared" si="1"/>
        <v>0</v>
      </c>
    </row>
    <row r="33" spans="3:28" ht="18" customHeight="1">
      <c r="C33" s="6">
        <v>1</v>
      </c>
      <c r="D33" s="292" t="s">
        <v>736</v>
      </c>
      <c r="E33" s="293" t="s">
        <v>736</v>
      </c>
      <c r="F33" s="294" t="s">
        <v>686</v>
      </c>
      <c r="G33" s="293" t="s">
        <v>686</v>
      </c>
      <c r="H33" s="370">
        <v>585423259</v>
      </c>
      <c r="I33" s="295">
        <v>0</v>
      </c>
      <c r="J33" s="295">
        <v>0</v>
      </c>
      <c r="K33" s="295">
        <v>0</v>
      </c>
      <c r="L33" s="296">
        <f t="shared" si="2"/>
        <v>585423259</v>
      </c>
      <c r="N33" s="297">
        <v>0</v>
      </c>
      <c r="O33" s="295">
        <v>0</v>
      </c>
      <c r="P33" s="295">
        <v>0</v>
      </c>
      <c r="Q33" s="295">
        <v>0</v>
      </c>
      <c r="R33" s="295">
        <v>0</v>
      </c>
      <c r="S33" s="296">
        <v>0</v>
      </c>
      <c r="U33" s="298">
        <f t="shared" si="3"/>
        <v>585423259</v>
      </c>
      <c r="Z33" s="305">
        <v>0</v>
      </c>
      <c r="AB33" s="305">
        <f t="shared" si="1"/>
        <v>585423259</v>
      </c>
    </row>
    <row r="34" spans="3:28" ht="18" customHeight="1">
      <c r="C34" s="6">
        <v>1</v>
      </c>
      <c r="D34" s="292" t="s">
        <v>737</v>
      </c>
      <c r="E34" s="293" t="s">
        <v>737</v>
      </c>
      <c r="F34" s="294" t="s">
        <v>2054</v>
      </c>
      <c r="G34" s="293" t="s">
        <v>738</v>
      </c>
      <c r="H34" s="370">
        <v>0</v>
      </c>
      <c r="I34" s="295">
        <v>0</v>
      </c>
      <c r="J34" s="295">
        <v>0</v>
      </c>
      <c r="K34" s="295">
        <v>0</v>
      </c>
      <c r="L34" s="296">
        <f t="shared" si="2"/>
        <v>0</v>
      </c>
      <c r="N34" s="297">
        <v>0</v>
      </c>
      <c r="O34" s="295">
        <v>0</v>
      </c>
      <c r="P34" s="295">
        <v>0</v>
      </c>
      <c r="Q34" s="295">
        <v>0</v>
      </c>
      <c r="R34" s="295">
        <v>0</v>
      </c>
      <c r="S34" s="296">
        <v>0</v>
      </c>
      <c r="U34" s="298">
        <f t="shared" si="3"/>
        <v>0</v>
      </c>
      <c r="Z34" s="305">
        <v>0</v>
      </c>
      <c r="AB34" s="305">
        <f t="shared" si="1"/>
        <v>0</v>
      </c>
    </row>
    <row r="35" spans="3:28" ht="18" customHeight="1">
      <c r="C35" s="6">
        <v>1</v>
      </c>
      <c r="D35" s="292" t="s">
        <v>739</v>
      </c>
      <c r="E35" s="293" t="s">
        <v>739</v>
      </c>
      <c r="F35" s="294"/>
      <c r="G35" s="293" t="s">
        <v>740</v>
      </c>
      <c r="H35" s="370">
        <v>0</v>
      </c>
      <c r="I35" s="295">
        <v>0</v>
      </c>
      <c r="J35" s="295">
        <v>0</v>
      </c>
      <c r="K35" s="295">
        <v>0</v>
      </c>
      <c r="L35" s="296">
        <f t="shared" si="2"/>
        <v>0</v>
      </c>
      <c r="N35" s="297">
        <v>0</v>
      </c>
      <c r="O35" s="295">
        <v>0</v>
      </c>
      <c r="P35" s="295">
        <v>0</v>
      </c>
      <c r="Q35" s="295">
        <v>0</v>
      </c>
      <c r="R35" s="295">
        <v>0</v>
      </c>
      <c r="S35" s="296">
        <v>0</v>
      </c>
      <c r="U35" s="298">
        <f t="shared" si="3"/>
        <v>0</v>
      </c>
      <c r="Z35" s="305">
        <v>0</v>
      </c>
      <c r="AB35" s="305">
        <f t="shared" si="1"/>
        <v>0</v>
      </c>
    </row>
    <row r="36" spans="3:28" ht="18" customHeight="1">
      <c r="C36" s="6">
        <v>1</v>
      </c>
      <c r="D36" s="292" t="s">
        <v>741</v>
      </c>
      <c r="E36" s="293" t="s">
        <v>741</v>
      </c>
      <c r="F36" s="294"/>
      <c r="G36" s="293" t="s">
        <v>742</v>
      </c>
      <c r="H36" s="370">
        <v>0</v>
      </c>
      <c r="I36" s="295">
        <v>0</v>
      </c>
      <c r="J36" s="295">
        <v>0</v>
      </c>
      <c r="K36" s="295">
        <v>0</v>
      </c>
      <c r="L36" s="296">
        <f t="shared" si="2"/>
        <v>0</v>
      </c>
      <c r="N36" s="297">
        <v>0</v>
      </c>
      <c r="O36" s="295">
        <v>0</v>
      </c>
      <c r="P36" s="295">
        <v>0</v>
      </c>
      <c r="Q36" s="295">
        <v>0</v>
      </c>
      <c r="R36" s="295">
        <v>0</v>
      </c>
      <c r="S36" s="296">
        <v>0</v>
      </c>
      <c r="U36" s="298">
        <f t="shared" si="3"/>
        <v>0</v>
      </c>
      <c r="Z36" s="305">
        <v>0</v>
      </c>
      <c r="AB36" s="305">
        <f t="shared" si="1"/>
        <v>0</v>
      </c>
    </row>
    <row r="37" spans="3:28" ht="18" customHeight="1">
      <c r="C37" s="6">
        <v>1</v>
      </c>
      <c r="D37" s="292" t="s">
        <v>743</v>
      </c>
      <c r="E37" s="293" t="s">
        <v>743</v>
      </c>
      <c r="F37" s="294" t="s">
        <v>1951</v>
      </c>
      <c r="G37" s="293" t="s">
        <v>744</v>
      </c>
      <c r="H37" s="370">
        <v>2275222780</v>
      </c>
      <c r="I37" s="295">
        <v>0</v>
      </c>
      <c r="J37" s="295">
        <v>0</v>
      </c>
      <c r="K37" s="295">
        <v>529552059</v>
      </c>
      <c r="L37" s="296">
        <f t="shared" si="2"/>
        <v>2804774839</v>
      </c>
      <c r="N37" s="297">
        <v>0</v>
      </c>
      <c r="O37" s="295">
        <v>0</v>
      </c>
      <c r="P37" s="295">
        <v>0</v>
      </c>
      <c r="Q37" s="295">
        <v>0</v>
      </c>
      <c r="R37" s="295">
        <v>0</v>
      </c>
      <c r="S37" s="296">
        <v>0</v>
      </c>
      <c r="U37" s="298">
        <f t="shared" si="3"/>
        <v>2804774839</v>
      </c>
      <c r="Z37" s="305">
        <v>2774666131</v>
      </c>
      <c r="AB37" s="305">
        <f t="shared" si="1"/>
        <v>30108708</v>
      </c>
    </row>
    <row r="38" spans="3:28" ht="18" customHeight="1">
      <c r="C38" s="6">
        <v>1</v>
      </c>
      <c r="D38" s="292" t="s">
        <v>745</v>
      </c>
      <c r="E38" s="293" t="s">
        <v>745</v>
      </c>
      <c r="F38" s="294"/>
      <c r="G38" s="293" t="s">
        <v>746</v>
      </c>
      <c r="H38" s="370">
        <v>0</v>
      </c>
      <c r="I38" s="295">
        <v>0</v>
      </c>
      <c r="J38" s="295">
        <v>0</v>
      </c>
      <c r="K38" s="295">
        <v>0</v>
      </c>
      <c r="L38" s="296">
        <f t="shared" si="2"/>
        <v>0</v>
      </c>
      <c r="N38" s="297">
        <v>0</v>
      </c>
      <c r="O38" s="295">
        <v>0</v>
      </c>
      <c r="P38" s="295">
        <v>0</v>
      </c>
      <c r="Q38" s="295">
        <v>0</v>
      </c>
      <c r="R38" s="295">
        <v>0</v>
      </c>
      <c r="S38" s="296">
        <v>0</v>
      </c>
      <c r="U38" s="298">
        <f t="shared" si="3"/>
        <v>0</v>
      </c>
      <c r="Z38" s="305">
        <v>0</v>
      </c>
      <c r="AB38" s="305">
        <f t="shared" si="1"/>
        <v>0</v>
      </c>
    </row>
    <row r="39" spans="3:28" ht="18" customHeight="1">
      <c r="C39" s="6">
        <v>1</v>
      </c>
      <c r="D39" s="292" t="s">
        <v>747</v>
      </c>
      <c r="E39" s="293" t="s">
        <v>747</v>
      </c>
      <c r="F39" s="294"/>
      <c r="G39" s="293" t="s">
        <v>748</v>
      </c>
      <c r="H39" s="370">
        <v>0</v>
      </c>
      <c r="I39" s="295">
        <v>0</v>
      </c>
      <c r="J39" s="295">
        <v>0</v>
      </c>
      <c r="K39" s="295">
        <v>0</v>
      </c>
      <c r="L39" s="296">
        <f t="shared" si="2"/>
        <v>0</v>
      </c>
      <c r="N39" s="297">
        <v>0</v>
      </c>
      <c r="O39" s="295">
        <v>0</v>
      </c>
      <c r="P39" s="295">
        <v>0</v>
      </c>
      <c r="Q39" s="295">
        <v>0</v>
      </c>
      <c r="R39" s="295">
        <v>0</v>
      </c>
      <c r="S39" s="296">
        <v>0</v>
      </c>
      <c r="U39" s="298">
        <f t="shared" si="3"/>
        <v>0</v>
      </c>
      <c r="Z39" s="305">
        <v>0</v>
      </c>
      <c r="AB39" s="305">
        <f t="shared" si="1"/>
        <v>0</v>
      </c>
    </row>
    <row r="40" spans="3:28" ht="18" customHeight="1">
      <c r="C40" s="6">
        <v>1</v>
      </c>
      <c r="D40" s="292" t="s">
        <v>749</v>
      </c>
      <c r="E40" s="293" t="s">
        <v>749</v>
      </c>
      <c r="F40" s="294"/>
      <c r="G40" s="293" t="s">
        <v>750</v>
      </c>
      <c r="H40" s="370">
        <v>0</v>
      </c>
      <c r="I40" s="295">
        <v>0</v>
      </c>
      <c r="J40" s="295">
        <v>0</v>
      </c>
      <c r="K40" s="295">
        <v>0</v>
      </c>
      <c r="L40" s="296">
        <f t="shared" si="2"/>
        <v>0</v>
      </c>
      <c r="N40" s="297">
        <v>0</v>
      </c>
      <c r="O40" s="295">
        <v>0</v>
      </c>
      <c r="P40" s="295">
        <v>0</v>
      </c>
      <c r="Q40" s="295">
        <v>0</v>
      </c>
      <c r="R40" s="295">
        <v>0</v>
      </c>
      <c r="S40" s="296">
        <v>0</v>
      </c>
      <c r="U40" s="298">
        <f t="shared" si="3"/>
        <v>0</v>
      </c>
      <c r="Z40" s="305">
        <v>0</v>
      </c>
      <c r="AB40" s="305">
        <f t="shared" si="1"/>
        <v>0</v>
      </c>
    </row>
    <row r="41" spans="3:28" ht="18" customHeight="1">
      <c r="C41" s="6">
        <v>1</v>
      </c>
      <c r="D41" s="292" t="s">
        <v>751</v>
      </c>
      <c r="E41" s="293" t="s">
        <v>751</v>
      </c>
      <c r="F41" s="294"/>
      <c r="G41" s="293" t="s">
        <v>752</v>
      </c>
      <c r="H41" s="370">
        <v>0</v>
      </c>
      <c r="I41" s="295">
        <v>0</v>
      </c>
      <c r="J41" s="295">
        <v>0</v>
      </c>
      <c r="K41" s="295">
        <v>0</v>
      </c>
      <c r="L41" s="296">
        <f t="shared" si="2"/>
        <v>0</v>
      </c>
      <c r="N41" s="297">
        <v>0</v>
      </c>
      <c r="O41" s="295">
        <v>0</v>
      </c>
      <c r="P41" s="295">
        <v>0</v>
      </c>
      <c r="Q41" s="295">
        <v>0</v>
      </c>
      <c r="R41" s="295">
        <v>0</v>
      </c>
      <c r="S41" s="296">
        <v>0</v>
      </c>
      <c r="U41" s="298">
        <f t="shared" si="3"/>
        <v>0</v>
      </c>
      <c r="Z41" s="305">
        <v>0</v>
      </c>
      <c r="AB41" s="305">
        <f t="shared" si="1"/>
        <v>0</v>
      </c>
    </row>
    <row r="42" spans="3:28" ht="18" customHeight="1">
      <c r="C42" s="6">
        <v>1</v>
      </c>
      <c r="D42" s="292" t="s">
        <v>753</v>
      </c>
      <c r="E42" s="293" t="s">
        <v>753</v>
      </c>
      <c r="F42" s="294"/>
      <c r="G42" s="293" t="s">
        <v>754</v>
      </c>
      <c r="H42" s="370">
        <v>0</v>
      </c>
      <c r="I42" s="295">
        <v>0</v>
      </c>
      <c r="J42" s="295">
        <v>0</v>
      </c>
      <c r="K42" s="295">
        <v>0</v>
      </c>
      <c r="L42" s="296">
        <f t="shared" si="2"/>
        <v>0</v>
      </c>
      <c r="N42" s="297">
        <v>0</v>
      </c>
      <c r="O42" s="295">
        <v>0</v>
      </c>
      <c r="P42" s="295">
        <v>0</v>
      </c>
      <c r="Q42" s="295">
        <v>0</v>
      </c>
      <c r="R42" s="295">
        <v>0</v>
      </c>
      <c r="S42" s="296">
        <v>0</v>
      </c>
      <c r="U42" s="298">
        <f t="shared" si="3"/>
        <v>0</v>
      </c>
      <c r="Z42" s="305">
        <v>0</v>
      </c>
      <c r="AB42" s="305">
        <f t="shared" si="1"/>
        <v>0</v>
      </c>
    </row>
    <row r="43" spans="3:28" ht="18" customHeight="1">
      <c r="C43" s="6">
        <v>1</v>
      </c>
      <c r="D43" s="292" t="s">
        <v>755</v>
      </c>
      <c r="E43" s="293" t="s">
        <v>755</v>
      </c>
      <c r="F43" s="294"/>
      <c r="G43" s="293" t="s">
        <v>756</v>
      </c>
      <c r="H43" s="370">
        <v>0</v>
      </c>
      <c r="I43" s="295">
        <v>0</v>
      </c>
      <c r="J43" s="295">
        <v>0</v>
      </c>
      <c r="K43" s="295">
        <v>0</v>
      </c>
      <c r="L43" s="296">
        <f t="shared" ref="L43:L73" si="4">SUM(H43:K43)</f>
        <v>0</v>
      </c>
      <c r="N43" s="297">
        <v>0</v>
      </c>
      <c r="O43" s="295">
        <v>0</v>
      </c>
      <c r="P43" s="295">
        <v>0</v>
      </c>
      <c r="Q43" s="295">
        <v>0</v>
      </c>
      <c r="R43" s="295">
        <v>0</v>
      </c>
      <c r="S43" s="296">
        <v>0</v>
      </c>
      <c r="U43" s="298">
        <f t="shared" si="3"/>
        <v>0</v>
      </c>
      <c r="Z43" s="305">
        <v>0</v>
      </c>
      <c r="AB43" s="305">
        <f t="shared" si="1"/>
        <v>0</v>
      </c>
    </row>
    <row r="44" spans="3:28" ht="18" customHeight="1">
      <c r="C44" s="6">
        <v>1</v>
      </c>
      <c r="D44" s="292" t="s">
        <v>757</v>
      </c>
      <c r="E44" s="293" t="s">
        <v>757</v>
      </c>
      <c r="F44" s="294" t="s">
        <v>758</v>
      </c>
      <c r="G44" s="293" t="s">
        <v>758</v>
      </c>
      <c r="H44" s="370">
        <v>329722924</v>
      </c>
      <c r="I44" s="295">
        <v>0</v>
      </c>
      <c r="J44" s="295">
        <v>0</v>
      </c>
      <c r="K44" s="295">
        <v>0</v>
      </c>
      <c r="L44" s="296">
        <f t="shared" si="4"/>
        <v>329722924</v>
      </c>
      <c r="N44" s="297">
        <v>0</v>
      </c>
      <c r="O44" s="295">
        <v>0</v>
      </c>
      <c r="P44" s="295">
        <v>0</v>
      </c>
      <c r="Q44" s="295">
        <v>0</v>
      </c>
      <c r="R44" s="295">
        <v>0</v>
      </c>
      <c r="S44" s="296">
        <v>0</v>
      </c>
      <c r="U44" s="298">
        <f t="shared" si="3"/>
        <v>329722924</v>
      </c>
      <c r="Z44" s="305">
        <v>296744225</v>
      </c>
      <c r="AB44" s="305">
        <f t="shared" si="1"/>
        <v>32978699</v>
      </c>
    </row>
    <row r="45" spans="3:28" ht="18" customHeight="1">
      <c r="C45" s="6">
        <v>1</v>
      </c>
      <c r="D45" s="292" t="s">
        <v>759</v>
      </c>
      <c r="E45" s="293" t="s">
        <v>759</v>
      </c>
      <c r="F45" s="294"/>
      <c r="G45" s="293" t="s">
        <v>760</v>
      </c>
      <c r="H45" s="370">
        <v>0</v>
      </c>
      <c r="I45" s="295">
        <v>0</v>
      </c>
      <c r="J45" s="295">
        <v>0</v>
      </c>
      <c r="K45" s="295">
        <v>0</v>
      </c>
      <c r="L45" s="296">
        <f t="shared" si="4"/>
        <v>0</v>
      </c>
      <c r="N45" s="297">
        <v>0</v>
      </c>
      <c r="O45" s="295">
        <v>0</v>
      </c>
      <c r="P45" s="295">
        <v>0</v>
      </c>
      <c r="Q45" s="295">
        <v>0</v>
      </c>
      <c r="R45" s="295">
        <v>0</v>
      </c>
      <c r="S45" s="296">
        <v>0</v>
      </c>
      <c r="U45" s="298">
        <f t="shared" si="3"/>
        <v>0</v>
      </c>
      <c r="Z45" s="305">
        <v>0</v>
      </c>
      <c r="AB45" s="305">
        <f t="shared" si="1"/>
        <v>0</v>
      </c>
    </row>
    <row r="46" spans="3:28" ht="18" customHeight="1">
      <c r="C46" s="6">
        <v>1</v>
      </c>
      <c r="D46" s="292" t="s">
        <v>761</v>
      </c>
      <c r="E46" s="293" t="s">
        <v>761</v>
      </c>
      <c r="F46" s="294" t="s">
        <v>1768</v>
      </c>
      <c r="G46" s="293" t="s">
        <v>762</v>
      </c>
      <c r="H46" s="370">
        <v>1160000222</v>
      </c>
      <c r="I46" s="295">
        <v>0</v>
      </c>
      <c r="J46" s="295">
        <v>0</v>
      </c>
      <c r="K46" s="295">
        <v>0</v>
      </c>
      <c r="L46" s="296">
        <f t="shared" si="4"/>
        <v>1160000222</v>
      </c>
      <c r="N46" s="297">
        <v>0</v>
      </c>
      <c r="O46" s="295">
        <v>0</v>
      </c>
      <c r="P46" s="295">
        <v>0</v>
      </c>
      <c r="Q46" s="295">
        <v>0</v>
      </c>
      <c r="R46" s="295">
        <v>0</v>
      </c>
      <c r="S46" s="296">
        <v>0</v>
      </c>
      <c r="U46" s="298">
        <f t="shared" si="3"/>
        <v>1160000222</v>
      </c>
      <c r="Z46" s="305">
        <v>523004174</v>
      </c>
      <c r="AB46" s="305">
        <f t="shared" si="1"/>
        <v>636996048</v>
      </c>
    </row>
    <row r="47" spans="3:28" ht="18" customHeight="1">
      <c r="C47" s="6">
        <v>1</v>
      </c>
      <c r="D47" s="292" t="s">
        <v>763</v>
      </c>
      <c r="E47" s="293" t="s">
        <v>763</v>
      </c>
      <c r="F47" s="294"/>
      <c r="G47" s="293" t="s">
        <v>764</v>
      </c>
      <c r="H47" s="370">
        <v>0</v>
      </c>
      <c r="I47" s="295">
        <v>0</v>
      </c>
      <c r="J47" s="295">
        <v>0</v>
      </c>
      <c r="K47" s="295">
        <v>0</v>
      </c>
      <c r="L47" s="296">
        <f t="shared" si="4"/>
        <v>0</v>
      </c>
      <c r="N47" s="297">
        <v>0</v>
      </c>
      <c r="O47" s="295">
        <v>0</v>
      </c>
      <c r="P47" s="295">
        <v>0</v>
      </c>
      <c r="Q47" s="295">
        <v>0</v>
      </c>
      <c r="R47" s="295">
        <v>0</v>
      </c>
      <c r="S47" s="296">
        <v>0</v>
      </c>
      <c r="U47" s="298">
        <f t="shared" si="3"/>
        <v>0</v>
      </c>
      <c r="Z47" s="305">
        <v>0</v>
      </c>
      <c r="AB47" s="305">
        <f t="shared" si="1"/>
        <v>0</v>
      </c>
    </row>
    <row r="48" spans="3:28" ht="18" customHeight="1">
      <c r="C48" s="6">
        <v>1</v>
      </c>
      <c r="D48" s="292" t="s">
        <v>765</v>
      </c>
      <c r="E48" s="293" t="s">
        <v>1363</v>
      </c>
      <c r="F48" s="294" t="s">
        <v>1415</v>
      </c>
      <c r="G48" s="293" t="s">
        <v>1415</v>
      </c>
      <c r="H48" s="370">
        <v>1759198</v>
      </c>
      <c r="I48" s="295">
        <v>0</v>
      </c>
      <c r="J48" s="295">
        <v>0</v>
      </c>
      <c r="K48" s="295">
        <v>0</v>
      </c>
      <c r="L48" s="296">
        <f t="shared" si="4"/>
        <v>1759198</v>
      </c>
      <c r="N48" s="297">
        <v>0</v>
      </c>
      <c r="O48" s="295">
        <v>0</v>
      </c>
      <c r="P48" s="295">
        <v>0</v>
      </c>
      <c r="Q48" s="295">
        <v>0</v>
      </c>
      <c r="R48" s="295">
        <v>0</v>
      </c>
      <c r="S48" s="296">
        <v>0</v>
      </c>
      <c r="U48" s="298">
        <f t="shared" si="3"/>
        <v>1759198</v>
      </c>
      <c r="Z48" s="305">
        <v>-39836013</v>
      </c>
      <c r="AB48" s="305">
        <f t="shared" si="1"/>
        <v>41595211</v>
      </c>
    </row>
    <row r="49" spans="3:28" ht="18" customHeight="1">
      <c r="C49" s="6">
        <v>1</v>
      </c>
      <c r="D49" s="292" t="s">
        <v>765</v>
      </c>
      <c r="E49" s="293" t="s">
        <v>1364</v>
      </c>
      <c r="F49" s="294" t="s">
        <v>1414</v>
      </c>
      <c r="G49" s="293" t="s">
        <v>1414</v>
      </c>
      <c r="H49" s="370">
        <v>0</v>
      </c>
      <c r="I49" s="295">
        <v>0</v>
      </c>
      <c r="J49" s="295">
        <v>0</v>
      </c>
      <c r="K49" s="295">
        <v>0</v>
      </c>
      <c r="L49" s="296">
        <f t="shared" si="4"/>
        <v>0</v>
      </c>
      <c r="N49" s="297">
        <v>0</v>
      </c>
      <c r="O49" s="295">
        <v>0</v>
      </c>
      <c r="P49" s="295">
        <v>0</v>
      </c>
      <c r="Q49" s="295">
        <v>0</v>
      </c>
      <c r="R49" s="295">
        <v>0</v>
      </c>
      <c r="S49" s="296">
        <v>0</v>
      </c>
      <c r="U49" s="298">
        <f t="shared" si="3"/>
        <v>0</v>
      </c>
      <c r="Z49" s="305"/>
      <c r="AB49" s="305">
        <f t="shared" si="1"/>
        <v>0</v>
      </c>
    </row>
    <row r="50" spans="3:28" ht="18" customHeight="1">
      <c r="C50" s="6">
        <v>1</v>
      </c>
      <c r="D50" s="292" t="s">
        <v>765</v>
      </c>
      <c r="E50" s="293" t="s">
        <v>1444</v>
      </c>
      <c r="F50" s="294" t="s">
        <v>1417</v>
      </c>
      <c r="G50" s="293" t="s">
        <v>310</v>
      </c>
      <c r="H50" s="370">
        <v>9882603</v>
      </c>
      <c r="I50" s="295">
        <v>0</v>
      </c>
      <c r="J50" s="295">
        <v>0</v>
      </c>
      <c r="K50" s="295">
        <v>0</v>
      </c>
      <c r="L50" s="296">
        <f t="shared" si="4"/>
        <v>9882603</v>
      </c>
      <c r="N50" s="297">
        <v>0</v>
      </c>
      <c r="O50" s="295">
        <v>0</v>
      </c>
      <c r="P50" s="295">
        <v>0</v>
      </c>
      <c r="Q50" s="295">
        <v>0</v>
      </c>
      <c r="R50" s="295">
        <v>0</v>
      </c>
      <c r="S50" s="296">
        <v>0</v>
      </c>
      <c r="U50" s="298">
        <f t="shared" si="3"/>
        <v>9882603</v>
      </c>
      <c r="Z50" s="305">
        <v>6700540</v>
      </c>
      <c r="AB50" s="305">
        <f t="shared" si="1"/>
        <v>3182063</v>
      </c>
    </row>
    <row r="51" spans="3:28" ht="18" customHeight="1">
      <c r="C51" s="6">
        <v>1</v>
      </c>
      <c r="D51" s="292" t="s">
        <v>765</v>
      </c>
      <c r="E51" s="293" t="s">
        <v>1445</v>
      </c>
      <c r="F51" s="294"/>
      <c r="G51" s="293" t="s">
        <v>1356</v>
      </c>
      <c r="H51" s="370">
        <v>0</v>
      </c>
      <c r="I51" s="295">
        <v>0</v>
      </c>
      <c r="J51" s="295">
        <v>0</v>
      </c>
      <c r="K51" s="295">
        <v>0</v>
      </c>
      <c r="L51" s="296">
        <f t="shared" si="4"/>
        <v>0</v>
      </c>
      <c r="N51" s="297">
        <v>0</v>
      </c>
      <c r="O51" s="295">
        <v>0</v>
      </c>
      <c r="P51" s="295">
        <v>0</v>
      </c>
      <c r="Q51" s="295">
        <v>0</v>
      </c>
      <c r="R51" s="295">
        <v>0</v>
      </c>
      <c r="S51" s="296">
        <v>0</v>
      </c>
      <c r="U51" s="298">
        <f t="shared" si="3"/>
        <v>0</v>
      </c>
      <c r="Z51" s="305"/>
      <c r="AB51" s="305">
        <f t="shared" si="1"/>
        <v>0</v>
      </c>
    </row>
    <row r="52" spans="3:28" ht="18" customHeight="1">
      <c r="C52" s="6">
        <v>1</v>
      </c>
      <c r="D52" s="292" t="s">
        <v>766</v>
      </c>
      <c r="E52" s="293" t="s">
        <v>766</v>
      </c>
      <c r="F52" s="294"/>
      <c r="G52" s="293" t="s">
        <v>767</v>
      </c>
      <c r="H52" s="370">
        <v>0</v>
      </c>
      <c r="I52" s="295">
        <v>0</v>
      </c>
      <c r="J52" s="295">
        <v>0</v>
      </c>
      <c r="K52" s="295">
        <v>0</v>
      </c>
      <c r="L52" s="296">
        <f t="shared" si="4"/>
        <v>0</v>
      </c>
      <c r="N52" s="297">
        <v>0</v>
      </c>
      <c r="O52" s="295">
        <v>0</v>
      </c>
      <c r="P52" s="295">
        <v>0</v>
      </c>
      <c r="Q52" s="295">
        <v>0</v>
      </c>
      <c r="R52" s="295">
        <v>0</v>
      </c>
      <c r="S52" s="296">
        <v>0</v>
      </c>
      <c r="U52" s="298">
        <f t="shared" si="3"/>
        <v>0</v>
      </c>
      <c r="Z52" s="305">
        <v>0</v>
      </c>
      <c r="AB52" s="305">
        <f t="shared" si="1"/>
        <v>0</v>
      </c>
    </row>
    <row r="53" spans="3:28" ht="18" customHeight="1">
      <c r="C53" s="6">
        <v>1</v>
      </c>
      <c r="D53" s="292" t="s">
        <v>768</v>
      </c>
      <c r="E53" s="293" t="s">
        <v>768</v>
      </c>
      <c r="F53" s="294"/>
      <c r="G53" s="293" t="s">
        <v>769</v>
      </c>
      <c r="H53" s="370">
        <v>0</v>
      </c>
      <c r="I53" s="295">
        <v>0</v>
      </c>
      <c r="J53" s="295">
        <v>0</v>
      </c>
      <c r="K53" s="295">
        <v>0</v>
      </c>
      <c r="L53" s="296">
        <f t="shared" si="4"/>
        <v>0</v>
      </c>
      <c r="N53" s="297">
        <v>0</v>
      </c>
      <c r="O53" s="295">
        <v>0</v>
      </c>
      <c r="P53" s="295">
        <v>0</v>
      </c>
      <c r="Q53" s="295">
        <v>0</v>
      </c>
      <c r="R53" s="295">
        <v>0</v>
      </c>
      <c r="S53" s="296">
        <v>0</v>
      </c>
      <c r="U53" s="298">
        <f t="shared" si="3"/>
        <v>0</v>
      </c>
      <c r="Z53" s="305">
        <v>0</v>
      </c>
      <c r="AB53" s="305">
        <f t="shared" si="1"/>
        <v>0</v>
      </c>
    </row>
    <row r="54" spans="3:28" ht="18" customHeight="1">
      <c r="C54" s="6">
        <v>1</v>
      </c>
      <c r="D54" s="292" t="s">
        <v>770</v>
      </c>
      <c r="E54" s="293" t="s">
        <v>770</v>
      </c>
      <c r="F54" s="294"/>
      <c r="G54" s="293" t="s">
        <v>771</v>
      </c>
      <c r="H54" s="370">
        <v>0</v>
      </c>
      <c r="I54" s="295">
        <v>0</v>
      </c>
      <c r="J54" s="295">
        <v>0</v>
      </c>
      <c r="K54" s="295">
        <v>0</v>
      </c>
      <c r="L54" s="296">
        <f t="shared" si="4"/>
        <v>0</v>
      </c>
      <c r="N54" s="297">
        <v>0</v>
      </c>
      <c r="O54" s="295">
        <v>0</v>
      </c>
      <c r="P54" s="295">
        <v>0</v>
      </c>
      <c r="Q54" s="295">
        <v>0</v>
      </c>
      <c r="R54" s="295">
        <v>0</v>
      </c>
      <c r="S54" s="296">
        <v>0</v>
      </c>
      <c r="U54" s="298">
        <f t="shared" si="3"/>
        <v>0</v>
      </c>
      <c r="Z54" s="305">
        <v>0</v>
      </c>
      <c r="AB54" s="305">
        <f t="shared" si="1"/>
        <v>0</v>
      </c>
    </row>
    <row r="55" spans="3:28" ht="18" customHeight="1">
      <c r="C55" s="6">
        <v>1</v>
      </c>
      <c r="D55" s="292" t="s">
        <v>772</v>
      </c>
      <c r="E55" s="293" t="s">
        <v>772</v>
      </c>
      <c r="F55" s="294"/>
      <c r="G55" s="293" t="s">
        <v>260</v>
      </c>
      <c r="H55" s="370">
        <v>0</v>
      </c>
      <c r="I55" s="295">
        <v>0</v>
      </c>
      <c r="J55" s="295">
        <v>0</v>
      </c>
      <c r="K55" s="295">
        <v>0</v>
      </c>
      <c r="L55" s="296">
        <f t="shared" si="4"/>
        <v>0</v>
      </c>
      <c r="N55" s="297">
        <v>0</v>
      </c>
      <c r="O55" s="295">
        <v>0</v>
      </c>
      <c r="P55" s="295">
        <v>0</v>
      </c>
      <c r="Q55" s="295">
        <v>0</v>
      </c>
      <c r="R55" s="295">
        <v>0</v>
      </c>
      <c r="S55" s="296">
        <v>0</v>
      </c>
      <c r="U55" s="298">
        <f t="shared" si="3"/>
        <v>0</v>
      </c>
      <c r="Z55" s="305">
        <v>0</v>
      </c>
      <c r="AB55" s="305">
        <f t="shared" si="1"/>
        <v>0</v>
      </c>
    </row>
    <row r="56" spans="3:28" ht="18" customHeight="1">
      <c r="C56" s="6">
        <v>1</v>
      </c>
      <c r="D56" s="292" t="s">
        <v>773</v>
      </c>
      <c r="E56" s="293" t="s">
        <v>773</v>
      </c>
      <c r="F56" s="294"/>
      <c r="G56" s="293" t="s">
        <v>774</v>
      </c>
      <c r="H56" s="370">
        <v>0</v>
      </c>
      <c r="I56" s="295">
        <v>0</v>
      </c>
      <c r="J56" s="295">
        <v>0</v>
      </c>
      <c r="K56" s="295">
        <v>0</v>
      </c>
      <c r="L56" s="296">
        <f t="shared" si="4"/>
        <v>0</v>
      </c>
      <c r="N56" s="297">
        <v>0</v>
      </c>
      <c r="O56" s="295">
        <v>0</v>
      </c>
      <c r="P56" s="295">
        <v>0</v>
      </c>
      <c r="Q56" s="295">
        <v>0</v>
      </c>
      <c r="R56" s="295">
        <v>0</v>
      </c>
      <c r="S56" s="296">
        <v>0</v>
      </c>
      <c r="U56" s="298">
        <f t="shared" si="3"/>
        <v>0</v>
      </c>
      <c r="Z56" s="305">
        <v>0</v>
      </c>
      <c r="AB56" s="305">
        <f t="shared" si="1"/>
        <v>0</v>
      </c>
    </row>
    <row r="57" spans="3:28" ht="18" customHeight="1">
      <c r="C57" s="6">
        <v>1</v>
      </c>
      <c r="D57" s="292" t="s">
        <v>775</v>
      </c>
      <c r="E57" s="293" t="s">
        <v>775</v>
      </c>
      <c r="F57" s="294"/>
      <c r="G57" s="293" t="s">
        <v>776</v>
      </c>
      <c r="H57" s="370">
        <v>0</v>
      </c>
      <c r="I57" s="295">
        <v>0</v>
      </c>
      <c r="J57" s="295">
        <v>0</v>
      </c>
      <c r="K57" s="295">
        <v>0</v>
      </c>
      <c r="L57" s="296">
        <f t="shared" si="4"/>
        <v>0</v>
      </c>
      <c r="N57" s="297">
        <v>0</v>
      </c>
      <c r="O57" s="295">
        <v>0</v>
      </c>
      <c r="P57" s="295">
        <v>0</v>
      </c>
      <c r="Q57" s="295">
        <v>0</v>
      </c>
      <c r="R57" s="295">
        <v>0</v>
      </c>
      <c r="S57" s="296">
        <v>0</v>
      </c>
      <c r="U57" s="298">
        <f t="shared" si="3"/>
        <v>0</v>
      </c>
      <c r="Z57" s="305">
        <v>0</v>
      </c>
      <c r="AB57" s="305">
        <f t="shared" si="1"/>
        <v>0</v>
      </c>
    </row>
    <row r="58" spans="3:28" ht="18" customHeight="1">
      <c r="C58" s="6">
        <v>1</v>
      </c>
      <c r="D58" s="292" t="s">
        <v>777</v>
      </c>
      <c r="E58" s="293" t="s">
        <v>777</v>
      </c>
      <c r="F58" s="294"/>
      <c r="G58" s="293" t="s">
        <v>778</v>
      </c>
      <c r="H58" s="370">
        <v>0</v>
      </c>
      <c r="I58" s="295">
        <v>0</v>
      </c>
      <c r="J58" s="295">
        <v>0</v>
      </c>
      <c r="K58" s="295">
        <v>0</v>
      </c>
      <c r="L58" s="296">
        <f t="shared" si="4"/>
        <v>0</v>
      </c>
      <c r="N58" s="297">
        <v>0</v>
      </c>
      <c r="O58" s="295">
        <v>0</v>
      </c>
      <c r="P58" s="295">
        <v>0</v>
      </c>
      <c r="Q58" s="295">
        <v>0</v>
      </c>
      <c r="R58" s="295">
        <v>0</v>
      </c>
      <c r="S58" s="296">
        <v>0</v>
      </c>
      <c r="U58" s="298">
        <f t="shared" si="3"/>
        <v>0</v>
      </c>
      <c r="Z58" s="305">
        <v>0</v>
      </c>
      <c r="AB58" s="305">
        <f t="shared" si="1"/>
        <v>0</v>
      </c>
    </row>
    <row r="59" spans="3:28" ht="18" customHeight="1">
      <c r="C59" s="6">
        <v>1</v>
      </c>
      <c r="D59" s="292" t="s">
        <v>779</v>
      </c>
      <c r="E59" s="293" t="s">
        <v>779</v>
      </c>
      <c r="F59" s="294"/>
      <c r="G59" s="293" t="s">
        <v>780</v>
      </c>
      <c r="H59" s="370">
        <v>0</v>
      </c>
      <c r="I59" s="295">
        <v>0</v>
      </c>
      <c r="J59" s="295">
        <v>0</v>
      </c>
      <c r="K59" s="295">
        <v>0</v>
      </c>
      <c r="L59" s="296">
        <f t="shared" si="4"/>
        <v>0</v>
      </c>
      <c r="N59" s="297">
        <v>0</v>
      </c>
      <c r="O59" s="295">
        <v>0</v>
      </c>
      <c r="P59" s="295">
        <v>0</v>
      </c>
      <c r="Q59" s="295">
        <v>0</v>
      </c>
      <c r="R59" s="295">
        <v>0</v>
      </c>
      <c r="S59" s="296">
        <v>0</v>
      </c>
      <c r="U59" s="298">
        <f t="shared" si="3"/>
        <v>0</v>
      </c>
      <c r="Z59" s="305">
        <v>0</v>
      </c>
      <c r="AB59" s="305">
        <f t="shared" si="1"/>
        <v>0</v>
      </c>
    </row>
    <row r="60" spans="3:28" ht="18" customHeight="1">
      <c r="C60" s="6">
        <v>1</v>
      </c>
      <c r="D60" s="292" t="s">
        <v>781</v>
      </c>
      <c r="E60" s="293" t="s">
        <v>781</v>
      </c>
      <c r="F60" s="294" t="s">
        <v>1849</v>
      </c>
      <c r="G60" s="293" t="s">
        <v>688</v>
      </c>
      <c r="H60" s="370">
        <v>773433</v>
      </c>
      <c r="I60" s="295">
        <v>0</v>
      </c>
      <c r="J60" s="295">
        <v>0</v>
      </c>
      <c r="K60" s="295">
        <v>0</v>
      </c>
      <c r="L60" s="296">
        <f t="shared" si="4"/>
        <v>773433</v>
      </c>
      <c r="N60" s="297">
        <v>0</v>
      </c>
      <c r="O60" s="295">
        <v>0</v>
      </c>
      <c r="P60" s="295">
        <v>0</v>
      </c>
      <c r="Q60" s="295">
        <v>0</v>
      </c>
      <c r="R60" s="295">
        <v>0</v>
      </c>
      <c r="S60" s="296">
        <v>0</v>
      </c>
      <c r="U60" s="298">
        <f t="shared" si="3"/>
        <v>773433</v>
      </c>
      <c r="Z60" s="305">
        <v>773433</v>
      </c>
      <c r="AB60" s="305">
        <f t="shared" si="1"/>
        <v>0</v>
      </c>
    </row>
    <row r="61" spans="3:28" ht="18" customHeight="1">
      <c r="C61" s="6">
        <v>1</v>
      </c>
      <c r="D61" s="292" t="s">
        <v>782</v>
      </c>
      <c r="E61" s="293" t="s">
        <v>782</v>
      </c>
      <c r="F61" s="294" t="s">
        <v>681</v>
      </c>
      <c r="G61" s="293" t="s">
        <v>681</v>
      </c>
      <c r="H61" s="370">
        <v>242754091</v>
      </c>
      <c r="I61" s="295">
        <v>49208960</v>
      </c>
      <c r="J61" s="295">
        <v>1210083</v>
      </c>
      <c r="K61" s="452">
        <v>54867813</v>
      </c>
      <c r="L61" s="296">
        <f t="shared" si="4"/>
        <v>348040947</v>
      </c>
      <c r="N61" s="297">
        <v>0</v>
      </c>
      <c r="O61" s="295">
        <v>0</v>
      </c>
      <c r="P61" s="295">
        <v>-47128749</v>
      </c>
      <c r="Q61" s="295">
        <v>0</v>
      </c>
      <c r="R61" s="295">
        <v>0</v>
      </c>
      <c r="S61" s="296">
        <v>-47128749</v>
      </c>
      <c r="U61" s="298">
        <f t="shared" si="3"/>
        <v>300912198</v>
      </c>
      <c r="W61" s="7">
        <f>ROUND(SUM(T_IS!X88:X91),0)-ROUND(U61,0)</f>
        <v>-98148111</v>
      </c>
      <c r="Z61" s="305">
        <v>254634747</v>
      </c>
      <c r="AB61" s="305">
        <f t="shared" si="1"/>
        <v>46277451</v>
      </c>
    </row>
    <row r="62" spans="3:28" ht="18" customHeight="1">
      <c r="C62" s="6">
        <v>1</v>
      </c>
      <c r="D62" s="292" t="s">
        <v>783</v>
      </c>
      <c r="E62" s="293" t="s">
        <v>783</v>
      </c>
      <c r="F62" s="294" t="s">
        <v>380</v>
      </c>
      <c r="G62" s="293" t="s">
        <v>380</v>
      </c>
      <c r="H62" s="370">
        <v>258216482</v>
      </c>
      <c r="I62" s="295">
        <v>0</v>
      </c>
      <c r="J62" s="295">
        <v>0</v>
      </c>
      <c r="K62" s="295">
        <v>0</v>
      </c>
      <c r="L62" s="296">
        <f t="shared" si="4"/>
        <v>258216482</v>
      </c>
      <c r="N62" s="297">
        <v>0</v>
      </c>
      <c r="O62" s="295">
        <v>0</v>
      </c>
      <c r="P62" s="295">
        <v>0</v>
      </c>
      <c r="Q62" s="295">
        <v>0</v>
      </c>
      <c r="R62" s="295">
        <v>0</v>
      </c>
      <c r="S62" s="296">
        <v>0</v>
      </c>
      <c r="U62" s="298">
        <f t="shared" si="3"/>
        <v>258216482</v>
      </c>
      <c r="W62" s="6" t="b">
        <f>U62=T_IS!X126</f>
        <v>0</v>
      </c>
      <c r="Z62" s="305">
        <v>480535403</v>
      </c>
      <c r="AB62" s="305">
        <f t="shared" si="1"/>
        <v>-222318921</v>
      </c>
    </row>
    <row r="63" spans="3:28" ht="18" customHeight="1">
      <c r="C63" s="6">
        <v>1</v>
      </c>
      <c r="D63" s="292" t="s">
        <v>784</v>
      </c>
      <c r="E63" s="293" t="s">
        <v>784</v>
      </c>
      <c r="F63" s="294"/>
      <c r="G63" s="293" t="s">
        <v>785</v>
      </c>
      <c r="H63" s="370">
        <v>0</v>
      </c>
      <c r="I63" s="295">
        <v>0</v>
      </c>
      <c r="J63" s="295">
        <v>0</v>
      </c>
      <c r="K63" s="295">
        <v>0</v>
      </c>
      <c r="L63" s="296">
        <f t="shared" si="4"/>
        <v>0</v>
      </c>
      <c r="N63" s="297">
        <v>0</v>
      </c>
      <c r="O63" s="295">
        <v>0</v>
      </c>
      <c r="P63" s="295">
        <v>0</v>
      </c>
      <c r="Q63" s="295">
        <v>0</v>
      </c>
      <c r="R63" s="295">
        <v>0</v>
      </c>
      <c r="S63" s="296">
        <v>0</v>
      </c>
      <c r="U63" s="298">
        <f t="shared" si="3"/>
        <v>0</v>
      </c>
      <c r="Z63" s="305">
        <v>0</v>
      </c>
      <c r="AB63" s="305">
        <f t="shared" si="1"/>
        <v>0</v>
      </c>
    </row>
    <row r="64" spans="3:28" ht="18" customHeight="1">
      <c r="C64" s="6">
        <v>1</v>
      </c>
      <c r="D64" s="292" t="s">
        <v>786</v>
      </c>
      <c r="E64" s="293" t="s">
        <v>786</v>
      </c>
      <c r="F64" s="294"/>
      <c r="G64" s="293" t="s">
        <v>787</v>
      </c>
      <c r="H64" s="370">
        <v>0</v>
      </c>
      <c r="I64" s="295">
        <v>0</v>
      </c>
      <c r="J64" s="295">
        <v>0</v>
      </c>
      <c r="K64" s="295">
        <v>0</v>
      </c>
      <c r="L64" s="296">
        <f t="shared" si="4"/>
        <v>0</v>
      </c>
      <c r="N64" s="297">
        <v>0</v>
      </c>
      <c r="O64" s="295">
        <v>0</v>
      </c>
      <c r="P64" s="295">
        <v>0</v>
      </c>
      <c r="Q64" s="295">
        <v>0</v>
      </c>
      <c r="R64" s="295">
        <v>0</v>
      </c>
      <c r="S64" s="296">
        <v>0</v>
      </c>
      <c r="U64" s="298">
        <f t="shared" si="3"/>
        <v>0</v>
      </c>
      <c r="Z64" s="305">
        <v>0</v>
      </c>
      <c r="AB64" s="305">
        <f t="shared" si="1"/>
        <v>0</v>
      </c>
    </row>
    <row r="65" spans="3:29" ht="18" customHeight="1">
      <c r="C65" s="6">
        <v>1</v>
      </c>
      <c r="D65" s="292" t="s">
        <v>788</v>
      </c>
      <c r="E65" s="293" t="s">
        <v>788</v>
      </c>
      <c r="F65" s="294"/>
      <c r="G65" s="293" t="s">
        <v>789</v>
      </c>
      <c r="H65" s="370">
        <v>0</v>
      </c>
      <c r="I65" s="295">
        <v>0</v>
      </c>
      <c r="J65" s="295">
        <v>0</v>
      </c>
      <c r="K65" s="295">
        <v>0</v>
      </c>
      <c r="L65" s="296">
        <f t="shared" si="4"/>
        <v>0</v>
      </c>
      <c r="N65" s="297">
        <v>0</v>
      </c>
      <c r="O65" s="295">
        <v>0</v>
      </c>
      <c r="P65" s="295">
        <v>0</v>
      </c>
      <c r="Q65" s="295">
        <v>0</v>
      </c>
      <c r="R65" s="295">
        <v>0</v>
      </c>
      <c r="S65" s="296">
        <v>0</v>
      </c>
      <c r="U65" s="298">
        <f t="shared" si="3"/>
        <v>0</v>
      </c>
      <c r="Z65" s="305">
        <v>0</v>
      </c>
      <c r="AB65" s="305">
        <f t="shared" si="1"/>
        <v>0</v>
      </c>
    </row>
    <row r="66" spans="3:29" ht="18" customHeight="1">
      <c r="C66" s="6">
        <v>1</v>
      </c>
      <c r="D66" s="292" t="s">
        <v>790</v>
      </c>
      <c r="E66" s="293" t="s">
        <v>790</v>
      </c>
      <c r="F66" s="294"/>
      <c r="G66" s="293" t="s">
        <v>791</v>
      </c>
      <c r="H66" s="370">
        <v>0</v>
      </c>
      <c r="I66" s="295">
        <v>0</v>
      </c>
      <c r="J66" s="295">
        <v>0</v>
      </c>
      <c r="K66" s="295">
        <v>0</v>
      </c>
      <c r="L66" s="296">
        <f t="shared" si="4"/>
        <v>0</v>
      </c>
      <c r="N66" s="297">
        <v>0</v>
      </c>
      <c r="O66" s="295">
        <v>0</v>
      </c>
      <c r="P66" s="295">
        <v>0</v>
      </c>
      <c r="Q66" s="295">
        <v>0</v>
      </c>
      <c r="R66" s="295">
        <v>0</v>
      </c>
      <c r="S66" s="296">
        <v>0</v>
      </c>
      <c r="U66" s="298">
        <f t="shared" si="3"/>
        <v>0</v>
      </c>
      <c r="Z66" s="305">
        <v>0</v>
      </c>
      <c r="AB66" s="305">
        <f t="shared" si="1"/>
        <v>0</v>
      </c>
    </row>
    <row r="67" spans="3:29" ht="18" customHeight="1">
      <c r="C67" s="6">
        <v>1</v>
      </c>
      <c r="D67" s="292" t="s">
        <v>792</v>
      </c>
      <c r="E67" s="293" t="s">
        <v>792</v>
      </c>
      <c r="F67" s="294"/>
      <c r="G67" s="293" t="s">
        <v>793</v>
      </c>
      <c r="H67" s="370">
        <v>0</v>
      </c>
      <c r="I67" s="295">
        <v>0</v>
      </c>
      <c r="J67" s="295">
        <v>0</v>
      </c>
      <c r="K67" s="295">
        <v>0</v>
      </c>
      <c r="L67" s="296">
        <f t="shared" si="4"/>
        <v>0</v>
      </c>
      <c r="N67" s="297">
        <v>0</v>
      </c>
      <c r="O67" s="295">
        <v>0</v>
      </c>
      <c r="P67" s="295">
        <v>0</v>
      </c>
      <c r="Q67" s="295">
        <v>0</v>
      </c>
      <c r="R67" s="295">
        <v>0</v>
      </c>
      <c r="S67" s="296">
        <v>0</v>
      </c>
      <c r="U67" s="298">
        <f t="shared" si="3"/>
        <v>0</v>
      </c>
      <c r="Z67" s="305">
        <v>0</v>
      </c>
      <c r="AB67" s="305">
        <f t="shared" si="1"/>
        <v>0</v>
      </c>
    </row>
    <row r="68" spans="3:29" ht="18" customHeight="1">
      <c r="C68" s="6">
        <v>1</v>
      </c>
      <c r="D68" s="292" t="s">
        <v>794</v>
      </c>
      <c r="E68" s="293" t="s">
        <v>794</v>
      </c>
      <c r="F68" s="294"/>
      <c r="G68" s="293" t="s">
        <v>795</v>
      </c>
      <c r="H68" s="370">
        <v>0</v>
      </c>
      <c r="I68" s="295">
        <v>0</v>
      </c>
      <c r="J68" s="295">
        <v>0</v>
      </c>
      <c r="K68" s="295">
        <v>0</v>
      </c>
      <c r="L68" s="296">
        <f t="shared" si="4"/>
        <v>0</v>
      </c>
      <c r="N68" s="297">
        <v>0</v>
      </c>
      <c r="O68" s="295">
        <v>0</v>
      </c>
      <c r="P68" s="295">
        <v>0</v>
      </c>
      <c r="Q68" s="295">
        <v>0</v>
      </c>
      <c r="R68" s="295">
        <v>0</v>
      </c>
      <c r="S68" s="296">
        <v>0</v>
      </c>
      <c r="U68" s="298">
        <f t="shared" si="3"/>
        <v>0</v>
      </c>
      <c r="Z68" s="305">
        <v>0</v>
      </c>
      <c r="AB68" s="305">
        <f t="shared" si="1"/>
        <v>0</v>
      </c>
    </row>
    <row r="69" spans="3:29" ht="18" customHeight="1">
      <c r="C69" s="6">
        <v>1</v>
      </c>
      <c r="D69" s="292" t="s">
        <v>796</v>
      </c>
      <c r="E69" s="293" t="s">
        <v>796</v>
      </c>
      <c r="F69" s="294"/>
      <c r="G69" s="293" t="s">
        <v>797</v>
      </c>
      <c r="H69" s="370">
        <v>0</v>
      </c>
      <c r="I69" s="295">
        <v>0</v>
      </c>
      <c r="J69" s="295">
        <v>0</v>
      </c>
      <c r="K69" s="295">
        <v>0</v>
      </c>
      <c r="L69" s="296">
        <f t="shared" si="4"/>
        <v>0</v>
      </c>
      <c r="N69" s="297">
        <v>0</v>
      </c>
      <c r="O69" s="295">
        <v>0</v>
      </c>
      <c r="P69" s="295">
        <v>0</v>
      </c>
      <c r="Q69" s="295">
        <v>0</v>
      </c>
      <c r="R69" s="295">
        <v>0</v>
      </c>
      <c r="S69" s="296">
        <v>0</v>
      </c>
      <c r="U69" s="298">
        <f t="shared" si="3"/>
        <v>0</v>
      </c>
      <c r="Z69" s="305">
        <v>0</v>
      </c>
      <c r="AB69" s="305">
        <f t="shared" si="1"/>
        <v>0</v>
      </c>
    </row>
    <row r="70" spans="3:29" ht="18" customHeight="1">
      <c r="C70" s="6">
        <v>1</v>
      </c>
      <c r="D70" s="292" t="s">
        <v>798</v>
      </c>
      <c r="E70" s="293" t="s">
        <v>798</v>
      </c>
      <c r="F70" s="294"/>
      <c r="G70" s="293" t="s">
        <v>799</v>
      </c>
      <c r="H70" s="370">
        <v>0</v>
      </c>
      <c r="I70" s="295">
        <v>0</v>
      </c>
      <c r="J70" s="295">
        <v>0</v>
      </c>
      <c r="K70" s="295">
        <v>0</v>
      </c>
      <c r="L70" s="296">
        <f t="shared" si="4"/>
        <v>0</v>
      </c>
      <c r="N70" s="297">
        <v>0</v>
      </c>
      <c r="O70" s="295">
        <v>0</v>
      </c>
      <c r="P70" s="295">
        <v>0</v>
      </c>
      <c r="Q70" s="295">
        <v>0</v>
      </c>
      <c r="R70" s="295">
        <v>0</v>
      </c>
      <c r="S70" s="296">
        <v>0</v>
      </c>
      <c r="U70" s="298">
        <f t="shared" si="3"/>
        <v>0</v>
      </c>
      <c r="Z70" s="305">
        <v>0</v>
      </c>
      <c r="AB70" s="305">
        <f t="shared" si="1"/>
        <v>0</v>
      </c>
    </row>
    <row r="71" spans="3:29" ht="18" customHeight="1">
      <c r="C71" s="6">
        <v>1</v>
      </c>
      <c r="D71" s="292" t="s">
        <v>800</v>
      </c>
      <c r="E71" s="293" t="s">
        <v>800</v>
      </c>
      <c r="F71" s="458" t="s">
        <v>2201</v>
      </c>
      <c r="G71" s="293" t="s">
        <v>801</v>
      </c>
      <c r="H71" s="370">
        <v>23145377285</v>
      </c>
      <c r="I71" s="295">
        <v>0</v>
      </c>
      <c r="J71" s="295">
        <v>0</v>
      </c>
      <c r="K71" s="295">
        <v>0</v>
      </c>
      <c r="L71" s="296">
        <f t="shared" si="4"/>
        <v>23145377285</v>
      </c>
      <c r="N71" s="297">
        <v>0</v>
      </c>
      <c r="O71" s="295">
        <v>0</v>
      </c>
      <c r="P71" s="295">
        <v>0</v>
      </c>
      <c r="Q71" s="295">
        <v>0</v>
      </c>
      <c r="R71" s="295">
        <v>0</v>
      </c>
      <c r="S71" s="296">
        <v>0</v>
      </c>
      <c r="U71" s="298">
        <f t="shared" si="3"/>
        <v>23145377285</v>
      </c>
      <c r="Z71" s="305">
        <v>7995295060</v>
      </c>
      <c r="AB71" s="305">
        <f t="shared" si="1"/>
        <v>15150082225</v>
      </c>
    </row>
    <row r="72" spans="3:29" s="301" customFormat="1" ht="18" customHeight="1">
      <c r="C72" s="6">
        <v>1</v>
      </c>
      <c r="D72" s="300" t="s">
        <v>736</v>
      </c>
      <c r="E72" s="301" t="s">
        <v>1767</v>
      </c>
      <c r="F72" s="302" t="s">
        <v>686</v>
      </c>
      <c r="G72" s="301" t="s">
        <v>1766</v>
      </c>
      <c r="H72" s="370">
        <v>0</v>
      </c>
      <c r="I72" s="295">
        <v>0</v>
      </c>
      <c r="J72" s="295">
        <v>0</v>
      </c>
      <c r="K72" s="295">
        <v>0</v>
      </c>
      <c r="L72" s="303">
        <f t="shared" si="4"/>
        <v>0</v>
      </c>
      <c r="N72" s="304">
        <v>0</v>
      </c>
      <c r="O72" s="299">
        <v>0</v>
      </c>
      <c r="P72" s="299">
        <v>0</v>
      </c>
      <c r="Q72" s="299">
        <v>0</v>
      </c>
      <c r="R72" s="299">
        <v>0</v>
      </c>
      <c r="S72" s="303">
        <v>0</v>
      </c>
      <c r="U72" s="298">
        <f t="shared" si="3"/>
        <v>0</v>
      </c>
      <c r="Z72" s="305">
        <v>0</v>
      </c>
      <c r="AB72" s="305">
        <f t="shared" ref="AB72:AB135" si="5">U72-Z72</f>
        <v>0</v>
      </c>
    </row>
    <row r="73" spans="3:29" ht="18" customHeight="1">
      <c r="C73" s="6">
        <v>1</v>
      </c>
      <c r="D73" s="292" t="s">
        <v>802</v>
      </c>
      <c r="E73" s="293" t="s">
        <v>802</v>
      </c>
      <c r="F73" s="458"/>
      <c r="G73" s="293" t="s">
        <v>803</v>
      </c>
      <c r="H73" s="370">
        <v>0</v>
      </c>
      <c r="I73" s="295">
        <v>0</v>
      </c>
      <c r="J73" s="295">
        <v>0</v>
      </c>
      <c r="K73" s="295">
        <v>0</v>
      </c>
      <c r="L73" s="296">
        <f t="shared" si="4"/>
        <v>0</v>
      </c>
      <c r="N73" s="297">
        <v>0</v>
      </c>
      <c r="O73" s="295">
        <v>0</v>
      </c>
      <c r="P73" s="295">
        <v>0</v>
      </c>
      <c r="Q73" s="295">
        <v>0</v>
      </c>
      <c r="R73" s="295">
        <v>0</v>
      </c>
      <c r="S73" s="296">
        <v>0</v>
      </c>
      <c r="U73" s="298">
        <f t="shared" si="3"/>
        <v>0</v>
      </c>
      <c r="Z73" s="305">
        <v>0</v>
      </c>
      <c r="AB73" s="305">
        <f t="shared" si="5"/>
        <v>0</v>
      </c>
    </row>
    <row r="74" spans="3:29" ht="18" customHeight="1">
      <c r="C74" s="6">
        <v>1</v>
      </c>
      <c r="D74" s="285" t="s">
        <v>804</v>
      </c>
      <c r="E74" s="286" t="s">
        <v>804</v>
      </c>
      <c r="F74" s="287"/>
      <c r="G74" s="286" t="s">
        <v>805</v>
      </c>
      <c r="H74" s="288">
        <f>SUM(H75:H124)</f>
        <v>-6674024419</v>
      </c>
      <c r="I74" s="288">
        <f>SUM(I75:I124)</f>
        <v>-2813829</v>
      </c>
      <c r="J74" s="288">
        <f>SUM(J75:J124)</f>
        <v>-50425</v>
      </c>
      <c r="K74" s="288">
        <f>SUM(K75:K124)</f>
        <v>-802997972</v>
      </c>
      <c r="L74" s="289">
        <f>SUM(L75:L124)</f>
        <v>-7479886645</v>
      </c>
      <c r="N74" s="290">
        <v>0</v>
      </c>
      <c r="O74" s="288">
        <v>0</v>
      </c>
      <c r="P74" s="288">
        <v>47128749</v>
      </c>
      <c r="Q74" s="288">
        <v>0</v>
      </c>
      <c r="R74" s="288">
        <v>-24157280</v>
      </c>
      <c r="S74" s="289">
        <v>22971469</v>
      </c>
      <c r="U74" s="291">
        <f>SUM(U75:U124)</f>
        <v>-7456915176</v>
      </c>
      <c r="V74" s="6" t="b">
        <f>U74=SUM(U75:U124)</f>
        <v>1</v>
      </c>
      <c r="Z74" s="291">
        <v>-5678328332</v>
      </c>
      <c r="AA74" s="6" t="b">
        <f>Z74=SUM(Z75:Z124)</f>
        <v>1</v>
      </c>
      <c r="AB74" s="291">
        <f t="shared" si="5"/>
        <v>-1778586844</v>
      </c>
      <c r="AC74" s="6" t="b">
        <f>AB74=SUM(AB75:AB124)</f>
        <v>1</v>
      </c>
    </row>
    <row r="75" spans="3:29" ht="18" customHeight="1">
      <c r="C75" s="6">
        <v>1</v>
      </c>
      <c r="D75" s="292" t="s">
        <v>806</v>
      </c>
      <c r="E75" s="293" t="s">
        <v>806</v>
      </c>
      <c r="F75" s="294" t="s">
        <v>675</v>
      </c>
      <c r="G75" s="293" t="s">
        <v>675</v>
      </c>
      <c r="H75" s="370">
        <v>-1318864233</v>
      </c>
      <c r="I75" s="370">
        <v>0</v>
      </c>
      <c r="J75" s="295">
        <v>0</v>
      </c>
      <c r="K75" s="295">
        <v>0</v>
      </c>
      <c r="L75" s="296">
        <f t="shared" ref="L75:L106" si="6">SUM(H75:K75)</f>
        <v>-1318864233</v>
      </c>
      <c r="N75" s="297">
        <v>0</v>
      </c>
      <c r="O75" s="295">
        <v>0</v>
      </c>
      <c r="P75" s="295">
        <v>0</v>
      </c>
      <c r="Q75" s="295">
        <v>0</v>
      </c>
      <c r="R75" s="295">
        <v>0</v>
      </c>
      <c r="S75" s="296">
        <v>0</v>
      </c>
      <c r="U75" s="298">
        <f t="shared" ref="U75:U124" si="7">ROUND(S75+L75,0)</f>
        <v>-1318864233</v>
      </c>
      <c r="Z75" s="305">
        <v>-1178540399</v>
      </c>
      <c r="AB75" s="305">
        <f t="shared" si="5"/>
        <v>-140323834</v>
      </c>
    </row>
    <row r="76" spans="3:29" ht="18" customHeight="1">
      <c r="C76" s="6">
        <v>1</v>
      </c>
      <c r="D76" s="292" t="s">
        <v>807</v>
      </c>
      <c r="E76" s="293" t="s">
        <v>807</v>
      </c>
      <c r="F76" s="294" t="s">
        <v>1419</v>
      </c>
      <c r="G76" s="293" t="s">
        <v>808</v>
      </c>
      <c r="H76" s="370">
        <v>0</v>
      </c>
      <c r="I76" s="295">
        <v>0</v>
      </c>
      <c r="J76" s="295">
        <v>0</v>
      </c>
      <c r="K76" s="295">
        <v>0</v>
      </c>
      <c r="L76" s="296">
        <f t="shared" si="6"/>
        <v>0</v>
      </c>
      <c r="N76" s="297">
        <v>0</v>
      </c>
      <c r="O76" s="295">
        <v>0</v>
      </c>
      <c r="P76" s="295">
        <v>0</v>
      </c>
      <c r="Q76" s="295">
        <v>0</v>
      </c>
      <c r="R76" s="295">
        <v>0</v>
      </c>
      <c r="S76" s="296">
        <v>0</v>
      </c>
      <c r="U76" s="298">
        <f t="shared" si="7"/>
        <v>0</v>
      </c>
      <c r="Z76" s="305">
        <v>0</v>
      </c>
      <c r="AB76" s="305">
        <f t="shared" si="5"/>
        <v>0</v>
      </c>
    </row>
    <row r="77" spans="3:29" ht="18" customHeight="1">
      <c r="C77" s="6">
        <v>1</v>
      </c>
      <c r="D77" s="292" t="s">
        <v>809</v>
      </c>
      <c r="E77" s="293" t="s">
        <v>809</v>
      </c>
      <c r="F77" s="294" t="s">
        <v>881</v>
      </c>
      <c r="G77" s="293" t="s">
        <v>810</v>
      </c>
      <c r="H77" s="370">
        <v>0</v>
      </c>
      <c r="I77" s="295">
        <v>0</v>
      </c>
      <c r="J77" s="295">
        <v>0</v>
      </c>
      <c r="K77" s="295">
        <v>0</v>
      </c>
      <c r="L77" s="296">
        <f t="shared" si="6"/>
        <v>0</v>
      </c>
      <c r="N77" s="297">
        <v>0</v>
      </c>
      <c r="O77" s="295">
        <v>0</v>
      </c>
      <c r="P77" s="295">
        <v>0</v>
      </c>
      <c r="Q77" s="295">
        <v>0</v>
      </c>
      <c r="R77" s="295">
        <v>0</v>
      </c>
      <c r="S77" s="296">
        <v>0</v>
      </c>
      <c r="U77" s="298">
        <f t="shared" si="7"/>
        <v>0</v>
      </c>
      <c r="Z77" s="305">
        <v>0</v>
      </c>
      <c r="AB77" s="305">
        <f t="shared" si="5"/>
        <v>0</v>
      </c>
    </row>
    <row r="78" spans="3:29" ht="18" customHeight="1">
      <c r="C78" s="6">
        <v>1</v>
      </c>
      <c r="D78" s="292" t="s">
        <v>811</v>
      </c>
      <c r="E78" s="293" t="s">
        <v>811</v>
      </c>
      <c r="F78" s="294"/>
      <c r="G78" s="293" t="s">
        <v>812</v>
      </c>
      <c r="H78" s="370">
        <v>0</v>
      </c>
      <c r="I78" s="295">
        <v>0</v>
      </c>
      <c r="J78" s="295">
        <v>0</v>
      </c>
      <c r="K78" s="295">
        <v>0</v>
      </c>
      <c r="L78" s="296">
        <f t="shared" si="6"/>
        <v>0</v>
      </c>
      <c r="N78" s="297">
        <v>0</v>
      </c>
      <c r="O78" s="295">
        <v>0</v>
      </c>
      <c r="P78" s="295">
        <v>0</v>
      </c>
      <c r="Q78" s="295">
        <v>0</v>
      </c>
      <c r="R78" s="295">
        <v>0</v>
      </c>
      <c r="S78" s="296">
        <v>0</v>
      </c>
      <c r="U78" s="298">
        <f t="shared" si="7"/>
        <v>0</v>
      </c>
      <c r="Z78" s="305">
        <v>0</v>
      </c>
      <c r="AB78" s="305">
        <f t="shared" si="5"/>
        <v>0</v>
      </c>
    </row>
    <row r="79" spans="3:29" ht="18" customHeight="1">
      <c r="C79" s="6">
        <v>1</v>
      </c>
      <c r="D79" s="292" t="s">
        <v>813</v>
      </c>
      <c r="E79" s="293" t="s">
        <v>813</v>
      </c>
      <c r="F79" s="294"/>
      <c r="G79" s="293" t="s">
        <v>814</v>
      </c>
      <c r="H79" s="370">
        <v>0</v>
      </c>
      <c r="I79" s="295">
        <v>0</v>
      </c>
      <c r="J79" s="295">
        <v>0</v>
      </c>
      <c r="K79" s="295">
        <v>0</v>
      </c>
      <c r="L79" s="296">
        <f t="shared" si="6"/>
        <v>0</v>
      </c>
      <c r="N79" s="297">
        <v>0</v>
      </c>
      <c r="O79" s="295">
        <v>0</v>
      </c>
      <c r="P79" s="295">
        <v>0</v>
      </c>
      <c r="Q79" s="295">
        <v>0</v>
      </c>
      <c r="R79" s="295">
        <v>0</v>
      </c>
      <c r="S79" s="296">
        <v>0</v>
      </c>
      <c r="U79" s="298">
        <f t="shared" si="7"/>
        <v>0</v>
      </c>
      <c r="Z79" s="305">
        <v>0</v>
      </c>
      <c r="AB79" s="305">
        <f t="shared" si="5"/>
        <v>0</v>
      </c>
    </row>
    <row r="80" spans="3:29" ht="18" customHeight="1">
      <c r="C80" s="6">
        <v>1</v>
      </c>
      <c r="D80" s="292" t="s">
        <v>815</v>
      </c>
      <c r="E80" s="293" t="s">
        <v>815</v>
      </c>
      <c r="F80" s="294" t="s">
        <v>1471</v>
      </c>
      <c r="G80" s="293" t="s">
        <v>816</v>
      </c>
      <c r="H80" s="370">
        <v>0</v>
      </c>
      <c r="I80" s="295">
        <v>0</v>
      </c>
      <c r="J80" s="295">
        <v>0</v>
      </c>
      <c r="K80" s="295">
        <v>0</v>
      </c>
      <c r="L80" s="296">
        <f t="shared" si="6"/>
        <v>0</v>
      </c>
      <c r="N80" s="297">
        <v>0</v>
      </c>
      <c r="O80" s="295">
        <v>0</v>
      </c>
      <c r="P80" s="295">
        <v>0</v>
      </c>
      <c r="Q80" s="295">
        <v>0</v>
      </c>
      <c r="R80" s="295">
        <v>0</v>
      </c>
      <c r="S80" s="296">
        <v>0</v>
      </c>
      <c r="U80" s="298">
        <f t="shared" si="7"/>
        <v>0</v>
      </c>
      <c r="Z80" s="305">
        <v>0</v>
      </c>
      <c r="AB80" s="305">
        <f t="shared" si="5"/>
        <v>0</v>
      </c>
    </row>
    <row r="81" spans="3:28" ht="18" customHeight="1">
      <c r="C81" s="6">
        <v>1</v>
      </c>
      <c r="D81" s="292" t="s">
        <v>817</v>
      </c>
      <c r="E81" s="293" t="s">
        <v>817</v>
      </c>
      <c r="F81" s="294"/>
      <c r="G81" s="293" t="s">
        <v>818</v>
      </c>
      <c r="H81" s="370">
        <v>0</v>
      </c>
      <c r="I81" s="295">
        <v>0</v>
      </c>
      <c r="J81" s="295">
        <v>0</v>
      </c>
      <c r="K81" s="295">
        <v>0</v>
      </c>
      <c r="L81" s="296">
        <f t="shared" si="6"/>
        <v>0</v>
      </c>
      <c r="N81" s="297">
        <v>0</v>
      </c>
      <c r="O81" s="295">
        <v>0</v>
      </c>
      <c r="P81" s="295">
        <v>0</v>
      </c>
      <c r="Q81" s="295">
        <v>0</v>
      </c>
      <c r="R81" s="295">
        <v>-24157280</v>
      </c>
      <c r="S81" s="296">
        <v>-24157280</v>
      </c>
      <c r="U81" s="298">
        <f t="shared" si="7"/>
        <v>-24157280</v>
      </c>
      <c r="Z81" s="305">
        <v>0</v>
      </c>
      <c r="AB81" s="305">
        <f t="shared" si="5"/>
        <v>-24157280</v>
      </c>
    </row>
    <row r="82" spans="3:28" ht="18" customHeight="1">
      <c r="C82" s="6">
        <v>1</v>
      </c>
      <c r="D82" s="292" t="s">
        <v>819</v>
      </c>
      <c r="E82" s="293" t="s">
        <v>819</v>
      </c>
      <c r="F82" s="294"/>
      <c r="G82" s="293" t="s">
        <v>820</v>
      </c>
      <c r="H82" s="370">
        <v>0</v>
      </c>
      <c r="I82" s="295">
        <v>0</v>
      </c>
      <c r="J82" s="295">
        <v>0</v>
      </c>
      <c r="K82" s="295">
        <v>0</v>
      </c>
      <c r="L82" s="296">
        <f t="shared" si="6"/>
        <v>0</v>
      </c>
      <c r="N82" s="297">
        <v>0</v>
      </c>
      <c r="O82" s="295">
        <v>0</v>
      </c>
      <c r="P82" s="295">
        <v>0</v>
      </c>
      <c r="Q82" s="295">
        <v>0</v>
      </c>
      <c r="R82" s="295">
        <v>0</v>
      </c>
      <c r="S82" s="296">
        <v>0</v>
      </c>
      <c r="U82" s="298">
        <f t="shared" si="7"/>
        <v>0</v>
      </c>
      <c r="Z82" s="305">
        <v>0</v>
      </c>
      <c r="AB82" s="305">
        <f t="shared" si="5"/>
        <v>0</v>
      </c>
    </row>
    <row r="83" spans="3:28" ht="18" customHeight="1">
      <c r="C83" s="6">
        <v>1</v>
      </c>
      <c r="D83" s="292" t="s">
        <v>821</v>
      </c>
      <c r="E83" s="293" t="s">
        <v>821</v>
      </c>
      <c r="F83" s="294"/>
      <c r="G83" s="293" t="s">
        <v>822</v>
      </c>
      <c r="H83" s="370">
        <v>0</v>
      </c>
      <c r="I83" s="295">
        <v>0</v>
      </c>
      <c r="J83" s="295">
        <v>0</v>
      </c>
      <c r="K83" s="295">
        <v>0</v>
      </c>
      <c r="L83" s="296">
        <f t="shared" si="6"/>
        <v>0</v>
      </c>
      <c r="N83" s="297">
        <v>0</v>
      </c>
      <c r="O83" s="295">
        <v>0</v>
      </c>
      <c r="P83" s="295">
        <v>0</v>
      </c>
      <c r="Q83" s="295">
        <v>0</v>
      </c>
      <c r="R83" s="295">
        <v>0</v>
      </c>
      <c r="S83" s="296">
        <v>0</v>
      </c>
      <c r="U83" s="298">
        <f t="shared" si="7"/>
        <v>0</v>
      </c>
      <c r="Z83" s="305">
        <v>0</v>
      </c>
      <c r="AB83" s="305">
        <f t="shared" si="5"/>
        <v>0</v>
      </c>
    </row>
    <row r="84" spans="3:28" ht="18" customHeight="1">
      <c r="C84" s="6">
        <v>1</v>
      </c>
      <c r="D84" s="292" t="s">
        <v>823</v>
      </c>
      <c r="E84" s="293" t="s">
        <v>823</v>
      </c>
      <c r="F84" s="294"/>
      <c r="G84" s="293" t="s">
        <v>824</v>
      </c>
      <c r="H84" s="370">
        <v>0</v>
      </c>
      <c r="I84" s="295">
        <v>0</v>
      </c>
      <c r="J84" s="295">
        <v>0</v>
      </c>
      <c r="K84" s="295">
        <v>0</v>
      </c>
      <c r="L84" s="296">
        <f t="shared" si="6"/>
        <v>0</v>
      </c>
      <c r="N84" s="297">
        <v>0</v>
      </c>
      <c r="O84" s="295">
        <v>0</v>
      </c>
      <c r="P84" s="295">
        <v>0</v>
      </c>
      <c r="Q84" s="295">
        <v>0</v>
      </c>
      <c r="R84" s="295">
        <v>0</v>
      </c>
      <c r="S84" s="296">
        <v>0</v>
      </c>
      <c r="U84" s="298">
        <f t="shared" si="7"/>
        <v>0</v>
      </c>
      <c r="Z84" s="305">
        <v>0</v>
      </c>
      <c r="AB84" s="305">
        <f t="shared" si="5"/>
        <v>0</v>
      </c>
    </row>
    <row r="85" spans="3:28" ht="18" customHeight="1">
      <c r="C85" s="6">
        <v>1</v>
      </c>
      <c r="D85" s="292" t="s">
        <v>825</v>
      </c>
      <c r="E85" s="293" t="s">
        <v>825</v>
      </c>
      <c r="F85" s="294"/>
      <c r="G85" s="293" t="s">
        <v>826</v>
      </c>
      <c r="H85" s="370">
        <v>0</v>
      </c>
      <c r="I85" s="295">
        <v>0</v>
      </c>
      <c r="J85" s="295">
        <v>0</v>
      </c>
      <c r="K85" s="295">
        <v>0</v>
      </c>
      <c r="L85" s="296">
        <f t="shared" si="6"/>
        <v>0</v>
      </c>
      <c r="N85" s="297">
        <v>0</v>
      </c>
      <c r="O85" s="295">
        <v>0</v>
      </c>
      <c r="P85" s="295">
        <v>0</v>
      </c>
      <c r="Q85" s="295">
        <v>0</v>
      </c>
      <c r="R85" s="295">
        <v>0</v>
      </c>
      <c r="S85" s="296">
        <v>0</v>
      </c>
      <c r="U85" s="298">
        <f t="shared" si="7"/>
        <v>0</v>
      </c>
      <c r="Z85" s="305">
        <v>0</v>
      </c>
      <c r="AB85" s="305">
        <f t="shared" si="5"/>
        <v>0</v>
      </c>
    </row>
    <row r="86" spans="3:28" ht="18" customHeight="1">
      <c r="C86" s="6">
        <v>1</v>
      </c>
      <c r="D86" s="292" t="s">
        <v>827</v>
      </c>
      <c r="E86" s="293" t="s">
        <v>827</v>
      </c>
      <c r="F86" s="294"/>
      <c r="G86" s="293" t="s">
        <v>828</v>
      </c>
      <c r="H86" s="370">
        <v>0</v>
      </c>
      <c r="I86" s="295">
        <v>0</v>
      </c>
      <c r="J86" s="295">
        <v>0</v>
      </c>
      <c r="K86" s="295">
        <v>0</v>
      </c>
      <c r="L86" s="296">
        <f t="shared" si="6"/>
        <v>0</v>
      </c>
      <c r="N86" s="297">
        <v>0</v>
      </c>
      <c r="O86" s="295">
        <v>0</v>
      </c>
      <c r="P86" s="295">
        <v>0</v>
      </c>
      <c r="Q86" s="295">
        <v>0</v>
      </c>
      <c r="R86" s="295">
        <v>0</v>
      </c>
      <c r="S86" s="296">
        <v>0</v>
      </c>
      <c r="U86" s="298">
        <f t="shared" si="7"/>
        <v>0</v>
      </c>
      <c r="Z86" s="305">
        <v>0</v>
      </c>
      <c r="AB86" s="305">
        <f t="shared" si="5"/>
        <v>0</v>
      </c>
    </row>
    <row r="87" spans="3:28" ht="18" customHeight="1">
      <c r="C87" s="6">
        <v>1</v>
      </c>
      <c r="D87" s="292" t="s">
        <v>829</v>
      </c>
      <c r="E87" s="293" t="s">
        <v>829</v>
      </c>
      <c r="F87" s="294"/>
      <c r="G87" s="293" t="s">
        <v>830</v>
      </c>
      <c r="H87" s="370">
        <v>0</v>
      </c>
      <c r="I87" s="295">
        <v>0</v>
      </c>
      <c r="J87" s="295">
        <v>0</v>
      </c>
      <c r="K87" s="295">
        <v>0</v>
      </c>
      <c r="L87" s="296">
        <f t="shared" si="6"/>
        <v>0</v>
      </c>
      <c r="N87" s="297">
        <v>0</v>
      </c>
      <c r="O87" s="295">
        <v>0</v>
      </c>
      <c r="P87" s="295">
        <v>0</v>
      </c>
      <c r="Q87" s="295">
        <v>0</v>
      </c>
      <c r="R87" s="295">
        <v>0</v>
      </c>
      <c r="S87" s="296">
        <v>0</v>
      </c>
      <c r="U87" s="298">
        <f t="shared" si="7"/>
        <v>0</v>
      </c>
      <c r="Z87" s="305">
        <v>0</v>
      </c>
      <c r="AB87" s="305">
        <f t="shared" si="5"/>
        <v>0</v>
      </c>
    </row>
    <row r="88" spans="3:28" ht="18" customHeight="1">
      <c r="C88" s="6">
        <v>1</v>
      </c>
      <c r="D88" s="292" t="s">
        <v>831</v>
      </c>
      <c r="E88" s="293" t="s">
        <v>831</v>
      </c>
      <c r="F88" s="294"/>
      <c r="G88" s="293" t="s">
        <v>832</v>
      </c>
      <c r="H88" s="370">
        <v>0</v>
      </c>
      <c r="I88" s="295">
        <v>0</v>
      </c>
      <c r="J88" s="295">
        <v>0</v>
      </c>
      <c r="K88" s="295">
        <v>0</v>
      </c>
      <c r="L88" s="296">
        <f t="shared" si="6"/>
        <v>0</v>
      </c>
      <c r="N88" s="297">
        <v>0</v>
      </c>
      <c r="O88" s="295">
        <v>0</v>
      </c>
      <c r="P88" s="295">
        <v>0</v>
      </c>
      <c r="Q88" s="295">
        <v>0</v>
      </c>
      <c r="R88" s="295">
        <v>0</v>
      </c>
      <c r="S88" s="296">
        <v>0</v>
      </c>
      <c r="U88" s="298">
        <f t="shared" si="7"/>
        <v>0</v>
      </c>
      <c r="Z88" s="305">
        <v>0</v>
      </c>
      <c r="AB88" s="305">
        <f t="shared" si="5"/>
        <v>0</v>
      </c>
    </row>
    <row r="89" spans="3:28" ht="18" customHeight="1">
      <c r="C89" s="6">
        <v>1</v>
      </c>
      <c r="D89" s="292" t="s">
        <v>833</v>
      </c>
      <c r="E89" s="293" t="s">
        <v>833</v>
      </c>
      <c r="F89" s="294" t="s">
        <v>678</v>
      </c>
      <c r="G89" s="293" t="s">
        <v>678</v>
      </c>
      <c r="H89" s="370">
        <v>-5241227</v>
      </c>
      <c r="I89" s="295">
        <v>0</v>
      </c>
      <c r="J89" s="295">
        <v>0</v>
      </c>
      <c r="K89" s="295">
        <v>0</v>
      </c>
      <c r="L89" s="296">
        <f t="shared" si="6"/>
        <v>-5241227</v>
      </c>
      <c r="N89" s="297">
        <v>0</v>
      </c>
      <c r="O89" s="295">
        <v>0</v>
      </c>
      <c r="P89" s="295">
        <v>0</v>
      </c>
      <c r="Q89" s="295">
        <v>0</v>
      </c>
      <c r="R89" s="295">
        <v>0</v>
      </c>
      <c r="S89" s="296">
        <v>0</v>
      </c>
      <c r="U89" s="298">
        <f t="shared" si="7"/>
        <v>-5241227</v>
      </c>
      <c r="Z89" s="305">
        <v>-5241227</v>
      </c>
      <c r="AB89" s="305">
        <f t="shared" si="5"/>
        <v>0</v>
      </c>
    </row>
    <row r="90" spans="3:28" ht="18" customHeight="1">
      <c r="C90" s="6">
        <v>1</v>
      </c>
      <c r="D90" s="292" t="s">
        <v>834</v>
      </c>
      <c r="E90" s="293" t="s">
        <v>834</v>
      </c>
      <c r="F90" s="294"/>
      <c r="G90" s="293" t="s">
        <v>835</v>
      </c>
      <c r="H90" s="370">
        <v>0</v>
      </c>
      <c r="I90" s="295">
        <v>0</v>
      </c>
      <c r="J90" s="295">
        <v>0</v>
      </c>
      <c r="K90" s="295">
        <v>0</v>
      </c>
      <c r="L90" s="296">
        <f t="shared" si="6"/>
        <v>0</v>
      </c>
      <c r="N90" s="297">
        <v>0</v>
      </c>
      <c r="O90" s="295">
        <v>0</v>
      </c>
      <c r="P90" s="295">
        <v>0</v>
      </c>
      <c r="Q90" s="295">
        <v>0</v>
      </c>
      <c r="R90" s="295">
        <v>0</v>
      </c>
      <c r="S90" s="296">
        <v>0</v>
      </c>
      <c r="U90" s="298">
        <f t="shared" si="7"/>
        <v>0</v>
      </c>
      <c r="Z90" s="305">
        <v>0</v>
      </c>
      <c r="AB90" s="305">
        <f t="shared" si="5"/>
        <v>0</v>
      </c>
    </row>
    <row r="91" spans="3:28" ht="18" customHeight="1">
      <c r="C91" s="6">
        <v>1</v>
      </c>
      <c r="D91" s="292" t="s">
        <v>836</v>
      </c>
      <c r="E91" s="293" t="s">
        <v>836</v>
      </c>
      <c r="F91" s="294" t="s">
        <v>679</v>
      </c>
      <c r="G91" s="293" t="s">
        <v>679</v>
      </c>
      <c r="H91" s="370">
        <v>0</v>
      </c>
      <c r="I91" s="295">
        <v>0</v>
      </c>
      <c r="J91" s="295">
        <v>0</v>
      </c>
      <c r="K91" s="295">
        <v>0</v>
      </c>
      <c r="L91" s="296">
        <f t="shared" si="6"/>
        <v>0</v>
      </c>
      <c r="N91" s="297">
        <v>0</v>
      </c>
      <c r="O91" s="295">
        <v>0</v>
      </c>
      <c r="P91" s="295">
        <v>0</v>
      </c>
      <c r="Q91" s="295">
        <v>0</v>
      </c>
      <c r="R91" s="295">
        <v>0</v>
      </c>
      <c r="S91" s="296">
        <v>0</v>
      </c>
      <c r="U91" s="298">
        <f t="shared" si="7"/>
        <v>0</v>
      </c>
      <c r="Z91" s="305">
        <v>0</v>
      </c>
      <c r="AB91" s="305">
        <f t="shared" si="5"/>
        <v>0</v>
      </c>
    </row>
    <row r="92" spans="3:28" ht="18" customHeight="1">
      <c r="C92" s="6">
        <v>1</v>
      </c>
      <c r="D92" s="292" t="s">
        <v>837</v>
      </c>
      <c r="E92" s="293" t="s">
        <v>837</v>
      </c>
      <c r="F92" s="294"/>
      <c r="G92" s="293" t="s">
        <v>838</v>
      </c>
      <c r="H92" s="370">
        <v>0</v>
      </c>
      <c r="I92" s="295">
        <v>0</v>
      </c>
      <c r="J92" s="295">
        <v>0</v>
      </c>
      <c r="K92" s="295">
        <v>0</v>
      </c>
      <c r="L92" s="296">
        <f t="shared" si="6"/>
        <v>0</v>
      </c>
      <c r="N92" s="297">
        <v>0</v>
      </c>
      <c r="O92" s="295">
        <v>0</v>
      </c>
      <c r="P92" s="295">
        <v>0</v>
      </c>
      <c r="Q92" s="295">
        <v>0</v>
      </c>
      <c r="R92" s="295">
        <v>0</v>
      </c>
      <c r="S92" s="296">
        <v>0</v>
      </c>
      <c r="U92" s="298">
        <f t="shared" si="7"/>
        <v>0</v>
      </c>
      <c r="Z92" s="305">
        <v>0</v>
      </c>
      <c r="AB92" s="305">
        <f t="shared" si="5"/>
        <v>0</v>
      </c>
    </row>
    <row r="93" spans="3:28" ht="18" customHeight="1">
      <c r="C93" s="6">
        <v>1</v>
      </c>
      <c r="D93" s="292" t="s">
        <v>839</v>
      </c>
      <c r="E93" s="293" t="s">
        <v>839</v>
      </c>
      <c r="F93" s="294" t="s">
        <v>2054</v>
      </c>
      <c r="G93" s="293" t="s">
        <v>840</v>
      </c>
      <c r="H93" s="370">
        <v>-3845569576</v>
      </c>
      <c r="I93" s="295">
        <v>0</v>
      </c>
      <c r="J93" s="295">
        <v>0</v>
      </c>
      <c r="K93" s="295">
        <v>-762700648</v>
      </c>
      <c r="L93" s="296">
        <f t="shared" si="6"/>
        <v>-4608270224</v>
      </c>
      <c r="N93" s="297">
        <v>0</v>
      </c>
      <c r="O93" s="295">
        <v>0</v>
      </c>
      <c r="P93" s="295">
        <v>0</v>
      </c>
      <c r="Q93" s="295">
        <v>0</v>
      </c>
      <c r="R93" s="295">
        <v>0</v>
      </c>
      <c r="S93" s="296">
        <v>0</v>
      </c>
      <c r="U93" s="298">
        <f t="shared" si="7"/>
        <v>-4608270224</v>
      </c>
      <c r="Z93" s="305">
        <v>-4013885227</v>
      </c>
      <c r="AB93" s="305">
        <f t="shared" si="5"/>
        <v>-594384997</v>
      </c>
    </row>
    <row r="94" spans="3:28" ht="18" customHeight="1">
      <c r="C94" s="6">
        <v>1</v>
      </c>
      <c r="D94" s="292" t="s">
        <v>841</v>
      </c>
      <c r="E94" s="293" t="s">
        <v>841</v>
      </c>
      <c r="F94" s="294"/>
      <c r="G94" s="293" t="s">
        <v>842</v>
      </c>
      <c r="H94" s="370">
        <v>0</v>
      </c>
      <c r="I94" s="295">
        <v>0</v>
      </c>
      <c r="J94" s="295">
        <v>0</v>
      </c>
      <c r="K94" s="295">
        <v>0</v>
      </c>
      <c r="L94" s="296">
        <f t="shared" si="6"/>
        <v>0</v>
      </c>
      <c r="N94" s="297">
        <v>0</v>
      </c>
      <c r="O94" s="295">
        <v>0</v>
      </c>
      <c r="P94" s="295">
        <v>0</v>
      </c>
      <c r="Q94" s="295">
        <v>0</v>
      </c>
      <c r="R94" s="295">
        <v>0</v>
      </c>
      <c r="S94" s="296">
        <v>0</v>
      </c>
      <c r="U94" s="298">
        <f t="shared" si="7"/>
        <v>0</v>
      </c>
      <c r="Z94" s="305">
        <v>0</v>
      </c>
      <c r="AB94" s="305">
        <f t="shared" si="5"/>
        <v>0</v>
      </c>
    </row>
    <row r="95" spans="3:28" ht="18" customHeight="1">
      <c r="C95" s="6">
        <v>1</v>
      </c>
      <c r="D95" s="292" t="s">
        <v>843</v>
      </c>
      <c r="E95" s="293" t="s">
        <v>843</v>
      </c>
      <c r="F95" s="294"/>
      <c r="G95" s="293" t="s">
        <v>844</v>
      </c>
      <c r="H95" s="370">
        <v>0</v>
      </c>
      <c r="I95" s="295">
        <v>0</v>
      </c>
      <c r="J95" s="295">
        <v>0</v>
      </c>
      <c r="K95" s="295">
        <v>0</v>
      </c>
      <c r="L95" s="296">
        <f t="shared" si="6"/>
        <v>0</v>
      </c>
      <c r="N95" s="297">
        <v>0</v>
      </c>
      <c r="O95" s="295">
        <v>0</v>
      </c>
      <c r="P95" s="295">
        <v>0</v>
      </c>
      <c r="Q95" s="295">
        <v>0</v>
      </c>
      <c r="R95" s="295">
        <v>0</v>
      </c>
      <c r="S95" s="296">
        <v>0</v>
      </c>
      <c r="U95" s="298">
        <f t="shared" si="7"/>
        <v>0</v>
      </c>
      <c r="Z95" s="305">
        <v>0</v>
      </c>
      <c r="AB95" s="305">
        <f t="shared" si="5"/>
        <v>0</v>
      </c>
    </row>
    <row r="96" spans="3:28" ht="18" customHeight="1">
      <c r="C96" s="6">
        <v>1</v>
      </c>
      <c r="D96" s="292" t="s">
        <v>845</v>
      </c>
      <c r="E96" s="293" t="s">
        <v>845</v>
      </c>
      <c r="F96" s="294"/>
      <c r="G96" s="293" t="s">
        <v>846</v>
      </c>
      <c r="H96" s="370">
        <v>0</v>
      </c>
      <c r="I96" s="295">
        <v>0</v>
      </c>
      <c r="J96" s="295">
        <v>0</v>
      </c>
      <c r="K96" s="295">
        <v>0</v>
      </c>
      <c r="L96" s="296">
        <f t="shared" si="6"/>
        <v>0</v>
      </c>
      <c r="N96" s="297">
        <v>0</v>
      </c>
      <c r="O96" s="295">
        <v>0</v>
      </c>
      <c r="P96" s="295">
        <v>0</v>
      </c>
      <c r="Q96" s="295">
        <v>0</v>
      </c>
      <c r="R96" s="295">
        <v>0</v>
      </c>
      <c r="S96" s="296">
        <v>0</v>
      </c>
      <c r="U96" s="298">
        <f t="shared" si="7"/>
        <v>0</v>
      </c>
      <c r="Z96" s="305">
        <v>0</v>
      </c>
      <c r="AB96" s="305">
        <f t="shared" si="5"/>
        <v>0</v>
      </c>
    </row>
    <row r="97" spans="3:28" ht="18" customHeight="1">
      <c r="C97" s="6">
        <v>1</v>
      </c>
      <c r="D97" s="292" t="s">
        <v>847</v>
      </c>
      <c r="E97" s="293" t="s">
        <v>847</v>
      </c>
      <c r="F97" s="294"/>
      <c r="G97" s="293" t="s">
        <v>848</v>
      </c>
      <c r="H97" s="370">
        <v>0</v>
      </c>
      <c r="I97" s="295">
        <v>0</v>
      </c>
      <c r="J97" s="295">
        <v>0</v>
      </c>
      <c r="K97" s="295">
        <v>0</v>
      </c>
      <c r="L97" s="296">
        <f t="shared" si="6"/>
        <v>0</v>
      </c>
      <c r="N97" s="297">
        <v>0</v>
      </c>
      <c r="O97" s="295">
        <v>0</v>
      </c>
      <c r="P97" s="295">
        <v>0</v>
      </c>
      <c r="Q97" s="295">
        <v>0</v>
      </c>
      <c r="R97" s="295">
        <v>0</v>
      </c>
      <c r="S97" s="296">
        <v>0</v>
      </c>
      <c r="U97" s="298">
        <f t="shared" si="7"/>
        <v>0</v>
      </c>
      <c r="Z97" s="305">
        <v>0</v>
      </c>
      <c r="AB97" s="305">
        <f t="shared" si="5"/>
        <v>0</v>
      </c>
    </row>
    <row r="98" spans="3:28" ht="18" customHeight="1">
      <c r="C98" s="6">
        <v>1</v>
      </c>
      <c r="D98" s="292" t="s">
        <v>849</v>
      </c>
      <c r="E98" s="293" t="s">
        <v>849</v>
      </c>
      <c r="F98" s="294"/>
      <c r="G98" s="293" t="s">
        <v>850</v>
      </c>
      <c r="H98" s="370">
        <v>0</v>
      </c>
      <c r="I98" s="295">
        <v>0</v>
      </c>
      <c r="J98" s="295">
        <v>0</v>
      </c>
      <c r="K98" s="295">
        <v>0</v>
      </c>
      <c r="L98" s="296">
        <f t="shared" si="6"/>
        <v>0</v>
      </c>
      <c r="N98" s="297">
        <v>0</v>
      </c>
      <c r="O98" s="295">
        <v>0</v>
      </c>
      <c r="P98" s="295">
        <v>0</v>
      </c>
      <c r="Q98" s="295">
        <v>0</v>
      </c>
      <c r="R98" s="295">
        <v>0</v>
      </c>
      <c r="S98" s="296">
        <v>0</v>
      </c>
      <c r="U98" s="298">
        <f t="shared" si="7"/>
        <v>0</v>
      </c>
      <c r="Z98" s="305">
        <v>0</v>
      </c>
      <c r="AB98" s="305">
        <f t="shared" si="5"/>
        <v>0</v>
      </c>
    </row>
    <row r="99" spans="3:28" ht="18" customHeight="1">
      <c r="C99" s="6">
        <v>1</v>
      </c>
      <c r="D99" s="292" t="s">
        <v>851</v>
      </c>
      <c r="E99" s="293" t="s">
        <v>851</v>
      </c>
      <c r="F99" s="294"/>
      <c r="G99" s="293" t="s">
        <v>852</v>
      </c>
      <c r="H99" s="370">
        <v>0</v>
      </c>
      <c r="I99" s="295">
        <v>0</v>
      </c>
      <c r="J99" s="295">
        <v>0</v>
      </c>
      <c r="K99" s="295">
        <v>0</v>
      </c>
      <c r="L99" s="296">
        <f t="shared" si="6"/>
        <v>0</v>
      </c>
      <c r="N99" s="297">
        <v>0</v>
      </c>
      <c r="O99" s="295">
        <v>0</v>
      </c>
      <c r="P99" s="295">
        <v>0</v>
      </c>
      <c r="Q99" s="295">
        <v>0</v>
      </c>
      <c r="R99" s="295">
        <v>0</v>
      </c>
      <c r="S99" s="296">
        <v>0</v>
      </c>
      <c r="U99" s="298">
        <f t="shared" si="7"/>
        <v>0</v>
      </c>
      <c r="Z99" s="305">
        <v>0</v>
      </c>
      <c r="AB99" s="305">
        <f t="shared" si="5"/>
        <v>0</v>
      </c>
    </row>
    <row r="100" spans="3:28" ht="18" customHeight="1">
      <c r="C100" s="6">
        <v>1</v>
      </c>
      <c r="D100" s="292" t="s">
        <v>853</v>
      </c>
      <c r="E100" s="293" t="s">
        <v>853</v>
      </c>
      <c r="F100" s="294"/>
      <c r="G100" s="293" t="s">
        <v>854</v>
      </c>
      <c r="H100" s="370">
        <v>0</v>
      </c>
      <c r="I100" s="295">
        <v>0</v>
      </c>
      <c r="J100" s="295">
        <v>0</v>
      </c>
      <c r="K100" s="295">
        <v>0</v>
      </c>
      <c r="L100" s="296">
        <f t="shared" si="6"/>
        <v>0</v>
      </c>
      <c r="N100" s="297">
        <v>0</v>
      </c>
      <c r="O100" s="295">
        <v>0</v>
      </c>
      <c r="P100" s="295">
        <v>0</v>
      </c>
      <c r="Q100" s="295">
        <v>0</v>
      </c>
      <c r="R100" s="295">
        <v>0</v>
      </c>
      <c r="S100" s="296">
        <v>0</v>
      </c>
      <c r="U100" s="298">
        <f t="shared" si="7"/>
        <v>0</v>
      </c>
      <c r="Z100" s="305">
        <v>0</v>
      </c>
      <c r="AB100" s="305">
        <f t="shared" si="5"/>
        <v>0</v>
      </c>
    </row>
    <row r="101" spans="3:28" ht="18" customHeight="1">
      <c r="C101" s="6">
        <v>1</v>
      </c>
      <c r="D101" s="292" t="s">
        <v>855</v>
      </c>
      <c r="E101" s="293" t="s">
        <v>855</v>
      </c>
      <c r="F101" s="294"/>
      <c r="G101" s="293" t="s">
        <v>856</v>
      </c>
      <c r="H101" s="370">
        <v>0</v>
      </c>
      <c r="I101" s="295">
        <v>0</v>
      </c>
      <c r="J101" s="295">
        <v>0</v>
      </c>
      <c r="K101" s="295">
        <v>0</v>
      </c>
      <c r="L101" s="296">
        <f t="shared" si="6"/>
        <v>0</v>
      </c>
      <c r="N101" s="297">
        <v>0</v>
      </c>
      <c r="O101" s="295">
        <v>0</v>
      </c>
      <c r="P101" s="295">
        <v>0</v>
      </c>
      <c r="Q101" s="295">
        <v>0</v>
      </c>
      <c r="R101" s="295">
        <v>0</v>
      </c>
      <c r="S101" s="296">
        <v>0</v>
      </c>
      <c r="U101" s="298">
        <f t="shared" si="7"/>
        <v>0</v>
      </c>
      <c r="Z101" s="305">
        <v>0</v>
      </c>
      <c r="AB101" s="305">
        <f t="shared" si="5"/>
        <v>0</v>
      </c>
    </row>
    <row r="102" spans="3:28" ht="18" customHeight="1">
      <c r="C102" s="6">
        <v>1</v>
      </c>
      <c r="D102" s="292" t="s">
        <v>857</v>
      </c>
      <c r="E102" s="293" t="s">
        <v>857</v>
      </c>
      <c r="F102" s="294"/>
      <c r="G102" s="293" t="s">
        <v>858</v>
      </c>
      <c r="H102" s="370">
        <v>0</v>
      </c>
      <c r="I102" s="295">
        <v>0</v>
      </c>
      <c r="J102" s="295">
        <v>0</v>
      </c>
      <c r="K102" s="295">
        <v>0</v>
      </c>
      <c r="L102" s="296">
        <f t="shared" si="6"/>
        <v>0</v>
      </c>
      <c r="N102" s="297">
        <v>0</v>
      </c>
      <c r="O102" s="295">
        <v>0</v>
      </c>
      <c r="P102" s="295">
        <v>0</v>
      </c>
      <c r="Q102" s="295">
        <v>0</v>
      </c>
      <c r="R102" s="295">
        <v>0</v>
      </c>
      <c r="S102" s="296">
        <v>0</v>
      </c>
      <c r="U102" s="298">
        <f t="shared" si="7"/>
        <v>0</v>
      </c>
      <c r="Z102" s="305">
        <v>0</v>
      </c>
      <c r="AB102" s="305">
        <f t="shared" si="5"/>
        <v>0</v>
      </c>
    </row>
    <row r="103" spans="3:28" ht="18" customHeight="1">
      <c r="C103" s="6">
        <v>1</v>
      </c>
      <c r="D103" s="292" t="s">
        <v>859</v>
      </c>
      <c r="E103" s="293" t="s">
        <v>859</v>
      </c>
      <c r="F103" s="294"/>
      <c r="G103" s="293" t="s">
        <v>860</v>
      </c>
      <c r="H103" s="370">
        <v>0</v>
      </c>
      <c r="I103" s="295">
        <v>0</v>
      </c>
      <c r="J103" s="295">
        <v>0</v>
      </c>
      <c r="K103" s="295">
        <v>0</v>
      </c>
      <c r="L103" s="296">
        <f t="shared" si="6"/>
        <v>0</v>
      </c>
      <c r="N103" s="297">
        <v>0</v>
      </c>
      <c r="O103" s="295">
        <v>0</v>
      </c>
      <c r="P103" s="295">
        <v>0</v>
      </c>
      <c r="Q103" s="295">
        <v>0</v>
      </c>
      <c r="R103" s="295">
        <v>0</v>
      </c>
      <c r="S103" s="296">
        <v>0</v>
      </c>
      <c r="U103" s="298">
        <f t="shared" si="7"/>
        <v>0</v>
      </c>
      <c r="Z103" s="305">
        <v>0</v>
      </c>
      <c r="AB103" s="305">
        <f t="shared" si="5"/>
        <v>0</v>
      </c>
    </row>
    <row r="104" spans="3:28" ht="18" customHeight="1">
      <c r="C104" s="6">
        <v>1</v>
      </c>
      <c r="D104" s="292" t="s">
        <v>861</v>
      </c>
      <c r="E104" s="293" t="s">
        <v>861</v>
      </c>
      <c r="F104" s="294"/>
      <c r="G104" s="293" t="s">
        <v>862</v>
      </c>
      <c r="H104" s="370">
        <v>0</v>
      </c>
      <c r="I104" s="295">
        <v>0</v>
      </c>
      <c r="J104" s="295">
        <v>0</v>
      </c>
      <c r="K104" s="295">
        <v>0</v>
      </c>
      <c r="L104" s="296">
        <f t="shared" si="6"/>
        <v>0</v>
      </c>
      <c r="N104" s="297">
        <v>0</v>
      </c>
      <c r="O104" s="295">
        <v>0</v>
      </c>
      <c r="P104" s="295">
        <v>0</v>
      </c>
      <c r="Q104" s="295">
        <v>0</v>
      </c>
      <c r="R104" s="295">
        <v>0</v>
      </c>
      <c r="S104" s="296">
        <v>0</v>
      </c>
      <c r="U104" s="298">
        <f t="shared" si="7"/>
        <v>0</v>
      </c>
      <c r="Z104" s="305">
        <v>0</v>
      </c>
      <c r="AB104" s="305">
        <f t="shared" si="5"/>
        <v>0</v>
      </c>
    </row>
    <row r="105" spans="3:28" ht="18" customHeight="1">
      <c r="C105" s="6">
        <v>1</v>
      </c>
      <c r="D105" s="292" t="s">
        <v>863</v>
      </c>
      <c r="E105" s="293" t="s">
        <v>863</v>
      </c>
      <c r="F105" s="294"/>
      <c r="G105" s="293" t="s">
        <v>864</v>
      </c>
      <c r="H105" s="370">
        <v>0</v>
      </c>
      <c r="I105" s="295">
        <v>0</v>
      </c>
      <c r="J105" s="295">
        <v>0</v>
      </c>
      <c r="K105" s="295">
        <v>0</v>
      </c>
      <c r="L105" s="296">
        <f t="shared" si="6"/>
        <v>0</v>
      </c>
      <c r="N105" s="297">
        <v>0</v>
      </c>
      <c r="O105" s="295">
        <v>0</v>
      </c>
      <c r="P105" s="295">
        <v>0</v>
      </c>
      <c r="Q105" s="295">
        <v>0</v>
      </c>
      <c r="R105" s="295">
        <v>0</v>
      </c>
      <c r="S105" s="296">
        <v>0</v>
      </c>
      <c r="U105" s="298">
        <f t="shared" si="7"/>
        <v>0</v>
      </c>
      <c r="Z105" s="305">
        <v>0</v>
      </c>
      <c r="AB105" s="305">
        <f t="shared" si="5"/>
        <v>0</v>
      </c>
    </row>
    <row r="106" spans="3:28" ht="18" customHeight="1">
      <c r="C106" s="6">
        <v>1</v>
      </c>
      <c r="D106" s="292" t="s">
        <v>865</v>
      </c>
      <c r="E106" s="293" t="s">
        <v>865</v>
      </c>
      <c r="F106" s="294"/>
      <c r="G106" s="293" t="s">
        <v>866</v>
      </c>
      <c r="H106" s="370">
        <v>0</v>
      </c>
      <c r="I106" s="295">
        <v>0</v>
      </c>
      <c r="J106" s="295">
        <v>0</v>
      </c>
      <c r="K106" s="295">
        <v>0</v>
      </c>
      <c r="L106" s="296">
        <f t="shared" si="6"/>
        <v>0</v>
      </c>
      <c r="N106" s="297">
        <v>0</v>
      </c>
      <c r="O106" s="295">
        <v>0</v>
      </c>
      <c r="P106" s="295">
        <v>0</v>
      </c>
      <c r="Q106" s="295">
        <v>0</v>
      </c>
      <c r="R106" s="295">
        <v>0</v>
      </c>
      <c r="S106" s="296">
        <v>0</v>
      </c>
      <c r="U106" s="298">
        <f t="shared" si="7"/>
        <v>0</v>
      </c>
      <c r="Z106" s="305">
        <v>0</v>
      </c>
      <c r="AB106" s="305">
        <f t="shared" si="5"/>
        <v>0</v>
      </c>
    </row>
    <row r="107" spans="3:28" ht="18" customHeight="1">
      <c r="C107" s="6">
        <v>1</v>
      </c>
      <c r="D107" s="292" t="s">
        <v>867</v>
      </c>
      <c r="E107" s="293" t="s">
        <v>867</v>
      </c>
      <c r="F107" s="294"/>
      <c r="G107" s="293" t="s">
        <v>868</v>
      </c>
      <c r="H107" s="370">
        <v>0</v>
      </c>
      <c r="I107" s="295">
        <v>0</v>
      </c>
      <c r="J107" s="295">
        <v>0</v>
      </c>
      <c r="K107" s="295">
        <v>0</v>
      </c>
      <c r="L107" s="296">
        <f t="shared" ref="L107:L124" si="8">SUM(H107:K107)</f>
        <v>0</v>
      </c>
      <c r="N107" s="297">
        <v>0</v>
      </c>
      <c r="O107" s="295">
        <v>0</v>
      </c>
      <c r="P107" s="295">
        <v>0</v>
      </c>
      <c r="Q107" s="295">
        <v>0</v>
      </c>
      <c r="R107" s="295">
        <v>0</v>
      </c>
      <c r="S107" s="296">
        <v>0</v>
      </c>
      <c r="U107" s="298">
        <f t="shared" si="7"/>
        <v>0</v>
      </c>
      <c r="Z107" s="305">
        <v>0</v>
      </c>
      <c r="AB107" s="305">
        <f t="shared" si="5"/>
        <v>0</v>
      </c>
    </row>
    <row r="108" spans="3:28" ht="18" customHeight="1">
      <c r="C108" s="6">
        <v>1</v>
      </c>
      <c r="D108" s="292" t="s">
        <v>869</v>
      </c>
      <c r="E108" s="293" t="s">
        <v>869</v>
      </c>
      <c r="F108" s="294"/>
      <c r="G108" s="293" t="s">
        <v>870</v>
      </c>
      <c r="H108" s="370">
        <v>0</v>
      </c>
      <c r="I108" s="295">
        <v>0</v>
      </c>
      <c r="J108" s="295">
        <v>0</v>
      </c>
      <c r="K108" s="295">
        <v>0</v>
      </c>
      <c r="L108" s="296">
        <f t="shared" si="8"/>
        <v>0</v>
      </c>
      <c r="N108" s="297">
        <v>0</v>
      </c>
      <c r="O108" s="295">
        <v>0</v>
      </c>
      <c r="P108" s="295">
        <v>0</v>
      </c>
      <c r="Q108" s="295">
        <v>0</v>
      </c>
      <c r="R108" s="295">
        <v>0</v>
      </c>
      <c r="S108" s="296">
        <v>0</v>
      </c>
      <c r="U108" s="298">
        <f t="shared" si="7"/>
        <v>0</v>
      </c>
      <c r="Z108" s="305">
        <v>0</v>
      </c>
      <c r="AB108" s="305">
        <f t="shared" si="5"/>
        <v>0</v>
      </c>
    </row>
    <row r="109" spans="3:28" ht="18" customHeight="1">
      <c r="C109" s="6">
        <v>1</v>
      </c>
      <c r="D109" s="292" t="s">
        <v>871</v>
      </c>
      <c r="E109" s="293" t="s">
        <v>871</v>
      </c>
      <c r="F109" s="294"/>
      <c r="G109" s="293" t="s">
        <v>872</v>
      </c>
      <c r="H109" s="370">
        <v>0</v>
      </c>
      <c r="I109" s="295">
        <v>0</v>
      </c>
      <c r="J109" s="295">
        <v>0</v>
      </c>
      <c r="K109" s="295">
        <v>0</v>
      </c>
      <c r="L109" s="296">
        <f t="shared" si="8"/>
        <v>0</v>
      </c>
      <c r="N109" s="297">
        <v>0</v>
      </c>
      <c r="O109" s="295">
        <v>0</v>
      </c>
      <c r="P109" s="295">
        <v>0</v>
      </c>
      <c r="Q109" s="295">
        <v>0</v>
      </c>
      <c r="R109" s="295">
        <v>0</v>
      </c>
      <c r="S109" s="296">
        <v>0</v>
      </c>
      <c r="U109" s="298">
        <f t="shared" si="7"/>
        <v>0</v>
      </c>
      <c r="Z109" s="305">
        <v>0</v>
      </c>
      <c r="AB109" s="305">
        <f t="shared" si="5"/>
        <v>0</v>
      </c>
    </row>
    <row r="110" spans="3:28" ht="18" customHeight="1">
      <c r="C110" s="6">
        <v>1</v>
      </c>
      <c r="D110" s="292" t="s">
        <v>873</v>
      </c>
      <c r="E110" s="293" t="s">
        <v>873</v>
      </c>
      <c r="F110" s="294" t="s">
        <v>673</v>
      </c>
      <c r="G110" s="293" t="s">
        <v>673</v>
      </c>
      <c r="H110" s="370">
        <v>-733661400</v>
      </c>
      <c r="I110" s="295">
        <v>-2813829</v>
      </c>
      <c r="J110" s="295">
        <v>-50425</v>
      </c>
      <c r="K110" s="295">
        <v>-20567502</v>
      </c>
      <c r="L110" s="296">
        <f t="shared" si="8"/>
        <v>-757093156</v>
      </c>
      <c r="N110" s="297">
        <v>0</v>
      </c>
      <c r="O110" s="295">
        <v>0</v>
      </c>
      <c r="P110" s="295">
        <v>47128749</v>
      </c>
      <c r="Q110" s="295">
        <v>0</v>
      </c>
      <c r="R110" s="295">
        <v>0</v>
      </c>
      <c r="S110" s="296">
        <v>47128749</v>
      </c>
      <c r="U110" s="298">
        <f t="shared" si="7"/>
        <v>-709964407</v>
      </c>
      <c r="W110" s="6" t="b">
        <f>U110=-SUM(T_IS!X77:X78)</f>
        <v>0</v>
      </c>
      <c r="Z110" s="305">
        <v>-460300719</v>
      </c>
      <c r="AB110" s="305">
        <f t="shared" si="5"/>
        <v>-249663688</v>
      </c>
    </row>
    <row r="111" spans="3:28" ht="18" customHeight="1">
      <c r="C111" s="6">
        <v>1</v>
      </c>
      <c r="D111" s="292" t="s">
        <v>874</v>
      </c>
      <c r="E111" s="293" t="s">
        <v>874</v>
      </c>
      <c r="F111" s="294"/>
      <c r="G111" s="293" t="s">
        <v>875</v>
      </c>
      <c r="H111" s="370">
        <v>0</v>
      </c>
      <c r="I111" s="295">
        <v>0</v>
      </c>
      <c r="J111" s="295">
        <v>0</v>
      </c>
      <c r="K111" s="295">
        <v>0</v>
      </c>
      <c r="L111" s="296">
        <f t="shared" si="8"/>
        <v>0</v>
      </c>
      <c r="N111" s="297">
        <v>0</v>
      </c>
      <c r="O111" s="295">
        <v>0</v>
      </c>
      <c r="P111" s="295">
        <v>0</v>
      </c>
      <c r="Q111" s="295">
        <v>0</v>
      </c>
      <c r="R111" s="295">
        <v>0</v>
      </c>
      <c r="S111" s="296">
        <v>0</v>
      </c>
      <c r="U111" s="298">
        <f t="shared" si="7"/>
        <v>0</v>
      </c>
      <c r="Z111" s="305">
        <v>0</v>
      </c>
      <c r="AB111" s="305">
        <f t="shared" si="5"/>
        <v>0</v>
      </c>
    </row>
    <row r="112" spans="3:28" ht="18" customHeight="1">
      <c r="C112" s="6">
        <v>1</v>
      </c>
      <c r="D112" s="292" t="s">
        <v>876</v>
      </c>
      <c r="E112" s="293" t="s">
        <v>876</v>
      </c>
      <c r="F112" s="294"/>
      <c r="G112" s="293" t="s">
        <v>877</v>
      </c>
      <c r="H112" s="370">
        <v>0</v>
      </c>
      <c r="I112" s="295">
        <v>0</v>
      </c>
      <c r="J112" s="295">
        <v>0</v>
      </c>
      <c r="K112" s="295">
        <v>0</v>
      </c>
      <c r="L112" s="296">
        <f t="shared" si="8"/>
        <v>0</v>
      </c>
      <c r="N112" s="297">
        <v>0</v>
      </c>
      <c r="O112" s="295">
        <v>0</v>
      </c>
      <c r="P112" s="295">
        <v>0</v>
      </c>
      <c r="Q112" s="295">
        <v>0</v>
      </c>
      <c r="R112" s="295">
        <v>0</v>
      </c>
      <c r="S112" s="296">
        <v>0</v>
      </c>
      <c r="U112" s="298">
        <f t="shared" si="7"/>
        <v>0</v>
      </c>
      <c r="Z112" s="305">
        <v>0</v>
      </c>
      <c r="AB112" s="305">
        <f t="shared" si="5"/>
        <v>0</v>
      </c>
    </row>
    <row r="113" spans="3:29" ht="18" customHeight="1">
      <c r="C113" s="6">
        <v>1</v>
      </c>
      <c r="D113" s="292" t="s">
        <v>878</v>
      </c>
      <c r="E113" s="293" t="s">
        <v>878</v>
      </c>
      <c r="F113" s="294"/>
      <c r="G113" s="293" t="s">
        <v>879</v>
      </c>
      <c r="H113" s="370">
        <v>0</v>
      </c>
      <c r="I113" s="295">
        <v>0</v>
      </c>
      <c r="J113" s="295">
        <v>0</v>
      </c>
      <c r="K113" s="295">
        <v>0</v>
      </c>
      <c r="L113" s="296">
        <f t="shared" si="8"/>
        <v>0</v>
      </c>
      <c r="N113" s="297">
        <v>0</v>
      </c>
      <c r="O113" s="295">
        <v>0</v>
      </c>
      <c r="P113" s="295">
        <v>0</v>
      </c>
      <c r="Q113" s="295">
        <v>0</v>
      </c>
      <c r="R113" s="295">
        <v>0</v>
      </c>
      <c r="S113" s="296">
        <v>0</v>
      </c>
      <c r="U113" s="298">
        <f t="shared" si="7"/>
        <v>0</v>
      </c>
      <c r="Z113" s="305">
        <v>0</v>
      </c>
      <c r="AB113" s="305">
        <f t="shared" si="5"/>
        <v>0</v>
      </c>
    </row>
    <row r="114" spans="3:29" s="28" customFormat="1" ht="18" customHeight="1">
      <c r="C114" s="6">
        <v>1</v>
      </c>
      <c r="D114" s="300" t="s">
        <v>809</v>
      </c>
      <c r="E114" s="301" t="s">
        <v>880</v>
      </c>
      <c r="F114" s="302" t="s">
        <v>1418</v>
      </c>
      <c r="G114" s="301" t="s">
        <v>881</v>
      </c>
      <c r="H114" s="370">
        <v>-770071633</v>
      </c>
      <c r="I114" s="295">
        <v>0</v>
      </c>
      <c r="J114" s="295">
        <v>0</v>
      </c>
      <c r="K114" s="295">
        <v>0</v>
      </c>
      <c r="L114" s="296">
        <f t="shared" si="8"/>
        <v>-770071633</v>
      </c>
      <c r="N114" s="304">
        <v>0</v>
      </c>
      <c r="O114" s="299">
        <v>0</v>
      </c>
      <c r="P114" s="299">
        <v>0</v>
      </c>
      <c r="Q114" s="299">
        <v>0</v>
      </c>
      <c r="R114" s="299">
        <v>0</v>
      </c>
      <c r="S114" s="303">
        <v>0</v>
      </c>
      <c r="U114" s="298">
        <f t="shared" si="7"/>
        <v>-770071633</v>
      </c>
      <c r="Z114" s="305">
        <v>0</v>
      </c>
      <c r="AB114" s="305">
        <f t="shared" si="5"/>
        <v>-770071633</v>
      </c>
    </row>
    <row r="115" spans="3:29" s="28" customFormat="1" ht="18" customHeight="1">
      <c r="C115" s="6">
        <v>1</v>
      </c>
      <c r="D115" s="300" t="s">
        <v>807</v>
      </c>
      <c r="E115" s="301" t="s">
        <v>882</v>
      </c>
      <c r="F115" s="302" t="s">
        <v>1419</v>
      </c>
      <c r="G115" s="301" t="s">
        <v>883</v>
      </c>
      <c r="H115" s="370">
        <v>0</v>
      </c>
      <c r="I115" s="295">
        <v>0</v>
      </c>
      <c r="J115" s="295">
        <v>0</v>
      </c>
      <c r="K115" s="295">
        <v>0</v>
      </c>
      <c r="L115" s="296">
        <f t="shared" si="8"/>
        <v>0</v>
      </c>
      <c r="N115" s="304">
        <v>0</v>
      </c>
      <c r="O115" s="299">
        <v>0</v>
      </c>
      <c r="P115" s="299">
        <v>0</v>
      </c>
      <c r="Q115" s="299">
        <v>0</v>
      </c>
      <c r="R115" s="299">
        <v>0</v>
      </c>
      <c r="S115" s="303">
        <v>0</v>
      </c>
      <c r="U115" s="298">
        <f t="shared" si="7"/>
        <v>0</v>
      </c>
      <c r="Z115" s="305">
        <v>0</v>
      </c>
      <c r="AB115" s="305">
        <f t="shared" si="5"/>
        <v>0</v>
      </c>
    </row>
    <row r="116" spans="3:29" ht="18" customHeight="1">
      <c r="C116" s="6">
        <v>1</v>
      </c>
      <c r="D116" s="292" t="s">
        <v>884</v>
      </c>
      <c r="E116" s="293" t="s">
        <v>884</v>
      </c>
      <c r="F116" s="294"/>
      <c r="G116" s="293" t="s">
        <v>885</v>
      </c>
      <c r="H116" s="370">
        <v>0</v>
      </c>
      <c r="I116" s="295">
        <v>0</v>
      </c>
      <c r="J116" s="295">
        <v>0</v>
      </c>
      <c r="K116" s="295">
        <v>0</v>
      </c>
      <c r="L116" s="296">
        <f t="shared" si="8"/>
        <v>0</v>
      </c>
      <c r="N116" s="297">
        <v>0</v>
      </c>
      <c r="O116" s="295">
        <v>0</v>
      </c>
      <c r="P116" s="295">
        <v>0</v>
      </c>
      <c r="Q116" s="295">
        <v>0</v>
      </c>
      <c r="R116" s="295">
        <v>0</v>
      </c>
      <c r="S116" s="296">
        <v>0</v>
      </c>
      <c r="U116" s="298">
        <f t="shared" si="7"/>
        <v>0</v>
      </c>
      <c r="Z116" s="305">
        <v>0</v>
      </c>
      <c r="AB116" s="305">
        <f t="shared" si="5"/>
        <v>0</v>
      </c>
    </row>
    <row r="117" spans="3:29" ht="18" customHeight="1">
      <c r="C117" s="6">
        <v>1</v>
      </c>
      <c r="D117" s="292" t="s">
        <v>886</v>
      </c>
      <c r="E117" s="293" t="s">
        <v>886</v>
      </c>
      <c r="F117" s="294"/>
      <c r="G117" s="293" t="s">
        <v>887</v>
      </c>
      <c r="H117" s="370">
        <v>0</v>
      </c>
      <c r="I117" s="295">
        <v>0</v>
      </c>
      <c r="J117" s="295">
        <v>0</v>
      </c>
      <c r="K117" s="295">
        <v>0</v>
      </c>
      <c r="L117" s="296">
        <f t="shared" si="8"/>
        <v>0</v>
      </c>
      <c r="N117" s="297">
        <v>0</v>
      </c>
      <c r="O117" s="295">
        <v>0</v>
      </c>
      <c r="P117" s="295">
        <v>0</v>
      </c>
      <c r="Q117" s="295">
        <v>0</v>
      </c>
      <c r="R117" s="295">
        <v>0</v>
      </c>
      <c r="S117" s="296">
        <v>0</v>
      </c>
      <c r="U117" s="298">
        <f t="shared" si="7"/>
        <v>0</v>
      </c>
      <c r="Z117" s="305">
        <v>0</v>
      </c>
      <c r="AB117" s="305">
        <f t="shared" si="5"/>
        <v>0</v>
      </c>
    </row>
    <row r="118" spans="3:29" ht="18" customHeight="1">
      <c r="C118" s="6">
        <v>1</v>
      </c>
      <c r="D118" s="292" t="s">
        <v>888</v>
      </c>
      <c r="E118" s="293" t="s">
        <v>888</v>
      </c>
      <c r="F118" s="294"/>
      <c r="G118" s="293" t="s">
        <v>889</v>
      </c>
      <c r="H118" s="370">
        <v>0</v>
      </c>
      <c r="I118" s="295">
        <v>0</v>
      </c>
      <c r="J118" s="295">
        <v>0</v>
      </c>
      <c r="K118" s="295">
        <v>0</v>
      </c>
      <c r="L118" s="296">
        <f t="shared" si="8"/>
        <v>0</v>
      </c>
      <c r="N118" s="297">
        <v>0</v>
      </c>
      <c r="O118" s="295">
        <v>0</v>
      </c>
      <c r="P118" s="295">
        <v>0</v>
      </c>
      <c r="Q118" s="295">
        <v>0</v>
      </c>
      <c r="R118" s="295">
        <v>0</v>
      </c>
      <c r="S118" s="296">
        <v>0</v>
      </c>
      <c r="U118" s="298">
        <f t="shared" si="7"/>
        <v>0</v>
      </c>
      <c r="Z118" s="305">
        <v>0</v>
      </c>
      <c r="AB118" s="305">
        <f t="shared" si="5"/>
        <v>0</v>
      </c>
    </row>
    <row r="119" spans="3:29" ht="18" customHeight="1">
      <c r="C119" s="6">
        <v>1</v>
      </c>
      <c r="D119" s="292" t="s">
        <v>890</v>
      </c>
      <c r="E119" s="293" t="s">
        <v>890</v>
      </c>
      <c r="F119" s="294"/>
      <c r="G119" s="293" t="s">
        <v>891</v>
      </c>
      <c r="H119" s="370">
        <v>0</v>
      </c>
      <c r="I119" s="295">
        <v>0</v>
      </c>
      <c r="J119" s="295">
        <v>0</v>
      </c>
      <c r="K119" s="295">
        <v>0</v>
      </c>
      <c r="L119" s="296">
        <f t="shared" si="8"/>
        <v>0</v>
      </c>
      <c r="N119" s="297">
        <v>0</v>
      </c>
      <c r="O119" s="295">
        <v>0</v>
      </c>
      <c r="P119" s="295">
        <v>0</v>
      </c>
      <c r="Q119" s="295">
        <v>0</v>
      </c>
      <c r="R119" s="295">
        <v>0</v>
      </c>
      <c r="S119" s="296">
        <v>0</v>
      </c>
      <c r="U119" s="298">
        <f t="shared" si="7"/>
        <v>0</v>
      </c>
      <c r="Z119" s="305">
        <v>0</v>
      </c>
      <c r="AB119" s="305">
        <f t="shared" si="5"/>
        <v>0</v>
      </c>
    </row>
    <row r="120" spans="3:29" ht="18" customHeight="1">
      <c r="C120" s="6">
        <v>1</v>
      </c>
      <c r="D120" s="292" t="s">
        <v>892</v>
      </c>
      <c r="E120" s="293" t="s">
        <v>892</v>
      </c>
      <c r="F120" s="294"/>
      <c r="G120" s="293" t="s">
        <v>893</v>
      </c>
      <c r="H120" s="370">
        <v>0</v>
      </c>
      <c r="I120" s="295">
        <v>0</v>
      </c>
      <c r="J120" s="295">
        <v>0</v>
      </c>
      <c r="K120" s="295">
        <v>0</v>
      </c>
      <c r="L120" s="296">
        <f t="shared" si="8"/>
        <v>0</v>
      </c>
      <c r="N120" s="297">
        <v>0</v>
      </c>
      <c r="O120" s="295">
        <v>0</v>
      </c>
      <c r="P120" s="295">
        <v>0</v>
      </c>
      <c r="Q120" s="295">
        <v>0</v>
      </c>
      <c r="R120" s="295">
        <v>0</v>
      </c>
      <c r="S120" s="296">
        <v>0</v>
      </c>
      <c r="U120" s="298">
        <f t="shared" si="7"/>
        <v>0</v>
      </c>
      <c r="Z120" s="305">
        <v>0</v>
      </c>
      <c r="AB120" s="305">
        <f t="shared" si="5"/>
        <v>0</v>
      </c>
    </row>
    <row r="121" spans="3:29" ht="18" customHeight="1">
      <c r="C121" s="6">
        <v>1</v>
      </c>
      <c r="D121" s="292" t="s">
        <v>894</v>
      </c>
      <c r="E121" s="293" t="s">
        <v>894</v>
      </c>
      <c r="F121" s="294"/>
      <c r="G121" s="293" t="s">
        <v>895</v>
      </c>
      <c r="H121" s="370">
        <v>0</v>
      </c>
      <c r="I121" s="295">
        <v>0</v>
      </c>
      <c r="J121" s="295">
        <v>0</v>
      </c>
      <c r="K121" s="295">
        <v>0</v>
      </c>
      <c r="L121" s="296">
        <f t="shared" si="8"/>
        <v>0</v>
      </c>
      <c r="N121" s="297">
        <v>0</v>
      </c>
      <c r="O121" s="295">
        <v>0</v>
      </c>
      <c r="P121" s="295">
        <v>0</v>
      </c>
      <c r="Q121" s="295">
        <v>0</v>
      </c>
      <c r="R121" s="295">
        <v>0</v>
      </c>
      <c r="S121" s="296">
        <v>0</v>
      </c>
      <c r="U121" s="298">
        <f t="shared" si="7"/>
        <v>0</v>
      </c>
      <c r="Z121" s="305">
        <v>0</v>
      </c>
      <c r="AB121" s="305">
        <f t="shared" si="5"/>
        <v>0</v>
      </c>
    </row>
    <row r="122" spans="3:29" ht="18" customHeight="1">
      <c r="C122" s="6">
        <v>1</v>
      </c>
      <c r="D122" s="292" t="s">
        <v>896</v>
      </c>
      <c r="E122" s="293" t="s">
        <v>896</v>
      </c>
      <c r="F122" s="294"/>
      <c r="G122" s="293" t="s">
        <v>897</v>
      </c>
      <c r="H122" s="370">
        <v>0</v>
      </c>
      <c r="I122" s="295">
        <v>0</v>
      </c>
      <c r="J122" s="295">
        <v>0</v>
      </c>
      <c r="K122" s="295">
        <v>0</v>
      </c>
      <c r="L122" s="296">
        <f t="shared" si="8"/>
        <v>0</v>
      </c>
      <c r="N122" s="297">
        <v>0</v>
      </c>
      <c r="O122" s="295">
        <v>0</v>
      </c>
      <c r="P122" s="295">
        <v>0</v>
      </c>
      <c r="Q122" s="295">
        <v>0</v>
      </c>
      <c r="R122" s="295">
        <v>0</v>
      </c>
      <c r="S122" s="296">
        <v>0</v>
      </c>
      <c r="U122" s="298">
        <f t="shared" si="7"/>
        <v>0</v>
      </c>
      <c r="Z122" s="305">
        <v>0</v>
      </c>
      <c r="AB122" s="305">
        <f t="shared" si="5"/>
        <v>0</v>
      </c>
    </row>
    <row r="123" spans="3:29" ht="18" customHeight="1">
      <c r="C123" s="6">
        <v>1</v>
      </c>
      <c r="D123" s="292" t="s">
        <v>898</v>
      </c>
      <c r="E123" s="293" t="s">
        <v>898</v>
      </c>
      <c r="F123" s="294"/>
      <c r="G123" s="293" t="s">
        <v>899</v>
      </c>
      <c r="H123" s="370">
        <v>0</v>
      </c>
      <c r="I123" s="295">
        <v>0</v>
      </c>
      <c r="J123" s="295">
        <v>0</v>
      </c>
      <c r="K123" s="295">
        <v>0</v>
      </c>
      <c r="L123" s="296">
        <f t="shared" si="8"/>
        <v>0</v>
      </c>
      <c r="N123" s="297">
        <v>0</v>
      </c>
      <c r="O123" s="295">
        <v>0</v>
      </c>
      <c r="P123" s="295">
        <v>0</v>
      </c>
      <c r="Q123" s="295">
        <v>0</v>
      </c>
      <c r="R123" s="295">
        <v>0</v>
      </c>
      <c r="S123" s="296">
        <v>0</v>
      </c>
      <c r="U123" s="298">
        <f t="shared" si="7"/>
        <v>0</v>
      </c>
      <c r="Z123" s="305">
        <v>0</v>
      </c>
      <c r="AB123" s="305">
        <f t="shared" si="5"/>
        <v>0</v>
      </c>
    </row>
    <row r="124" spans="3:29" ht="18" customHeight="1">
      <c r="C124" s="6">
        <v>1</v>
      </c>
      <c r="D124" s="292" t="s">
        <v>900</v>
      </c>
      <c r="E124" s="293" t="s">
        <v>900</v>
      </c>
      <c r="F124" s="294" t="s">
        <v>901</v>
      </c>
      <c r="G124" s="293" t="s">
        <v>901</v>
      </c>
      <c r="H124" s="370">
        <v>-616350</v>
      </c>
      <c r="I124" s="295">
        <v>0</v>
      </c>
      <c r="J124" s="295">
        <v>0</v>
      </c>
      <c r="K124" s="295">
        <v>-19729822</v>
      </c>
      <c r="L124" s="296">
        <f t="shared" si="8"/>
        <v>-20346172</v>
      </c>
      <c r="N124" s="297">
        <v>0</v>
      </c>
      <c r="O124" s="295">
        <v>0</v>
      </c>
      <c r="P124" s="295">
        <v>0</v>
      </c>
      <c r="Q124" s="295">
        <v>0</v>
      </c>
      <c r="R124" s="295">
        <v>0</v>
      </c>
      <c r="S124" s="296">
        <v>0</v>
      </c>
      <c r="U124" s="298">
        <f t="shared" si="7"/>
        <v>-20346172</v>
      </c>
      <c r="Z124" s="305">
        <v>-20360760</v>
      </c>
      <c r="AB124" s="305">
        <f t="shared" si="5"/>
        <v>14588</v>
      </c>
    </row>
    <row r="125" spans="3:29" ht="18" customHeight="1">
      <c r="C125" s="6">
        <v>1</v>
      </c>
      <c r="D125" s="285" t="s">
        <v>902</v>
      </c>
      <c r="E125" s="286" t="s">
        <v>902</v>
      </c>
      <c r="F125" s="287"/>
      <c r="G125" s="286" t="s">
        <v>903</v>
      </c>
      <c r="H125" s="288">
        <f>SUM(H126:H174)</f>
        <v>-13099288860</v>
      </c>
      <c r="I125" s="288">
        <f>SUM(I126:I174)</f>
        <v>-160005792</v>
      </c>
      <c r="J125" s="288">
        <f>SUM(J126:J174)</f>
        <v>322496905</v>
      </c>
      <c r="K125" s="288">
        <f>SUM(K126:K174)</f>
        <v>981664114</v>
      </c>
      <c r="L125" s="289">
        <f>SUM(L126:L174)</f>
        <v>-11955133633</v>
      </c>
      <c r="N125" s="290">
        <v>0</v>
      </c>
      <c r="O125" s="288">
        <v>-172052596</v>
      </c>
      <c r="P125" s="288">
        <v>2333333</v>
      </c>
      <c r="Q125" s="288">
        <v>0</v>
      </c>
      <c r="R125" s="288">
        <v>0</v>
      </c>
      <c r="S125" s="289">
        <v>-169719263</v>
      </c>
      <c r="U125" s="291">
        <f>SUM(U126:U174)</f>
        <v>-12124852896</v>
      </c>
      <c r="V125" s="6" t="b">
        <f>U125=SUM(U126:U174)</f>
        <v>1</v>
      </c>
      <c r="W125" s="7">
        <f>U125-'CFS(연간)'!K105</f>
        <v>-14907240237</v>
      </c>
      <c r="Z125" s="291">
        <v>-22698779217</v>
      </c>
      <c r="AA125" s="6" t="b">
        <f>Z125=SUM(Z126:Z174)</f>
        <v>1</v>
      </c>
      <c r="AB125" s="291">
        <f t="shared" si="5"/>
        <v>10573926321</v>
      </c>
      <c r="AC125" s="6" t="b">
        <f>AB125=SUM(AB126:AB174)</f>
        <v>1</v>
      </c>
    </row>
    <row r="126" spans="3:29" ht="18" customHeight="1">
      <c r="C126" s="6">
        <v>1</v>
      </c>
      <c r="D126" s="292" t="s">
        <v>904</v>
      </c>
      <c r="E126" s="293" t="s">
        <v>904</v>
      </c>
      <c r="F126" s="461" t="s">
        <v>2265</v>
      </c>
      <c r="G126" s="293" t="s">
        <v>905</v>
      </c>
      <c r="H126" s="370">
        <v>3816567372</v>
      </c>
      <c r="I126" s="295">
        <v>-539310000</v>
      </c>
      <c r="J126" s="295">
        <v>367963459</v>
      </c>
      <c r="K126" s="295">
        <v>43083183</v>
      </c>
      <c r="L126" s="296">
        <f t="shared" ref="L126:L157" si="9">SUM(H126:K126)</f>
        <v>3688304014</v>
      </c>
      <c r="N126" s="297">
        <v>0</v>
      </c>
      <c r="O126" s="295">
        <v>0</v>
      </c>
      <c r="P126" s="295">
        <v>199024361</v>
      </c>
      <c r="Q126" s="295">
        <v>0</v>
      </c>
      <c r="R126" s="295">
        <v>0</v>
      </c>
      <c r="S126" s="296">
        <v>199024361</v>
      </c>
      <c r="U126" s="298">
        <f t="shared" ref="U126:U174" si="10">ROUND(S126+L126,0)</f>
        <v>3887328375</v>
      </c>
      <c r="Z126" s="305">
        <v>2216549063</v>
      </c>
      <c r="AB126" s="305">
        <f t="shared" si="5"/>
        <v>1670779312</v>
      </c>
    </row>
    <row r="127" spans="3:29" ht="18" customHeight="1">
      <c r="C127" s="6">
        <v>1</v>
      </c>
      <c r="D127" s="292" t="s">
        <v>906</v>
      </c>
      <c r="E127" s="293" t="s">
        <v>906</v>
      </c>
      <c r="F127" s="294" t="s">
        <v>1423</v>
      </c>
      <c r="G127" s="293" t="s">
        <v>907</v>
      </c>
      <c r="H127" s="370">
        <v>-7091341891</v>
      </c>
      <c r="I127" s="295">
        <v>0</v>
      </c>
      <c r="J127" s="295">
        <v>-3337410</v>
      </c>
      <c r="K127" s="295">
        <v>12422509</v>
      </c>
      <c r="L127" s="296">
        <f t="shared" si="9"/>
        <v>-7082256792</v>
      </c>
      <c r="N127" s="297">
        <v>0</v>
      </c>
      <c r="O127" s="295">
        <v>0</v>
      </c>
      <c r="P127" s="295">
        <v>-29826534</v>
      </c>
      <c r="Q127" s="295">
        <v>0</v>
      </c>
      <c r="R127" s="295">
        <v>0</v>
      </c>
      <c r="S127" s="296">
        <v>-29826534</v>
      </c>
      <c r="U127" s="298">
        <f t="shared" si="10"/>
        <v>-7112083326</v>
      </c>
      <c r="Z127" s="305">
        <v>-5530241717</v>
      </c>
      <c r="AB127" s="305">
        <f t="shared" si="5"/>
        <v>-1581841609</v>
      </c>
    </row>
    <row r="128" spans="3:29" ht="18" customHeight="1">
      <c r="C128" s="6">
        <v>1</v>
      </c>
      <c r="D128" s="292" t="s">
        <v>908</v>
      </c>
      <c r="E128" s="293" t="s">
        <v>908</v>
      </c>
      <c r="F128" s="294" t="s">
        <v>1423</v>
      </c>
      <c r="G128" s="293" t="s">
        <v>909</v>
      </c>
      <c r="H128" s="370">
        <v>0</v>
      </c>
      <c r="I128" s="295">
        <v>0</v>
      </c>
      <c r="J128" s="295">
        <v>0</v>
      </c>
      <c r="K128" s="295">
        <v>0</v>
      </c>
      <c r="L128" s="296">
        <f t="shared" si="9"/>
        <v>0</v>
      </c>
      <c r="N128" s="297">
        <v>0</v>
      </c>
      <c r="O128" s="295">
        <v>0</v>
      </c>
      <c r="P128" s="295">
        <v>31359947</v>
      </c>
      <c r="Q128" s="295">
        <v>0</v>
      </c>
      <c r="R128" s="295">
        <v>0</v>
      </c>
      <c r="S128" s="296">
        <v>31359947</v>
      </c>
      <c r="U128" s="298">
        <f t="shared" si="10"/>
        <v>31359947</v>
      </c>
      <c r="Z128" s="305">
        <v>19828440</v>
      </c>
      <c r="AB128" s="305">
        <f t="shared" si="5"/>
        <v>11531507</v>
      </c>
    </row>
    <row r="129" spans="3:28" ht="18" customHeight="1">
      <c r="C129" s="6">
        <v>1</v>
      </c>
      <c r="D129" s="292" t="s">
        <v>910</v>
      </c>
      <c r="E129" s="293" t="s">
        <v>910</v>
      </c>
      <c r="F129" s="294" t="s">
        <v>1424</v>
      </c>
      <c r="G129" s="293" t="s">
        <v>911</v>
      </c>
      <c r="H129" s="370">
        <v>-10738737908</v>
      </c>
      <c r="I129" s="295">
        <v>5481900</v>
      </c>
      <c r="J129" s="295">
        <v>6426590</v>
      </c>
      <c r="K129" s="295">
        <v>-21495351</v>
      </c>
      <c r="L129" s="296">
        <f t="shared" si="9"/>
        <v>-10748324769</v>
      </c>
      <c r="N129" s="297">
        <v>0</v>
      </c>
      <c r="O129" s="295">
        <v>-193111111</v>
      </c>
      <c r="P129" s="295">
        <v>2333333</v>
      </c>
      <c r="Q129" s="295">
        <v>0</v>
      </c>
      <c r="R129" s="295">
        <v>0</v>
      </c>
      <c r="S129" s="296">
        <v>-190777778</v>
      </c>
      <c r="U129" s="298">
        <f t="shared" si="10"/>
        <v>-10939102547</v>
      </c>
      <c r="Z129" s="305">
        <v>-10086073991</v>
      </c>
      <c r="AB129" s="305">
        <f t="shared" si="5"/>
        <v>-853028556</v>
      </c>
    </row>
    <row r="130" spans="3:28" ht="18" customHeight="1">
      <c r="C130" s="6">
        <v>1</v>
      </c>
      <c r="D130" s="292" t="s">
        <v>912</v>
      </c>
      <c r="E130" s="293" t="s">
        <v>912</v>
      </c>
      <c r="F130" s="294"/>
      <c r="G130" s="293" t="s">
        <v>913</v>
      </c>
      <c r="H130" s="370">
        <v>0</v>
      </c>
      <c r="I130" s="295">
        <v>0</v>
      </c>
      <c r="J130" s="295">
        <v>0</v>
      </c>
      <c r="K130" s="295">
        <v>0</v>
      </c>
      <c r="L130" s="296">
        <f t="shared" si="9"/>
        <v>0</v>
      </c>
      <c r="N130" s="297">
        <v>0</v>
      </c>
      <c r="O130" s="295">
        <v>0</v>
      </c>
      <c r="P130" s="295">
        <v>0</v>
      </c>
      <c r="Q130" s="295">
        <v>0</v>
      </c>
      <c r="R130" s="295">
        <v>0</v>
      </c>
      <c r="S130" s="296">
        <v>0</v>
      </c>
      <c r="U130" s="298">
        <f t="shared" si="10"/>
        <v>0</v>
      </c>
      <c r="Z130" s="305">
        <v>0</v>
      </c>
      <c r="AB130" s="305">
        <f t="shared" si="5"/>
        <v>0</v>
      </c>
    </row>
    <row r="131" spans="3:28" ht="18" customHeight="1">
      <c r="C131" s="6">
        <v>1</v>
      </c>
      <c r="D131" s="292" t="s">
        <v>914</v>
      </c>
      <c r="E131" s="293" t="s">
        <v>914</v>
      </c>
      <c r="F131" s="294" t="s">
        <v>1424</v>
      </c>
      <c r="G131" s="293" t="s">
        <v>915</v>
      </c>
      <c r="H131" s="370">
        <v>-1272079906</v>
      </c>
      <c r="I131" s="295">
        <v>0</v>
      </c>
      <c r="J131" s="295">
        <v>0</v>
      </c>
      <c r="K131" s="295">
        <v>3437524</v>
      </c>
      <c r="L131" s="296">
        <f t="shared" si="9"/>
        <v>-1268642382</v>
      </c>
      <c r="N131" s="297">
        <v>0</v>
      </c>
      <c r="O131" s="295">
        <v>0</v>
      </c>
      <c r="P131" s="295">
        <v>0</v>
      </c>
      <c r="Q131" s="295">
        <v>0</v>
      </c>
      <c r="R131" s="295">
        <v>0</v>
      </c>
      <c r="S131" s="296">
        <v>0</v>
      </c>
      <c r="U131" s="298">
        <f t="shared" si="10"/>
        <v>-1268642382</v>
      </c>
      <c r="Z131" s="305">
        <v>-1557812708</v>
      </c>
      <c r="AB131" s="305">
        <f t="shared" si="5"/>
        <v>289170326</v>
      </c>
    </row>
    <row r="132" spans="3:28" ht="18" customHeight="1">
      <c r="C132" s="6">
        <v>1</v>
      </c>
      <c r="D132" s="292" t="s">
        <v>916</v>
      </c>
      <c r="E132" s="293" t="s">
        <v>916</v>
      </c>
      <c r="F132" s="294" t="s">
        <v>1423</v>
      </c>
      <c r="G132" s="293" t="s">
        <v>917</v>
      </c>
      <c r="H132" s="370">
        <v>0</v>
      </c>
      <c r="I132" s="295">
        <v>0</v>
      </c>
      <c r="J132" s="295">
        <v>0</v>
      </c>
      <c r="K132" s="295">
        <v>0</v>
      </c>
      <c r="L132" s="296">
        <f t="shared" si="9"/>
        <v>0</v>
      </c>
      <c r="N132" s="297">
        <v>0</v>
      </c>
      <c r="O132" s="295">
        <v>0</v>
      </c>
      <c r="P132" s="295">
        <v>0</v>
      </c>
      <c r="Q132" s="295">
        <v>0</v>
      </c>
      <c r="R132" s="295">
        <v>0</v>
      </c>
      <c r="S132" s="296">
        <v>0</v>
      </c>
      <c r="U132" s="298">
        <f t="shared" si="10"/>
        <v>0</v>
      </c>
      <c r="Z132" s="305">
        <v>0</v>
      </c>
      <c r="AB132" s="305">
        <f t="shared" si="5"/>
        <v>0</v>
      </c>
    </row>
    <row r="133" spans="3:28" ht="18" customHeight="1">
      <c r="C133" s="6">
        <v>1</v>
      </c>
      <c r="D133" s="292" t="s">
        <v>918</v>
      </c>
      <c r="E133" s="293" t="s">
        <v>918</v>
      </c>
      <c r="F133" s="294"/>
      <c r="G133" s="293" t="s">
        <v>919</v>
      </c>
      <c r="H133" s="370">
        <v>0</v>
      </c>
      <c r="I133" s="295">
        <v>0</v>
      </c>
      <c r="J133" s="295">
        <v>0</v>
      </c>
      <c r="K133" s="295">
        <v>0</v>
      </c>
      <c r="L133" s="296">
        <f t="shared" si="9"/>
        <v>0</v>
      </c>
      <c r="N133" s="297">
        <v>0</v>
      </c>
      <c r="O133" s="295">
        <v>0</v>
      </c>
      <c r="P133" s="295">
        <v>0</v>
      </c>
      <c r="Q133" s="295">
        <v>0</v>
      </c>
      <c r="R133" s="295">
        <v>0</v>
      </c>
      <c r="S133" s="296">
        <v>0</v>
      </c>
      <c r="U133" s="298">
        <f t="shared" si="10"/>
        <v>0</v>
      </c>
      <c r="Z133" s="305">
        <v>0</v>
      </c>
      <c r="AB133" s="305">
        <f t="shared" si="5"/>
        <v>0</v>
      </c>
    </row>
    <row r="134" spans="3:28" ht="18" customHeight="1">
      <c r="C134" s="6">
        <v>1</v>
      </c>
      <c r="D134" s="292" t="s">
        <v>920</v>
      </c>
      <c r="E134" s="293" t="s">
        <v>920</v>
      </c>
      <c r="F134" s="294" t="s">
        <v>1424</v>
      </c>
      <c r="G134" s="293" t="s">
        <v>921</v>
      </c>
      <c r="H134" s="370">
        <v>354388</v>
      </c>
      <c r="I134" s="295">
        <v>0</v>
      </c>
      <c r="J134" s="295">
        <v>0</v>
      </c>
      <c r="K134" s="295">
        <v>-237449309</v>
      </c>
      <c r="L134" s="296">
        <f t="shared" si="9"/>
        <v>-237094921</v>
      </c>
      <c r="N134" s="297">
        <v>0</v>
      </c>
      <c r="O134" s="295">
        <v>0</v>
      </c>
      <c r="P134" s="295">
        <v>0</v>
      </c>
      <c r="Q134" s="295">
        <v>0</v>
      </c>
      <c r="R134" s="295">
        <v>367910377</v>
      </c>
      <c r="S134" s="296">
        <v>367910377</v>
      </c>
      <c r="U134" s="298">
        <f t="shared" si="10"/>
        <v>130815456</v>
      </c>
      <c r="Z134" s="305">
        <v>125159836</v>
      </c>
      <c r="AB134" s="305">
        <f t="shared" si="5"/>
        <v>5655620</v>
      </c>
    </row>
    <row r="135" spans="3:28" ht="18" customHeight="1">
      <c r="C135" s="6">
        <v>1</v>
      </c>
      <c r="D135" s="292" t="s">
        <v>922</v>
      </c>
      <c r="E135" s="293" t="s">
        <v>922</v>
      </c>
      <c r="F135" s="294" t="s">
        <v>2266</v>
      </c>
      <c r="G135" s="293" t="s">
        <v>923</v>
      </c>
      <c r="H135" s="451">
        <v>-1496691299</v>
      </c>
      <c r="I135" s="370">
        <v>0</v>
      </c>
      <c r="J135" s="295">
        <v>-265308</v>
      </c>
      <c r="K135" s="295">
        <v>255336171</v>
      </c>
      <c r="L135" s="296">
        <f t="shared" si="9"/>
        <v>-1241620436</v>
      </c>
      <c r="N135" s="297">
        <v>0</v>
      </c>
      <c r="O135" s="295">
        <v>21058515</v>
      </c>
      <c r="P135" s="295">
        <v>0</v>
      </c>
      <c r="Q135" s="295">
        <v>0</v>
      </c>
      <c r="R135" s="295">
        <v>0</v>
      </c>
      <c r="S135" s="296">
        <v>21058515</v>
      </c>
      <c r="U135" s="298">
        <f t="shared" si="10"/>
        <v>-1220561921</v>
      </c>
      <c r="Z135" s="305">
        <v>-1690977573</v>
      </c>
      <c r="AB135" s="305">
        <f t="shared" si="5"/>
        <v>470415652</v>
      </c>
    </row>
    <row r="136" spans="3:28" ht="18" customHeight="1">
      <c r="C136" s="6">
        <v>1</v>
      </c>
      <c r="D136" s="292" t="s">
        <v>924</v>
      </c>
      <c r="E136" s="293" t="s">
        <v>924</v>
      </c>
      <c r="F136" s="294"/>
      <c r="G136" s="293" t="s">
        <v>925</v>
      </c>
      <c r="H136" s="370">
        <v>0</v>
      </c>
      <c r="I136" s="370">
        <v>0</v>
      </c>
      <c r="J136" s="295">
        <v>0</v>
      </c>
      <c r="K136" s="295">
        <v>0</v>
      </c>
      <c r="L136" s="296">
        <f t="shared" si="9"/>
        <v>0</v>
      </c>
      <c r="N136" s="297">
        <v>0</v>
      </c>
      <c r="O136" s="295">
        <v>0</v>
      </c>
      <c r="P136" s="295">
        <v>0</v>
      </c>
      <c r="Q136" s="295">
        <v>0</v>
      </c>
      <c r="R136" s="295">
        <v>0</v>
      </c>
      <c r="S136" s="296">
        <v>0</v>
      </c>
      <c r="U136" s="298">
        <f t="shared" si="10"/>
        <v>0</v>
      </c>
      <c r="Z136" s="305">
        <v>0</v>
      </c>
      <c r="AB136" s="305">
        <f t="shared" ref="AB136:AB199" si="11">U136-Z136</f>
        <v>0</v>
      </c>
    </row>
    <row r="137" spans="3:28" ht="18" customHeight="1">
      <c r="C137" s="6">
        <v>1</v>
      </c>
      <c r="D137" s="292" t="s">
        <v>926</v>
      </c>
      <c r="E137" s="293" t="s">
        <v>926</v>
      </c>
      <c r="F137" s="294"/>
      <c r="G137" s="293" t="s">
        <v>927</v>
      </c>
      <c r="H137" s="370">
        <v>0</v>
      </c>
      <c r="I137" s="295">
        <v>0</v>
      </c>
      <c r="J137" s="295">
        <v>0</v>
      </c>
      <c r="K137" s="295">
        <v>0</v>
      </c>
      <c r="L137" s="296">
        <f t="shared" si="9"/>
        <v>0</v>
      </c>
      <c r="N137" s="297">
        <v>0</v>
      </c>
      <c r="O137" s="295">
        <v>0</v>
      </c>
      <c r="P137" s="295">
        <v>0</v>
      </c>
      <c r="Q137" s="295">
        <v>0</v>
      </c>
      <c r="R137" s="295">
        <v>0</v>
      </c>
      <c r="S137" s="296">
        <v>0</v>
      </c>
      <c r="U137" s="298">
        <f t="shared" si="10"/>
        <v>0</v>
      </c>
      <c r="Z137" s="305">
        <v>0</v>
      </c>
      <c r="AB137" s="305">
        <f t="shared" si="11"/>
        <v>0</v>
      </c>
    </row>
    <row r="138" spans="3:28" ht="18" customHeight="1">
      <c r="C138" s="6">
        <v>1</v>
      </c>
      <c r="D138" s="292" t="s">
        <v>928</v>
      </c>
      <c r="E138" s="293" t="s">
        <v>928</v>
      </c>
      <c r="F138" s="294"/>
      <c r="G138" s="293" t="s">
        <v>929</v>
      </c>
      <c r="H138" s="370">
        <v>0</v>
      </c>
      <c r="I138" s="295">
        <v>0</v>
      </c>
      <c r="J138" s="295">
        <v>0</v>
      </c>
      <c r="K138" s="295">
        <v>0</v>
      </c>
      <c r="L138" s="296">
        <f t="shared" si="9"/>
        <v>0</v>
      </c>
      <c r="N138" s="297">
        <v>0</v>
      </c>
      <c r="O138" s="295">
        <v>0</v>
      </c>
      <c r="P138" s="295">
        <v>0</v>
      </c>
      <c r="Q138" s="295">
        <v>0</v>
      </c>
      <c r="R138" s="295">
        <v>0</v>
      </c>
      <c r="S138" s="296">
        <v>0</v>
      </c>
      <c r="U138" s="298">
        <f t="shared" si="10"/>
        <v>0</v>
      </c>
      <c r="Z138" s="305">
        <v>0</v>
      </c>
      <c r="AB138" s="305">
        <f t="shared" si="11"/>
        <v>0</v>
      </c>
    </row>
    <row r="139" spans="3:28" ht="18" customHeight="1">
      <c r="C139" s="6">
        <v>1</v>
      </c>
      <c r="D139" s="292" t="s">
        <v>930</v>
      </c>
      <c r="E139" s="293" t="s">
        <v>930</v>
      </c>
      <c r="F139" s="294"/>
      <c r="G139" s="293" t="s">
        <v>931</v>
      </c>
      <c r="H139" s="370">
        <v>0</v>
      </c>
      <c r="I139" s="295">
        <v>0</v>
      </c>
      <c r="J139" s="295">
        <v>0</v>
      </c>
      <c r="K139" s="295">
        <v>0</v>
      </c>
      <c r="L139" s="296">
        <f t="shared" si="9"/>
        <v>0</v>
      </c>
      <c r="N139" s="297">
        <v>0</v>
      </c>
      <c r="O139" s="295">
        <v>0</v>
      </c>
      <c r="P139" s="295">
        <v>0</v>
      </c>
      <c r="Q139" s="295">
        <v>0</v>
      </c>
      <c r="R139" s="295">
        <v>0</v>
      </c>
      <c r="S139" s="296">
        <v>0</v>
      </c>
      <c r="U139" s="298">
        <f t="shared" si="10"/>
        <v>0</v>
      </c>
      <c r="Z139" s="305">
        <v>0</v>
      </c>
      <c r="AB139" s="305">
        <f t="shared" si="11"/>
        <v>0</v>
      </c>
    </row>
    <row r="140" spans="3:28" ht="18" customHeight="1">
      <c r="C140" s="6">
        <v>1</v>
      </c>
      <c r="D140" s="292" t="s">
        <v>932</v>
      </c>
      <c r="E140" s="293" t="s">
        <v>932</v>
      </c>
      <c r="F140" s="294"/>
      <c r="G140" s="293" t="s">
        <v>933</v>
      </c>
      <c r="H140" s="370">
        <v>0</v>
      </c>
      <c r="I140" s="295">
        <v>0</v>
      </c>
      <c r="J140" s="295">
        <v>0</v>
      </c>
      <c r="K140" s="295">
        <v>0</v>
      </c>
      <c r="L140" s="296">
        <f t="shared" si="9"/>
        <v>0</v>
      </c>
      <c r="N140" s="297">
        <v>0</v>
      </c>
      <c r="O140" s="295">
        <v>0</v>
      </c>
      <c r="P140" s="295">
        <v>0</v>
      </c>
      <c r="Q140" s="295">
        <v>0</v>
      </c>
      <c r="R140" s="295">
        <v>0</v>
      </c>
      <c r="S140" s="296">
        <v>0</v>
      </c>
      <c r="U140" s="298">
        <f t="shared" si="10"/>
        <v>0</v>
      </c>
      <c r="Z140" s="305">
        <v>0</v>
      </c>
      <c r="AB140" s="305">
        <f t="shared" si="11"/>
        <v>0</v>
      </c>
    </row>
    <row r="141" spans="3:28" ht="18" customHeight="1">
      <c r="C141" s="6">
        <v>1</v>
      </c>
      <c r="D141" s="292" t="s">
        <v>934</v>
      </c>
      <c r="E141" s="293" t="s">
        <v>934</v>
      </c>
      <c r="F141" s="294" t="s">
        <v>1955</v>
      </c>
      <c r="G141" s="293" t="s">
        <v>935</v>
      </c>
      <c r="H141" s="370">
        <v>0</v>
      </c>
      <c r="I141" s="295">
        <v>0</v>
      </c>
      <c r="J141" s="295">
        <v>0</v>
      </c>
      <c r="K141" s="295">
        <v>0</v>
      </c>
      <c r="L141" s="296">
        <f t="shared" si="9"/>
        <v>0</v>
      </c>
      <c r="N141" s="297">
        <v>0</v>
      </c>
      <c r="O141" s="295">
        <v>0</v>
      </c>
      <c r="P141" s="295">
        <v>0</v>
      </c>
      <c r="Q141" s="295">
        <v>0</v>
      </c>
      <c r="R141" s="295">
        <v>0</v>
      </c>
      <c r="S141" s="296">
        <v>0</v>
      </c>
      <c r="U141" s="298">
        <f t="shared" si="10"/>
        <v>0</v>
      </c>
      <c r="Z141" s="305">
        <v>0</v>
      </c>
      <c r="AB141" s="305">
        <f t="shared" si="11"/>
        <v>0</v>
      </c>
    </row>
    <row r="142" spans="3:28" ht="18" customHeight="1">
      <c r="C142" s="6">
        <v>1</v>
      </c>
      <c r="D142" s="292" t="s">
        <v>936</v>
      </c>
      <c r="E142" s="293" t="s">
        <v>936</v>
      </c>
      <c r="F142" s="294"/>
      <c r="G142" s="293" t="s">
        <v>937</v>
      </c>
      <c r="H142" s="370">
        <v>0</v>
      </c>
      <c r="I142" s="295">
        <v>0</v>
      </c>
      <c r="J142" s="295">
        <v>0</v>
      </c>
      <c r="K142" s="295">
        <v>0</v>
      </c>
      <c r="L142" s="296">
        <f t="shared" si="9"/>
        <v>0</v>
      </c>
      <c r="N142" s="297">
        <v>0</v>
      </c>
      <c r="O142" s="295">
        <v>0</v>
      </c>
      <c r="P142" s="295">
        <v>0</v>
      </c>
      <c r="Q142" s="295">
        <v>0</v>
      </c>
      <c r="R142" s="295">
        <v>0</v>
      </c>
      <c r="S142" s="296">
        <v>0</v>
      </c>
      <c r="U142" s="298">
        <f t="shared" si="10"/>
        <v>0</v>
      </c>
      <c r="Z142" s="305">
        <v>0</v>
      </c>
      <c r="AB142" s="305">
        <f t="shared" si="11"/>
        <v>0</v>
      </c>
    </row>
    <row r="143" spans="3:28" ht="18" customHeight="1">
      <c r="C143" s="6">
        <v>1</v>
      </c>
      <c r="D143" s="292" t="s">
        <v>938</v>
      </c>
      <c r="E143" s="293" t="s">
        <v>938</v>
      </c>
      <c r="F143" s="294" t="s">
        <v>1676</v>
      </c>
      <c r="G143" s="293" t="s">
        <v>939</v>
      </c>
      <c r="H143" s="370">
        <v>0</v>
      </c>
      <c r="I143" s="295">
        <v>0</v>
      </c>
      <c r="J143" s="295">
        <v>0</v>
      </c>
      <c r="K143" s="295">
        <v>0</v>
      </c>
      <c r="L143" s="296">
        <f t="shared" si="9"/>
        <v>0</v>
      </c>
      <c r="N143" s="297">
        <v>0</v>
      </c>
      <c r="O143" s="295">
        <v>0</v>
      </c>
      <c r="P143" s="295">
        <v>0</v>
      </c>
      <c r="Q143" s="295">
        <v>0</v>
      </c>
      <c r="R143" s="295">
        <v>0</v>
      </c>
      <c r="S143" s="296">
        <v>0</v>
      </c>
      <c r="U143" s="298">
        <f t="shared" si="10"/>
        <v>0</v>
      </c>
      <c r="Z143" s="305">
        <v>0</v>
      </c>
      <c r="AB143" s="305">
        <f t="shared" si="11"/>
        <v>0</v>
      </c>
    </row>
    <row r="144" spans="3:28" ht="18" customHeight="1">
      <c r="C144" s="6">
        <v>1</v>
      </c>
      <c r="D144" s="292" t="s">
        <v>940</v>
      </c>
      <c r="E144" s="293" t="s">
        <v>940</v>
      </c>
      <c r="F144" s="294" t="s">
        <v>2267</v>
      </c>
      <c r="G144" s="293" t="s">
        <v>941</v>
      </c>
      <c r="H144" s="370">
        <v>1921310245</v>
      </c>
      <c r="I144" s="295">
        <v>-33957</v>
      </c>
      <c r="J144" s="299">
        <v>-1608062</v>
      </c>
      <c r="K144" s="295">
        <v>9362771</v>
      </c>
      <c r="L144" s="296">
        <f t="shared" si="9"/>
        <v>1929030997</v>
      </c>
      <c r="N144" s="297">
        <v>0</v>
      </c>
      <c r="O144" s="295">
        <v>0</v>
      </c>
      <c r="P144" s="295">
        <v>325374639</v>
      </c>
      <c r="Q144" s="295">
        <v>0</v>
      </c>
      <c r="R144" s="295">
        <v>0</v>
      </c>
      <c r="S144" s="296">
        <v>325374639</v>
      </c>
      <c r="U144" s="298">
        <f t="shared" si="10"/>
        <v>2254405636</v>
      </c>
      <c r="Z144" s="305">
        <v>2456769408</v>
      </c>
      <c r="AB144" s="305">
        <f t="shared" si="11"/>
        <v>-202363772</v>
      </c>
    </row>
    <row r="145" spans="3:28" ht="18" customHeight="1">
      <c r="C145" s="6">
        <v>1</v>
      </c>
      <c r="D145" s="292" t="s">
        <v>998</v>
      </c>
      <c r="E145" s="293" t="s">
        <v>942</v>
      </c>
      <c r="F145" s="294" t="s">
        <v>1428</v>
      </c>
      <c r="G145" s="293" t="s">
        <v>943</v>
      </c>
      <c r="H145" s="370">
        <v>-31840545</v>
      </c>
      <c r="I145" s="295">
        <v>-500</v>
      </c>
      <c r="J145" s="299">
        <v>0</v>
      </c>
      <c r="K145" s="295">
        <v>-1094647</v>
      </c>
      <c r="L145" s="296">
        <f t="shared" si="9"/>
        <v>-32935692</v>
      </c>
      <c r="N145" s="297">
        <v>0</v>
      </c>
      <c r="O145" s="295">
        <v>0</v>
      </c>
      <c r="P145" s="295">
        <v>0</v>
      </c>
      <c r="Q145" s="295">
        <v>0</v>
      </c>
      <c r="R145" s="295">
        <v>0</v>
      </c>
      <c r="S145" s="296">
        <v>0</v>
      </c>
      <c r="U145" s="298">
        <f t="shared" si="10"/>
        <v>-32935692</v>
      </c>
      <c r="Z145" s="305">
        <v>-334237518</v>
      </c>
      <c r="AB145" s="305">
        <f t="shared" si="11"/>
        <v>301301826</v>
      </c>
    </row>
    <row r="146" spans="3:28" ht="18" customHeight="1">
      <c r="C146" s="6">
        <v>1</v>
      </c>
      <c r="D146" s="292" t="s">
        <v>944</v>
      </c>
      <c r="E146" s="293" t="s">
        <v>944</v>
      </c>
      <c r="F146" s="294" t="s">
        <v>1428</v>
      </c>
      <c r="G146" s="293" t="s">
        <v>945</v>
      </c>
      <c r="H146" s="370">
        <v>-310616099</v>
      </c>
      <c r="I146" s="295">
        <v>98084930</v>
      </c>
      <c r="J146" s="299">
        <v>-29134903</v>
      </c>
      <c r="K146" s="295">
        <v>1947449</v>
      </c>
      <c r="L146" s="296">
        <f t="shared" si="9"/>
        <v>-239718623</v>
      </c>
      <c r="N146" s="297">
        <v>0</v>
      </c>
      <c r="O146" s="295">
        <v>0</v>
      </c>
      <c r="P146" s="295">
        <v>0</v>
      </c>
      <c r="Q146" s="295">
        <v>0</v>
      </c>
      <c r="R146" s="295">
        <v>0</v>
      </c>
      <c r="S146" s="296">
        <v>0</v>
      </c>
      <c r="U146" s="298">
        <f t="shared" si="10"/>
        <v>-239718623</v>
      </c>
      <c r="Z146" s="305">
        <v>-647023238</v>
      </c>
      <c r="AB146" s="305">
        <f t="shared" si="11"/>
        <v>407304615</v>
      </c>
    </row>
    <row r="147" spans="3:28" ht="18" customHeight="1">
      <c r="C147" s="6">
        <v>1</v>
      </c>
      <c r="D147" s="292" t="s">
        <v>998</v>
      </c>
      <c r="E147" s="293" t="s">
        <v>946</v>
      </c>
      <c r="F147" s="294" t="s">
        <v>1428</v>
      </c>
      <c r="G147" s="293" t="s">
        <v>947</v>
      </c>
      <c r="H147" s="370">
        <v>1748950128</v>
      </c>
      <c r="I147" s="295">
        <v>-5580000</v>
      </c>
      <c r="J147" s="295">
        <v>0</v>
      </c>
      <c r="K147" s="295">
        <v>0</v>
      </c>
      <c r="L147" s="296">
        <f t="shared" si="9"/>
        <v>1743370128</v>
      </c>
      <c r="N147" s="297">
        <v>0</v>
      </c>
      <c r="O147" s="295">
        <v>0</v>
      </c>
      <c r="P147" s="295">
        <v>0</v>
      </c>
      <c r="Q147" s="295">
        <v>0</v>
      </c>
      <c r="R147" s="295">
        <v>0</v>
      </c>
      <c r="S147" s="296">
        <v>0</v>
      </c>
      <c r="U147" s="298">
        <f t="shared" si="10"/>
        <v>1743370128</v>
      </c>
      <c r="Z147" s="305">
        <v>566490231</v>
      </c>
      <c r="AB147" s="305">
        <f t="shared" si="11"/>
        <v>1176879897</v>
      </c>
    </row>
    <row r="148" spans="3:28" ht="18" customHeight="1">
      <c r="C148" s="6">
        <v>1</v>
      </c>
      <c r="D148" s="292" t="s">
        <v>948</v>
      </c>
      <c r="E148" s="293" t="s">
        <v>948</v>
      </c>
      <c r="F148" s="294" t="s">
        <v>2268</v>
      </c>
      <c r="G148" s="293" t="s">
        <v>949</v>
      </c>
      <c r="H148" s="370">
        <v>1533233810</v>
      </c>
      <c r="I148" s="295">
        <v>70759800</v>
      </c>
      <c r="J148" s="295">
        <v>-20749566</v>
      </c>
      <c r="K148" s="295">
        <v>497364214</v>
      </c>
      <c r="L148" s="296">
        <f t="shared" si="9"/>
        <v>2080608258</v>
      </c>
      <c r="N148" s="297">
        <v>0</v>
      </c>
      <c r="O148" s="295">
        <v>0</v>
      </c>
      <c r="P148" s="295">
        <v>-494572466</v>
      </c>
      <c r="Q148" s="295">
        <v>0</v>
      </c>
      <c r="R148" s="295">
        <v>0</v>
      </c>
      <c r="S148" s="296">
        <v>-494572466</v>
      </c>
      <c r="U148" s="298">
        <f t="shared" si="10"/>
        <v>1586035792</v>
      </c>
      <c r="Z148" s="305">
        <v>-5930288741</v>
      </c>
      <c r="AB148" s="305">
        <f t="shared" si="11"/>
        <v>7516324533</v>
      </c>
    </row>
    <row r="149" spans="3:28" ht="18" customHeight="1">
      <c r="C149" s="6">
        <v>1</v>
      </c>
      <c r="D149" s="292" t="s">
        <v>950</v>
      </c>
      <c r="E149" s="293" t="s">
        <v>950</v>
      </c>
      <c r="F149" s="294" t="s">
        <v>2268</v>
      </c>
      <c r="G149" s="293" t="s">
        <v>951</v>
      </c>
      <c r="H149" s="370">
        <v>782611670</v>
      </c>
      <c r="I149" s="295">
        <v>210498247</v>
      </c>
      <c r="J149" s="295">
        <v>204944</v>
      </c>
      <c r="K149" s="295"/>
      <c r="L149" s="296">
        <f t="shared" si="9"/>
        <v>993314861</v>
      </c>
      <c r="N149" s="297">
        <v>0</v>
      </c>
      <c r="O149" s="295">
        <v>0</v>
      </c>
      <c r="P149" s="295">
        <v>-31359947</v>
      </c>
      <c r="Q149" s="295">
        <v>0</v>
      </c>
      <c r="R149" s="295">
        <v>0</v>
      </c>
      <c r="S149" s="296">
        <v>-31359947</v>
      </c>
      <c r="U149" s="298">
        <f t="shared" si="10"/>
        <v>961954914</v>
      </c>
      <c r="Z149" s="305">
        <v>-1291023749</v>
      </c>
      <c r="AB149" s="305">
        <f t="shared" si="11"/>
        <v>2252978663</v>
      </c>
    </row>
    <row r="150" spans="3:28" ht="18" customHeight="1">
      <c r="C150" s="6">
        <v>1</v>
      </c>
      <c r="D150" s="292" t="s">
        <v>952</v>
      </c>
      <c r="E150" s="293" t="s">
        <v>952</v>
      </c>
      <c r="F150" s="294" t="s">
        <v>1428</v>
      </c>
      <c r="G150" s="293" t="s">
        <v>953</v>
      </c>
      <c r="H150" s="370">
        <v>192569804</v>
      </c>
      <c r="I150" s="451">
        <v>93788</v>
      </c>
      <c r="J150" s="295">
        <v>2997161</v>
      </c>
      <c r="K150" s="295">
        <v>422613380</v>
      </c>
      <c r="L150" s="296">
        <f t="shared" si="9"/>
        <v>618274133</v>
      </c>
      <c r="N150" s="297">
        <v>0</v>
      </c>
      <c r="O150" s="295">
        <v>0</v>
      </c>
      <c r="P150" s="295">
        <v>0</v>
      </c>
      <c r="Q150" s="295">
        <v>0</v>
      </c>
      <c r="R150" s="295">
        <v>-367910377</v>
      </c>
      <c r="S150" s="296">
        <v>-367910377</v>
      </c>
      <c r="U150" s="298">
        <f t="shared" si="10"/>
        <v>250363756</v>
      </c>
      <c r="Z150" s="305">
        <v>-882598709</v>
      </c>
      <c r="AB150" s="305">
        <f t="shared" si="11"/>
        <v>1132962465</v>
      </c>
    </row>
    <row r="151" spans="3:28" ht="18" customHeight="1">
      <c r="C151" s="6">
        <v>1</v>
      </c>
      <c r="D151" s="292" t="s">
        <v>954</v>
      </c>
      <c r="E151" s="293" t="s">
        <v>954</v>
      </c>
      <c r="F151" s="294"/>
      <c r="G151" s="293" t="s">
        <v>955</v>
      </c>
      <c r="H151" s="370">
        <v>0</v>
      </c>
      <c r="I151" s="295">
        <v>0</v>
      </c>
      <c r="J151" s="295">
        <v>0</v>
      </c>
      <c r="K151" s="295">
        <v>0</v>
      </c>
      <c r="L151" s="296">
        <f t="shared" si="9"/>
        <v>0</v>
      </c>
      <c r="N151" s="297">
        <v>0</v>
      </c>
      <c r="O151" s="295">
        <v>0</v>
      </c>
      <c r="P151" s="295">
        <v>0</v>
      </c>
      <c r="Q151" s="295">
        <v>0</v>
      </c>
      <c r="R151" s="295">
        <v>0</v>
      </c>
      <c r="S151" s="296">
        <v>0</v>
      </c>
      <c r="U151" s="298">
        <f t="shared" si="10"/>
        <v>0</v>
      </c>
      <c r="Z151" s="305">
        <v>0</v>
      </c>
      <c r="AB151" s="305">
        <f t="shared" si="11"/>
        <v>0</v>
      </c>
    </row>
    <row r="152" spans="3:28" ht="18" customHeight="1">
      <c r="C152" s="6">
        <v>1</v>
      </c>
      <c r="D152" s="292" t="s">
        <v>956</v>
      </c>
      <c r="E152" s="293" t="s">
        <v>956</v>
      </c>
      <c r="F152" s="294"/>
      <c r="G152" s="293" t="s">
        <v>957</v>
      </c>
      <c r="H152" s="370">
        <v>0</v>
      </c>
      <c r="I152" s="295">
        <v>0</v>
      </c>
      <c r="J152" s="295">
        <v>0</v>
      </c>
      <c r="K152" s="295">
        <v>0</v>
      </c>
      <c r="L152" s="296">
        <f t="shared" si="9"/>
        <v>0</v>
      </c>
      <c r="N152" s="297">
        <v>0</v>
      </c>
      <c r="O152" s="295">
        <v>0</v>
      </c>
      <c r="P152" s="295">
        <v>0</v>
      </c>
      <c r="Q152" s="295">
        <v>0</v>
      </c>
      <c r="R152" s="295">
        <v>0</v>
      </c>
      <c r="S152" s="296">
        <v>0</v>
      </c>
      <c r="U152" s="298">
        <f t="shared" si="10"/>
        <v>0</v>
      </c>
      <c r="Z152" s="305">
        <v>0</v>
      </c>
      <c r="AB152" s="305">
        <f t="shared" si="11"/>
        <v>0</v>
      </c>
    </row>
    <row r="153" spans="3:28" ht="18" customHeight="1">
      <c r="C153" s="6">
        <v>1</v>
      </c>
      <c r="D153" s="292" t="s">
        <v>958</v>
      </c>
      <c r="E153" s="293" t="s">
        <v>958</v>
      </c>
      <c r="F153" s="294" t="s">
        <v>1428</v>
      </c>
      <c r="G153" s="293" t="s">
        <v>959</v>
      </c>
      <c r="H153" s="370">
        <v>0</v>
      </c>
      <c r="I153" s="295">
        <v>0</v>
      </c>
      <c r="J153" s="295">
        <v>0</v>
      </c>
      <c r="K153" s="295">
        <v>0</v>
      </c>
      <c r="L153" s="296">
        <f t="shared" si="9"/>
        <v>0</v>
      </c>
      <c r="N153" s="297">
        <v>0</v>
      </c>
      <c r="O153" s="295">
        <v>0</v>
      </c>
      <c r="P153" s="295">
        <v>0</v>
      </c>
      <c r="Q153" s="295">
        <v>0</v>
      </c>
      <c r="R153" s="295">
        <v>0</v>
      </c>
      <c r="S153" s="296">
        <v>0</v>
      </c>
      <c r="U153" s="298">
        <f t="shared" si="10"/>
        <v>0</v>
      </c>
      <c r="Z153" s="305">
        <v>0</v>
      </c>
      <c r="AB153" s="305">
        <f t="shared" si="11"/>
        <v>0</v>
      </c>
    </row>
    <row r="154" spans="3:28" ht="18" customHeight="1">
      <c r="C154" s="6">
        <v>1</v>
      </c>
      <c r="D154" s="292" t="s">
        <v>960</v>
      </c>
      <c r="E154" s="293" t="s">
        <v>960</v>
      </c>
      <c r="F154" s="294" t="s">
        <v>2269</v>
      </c>
      <c r="G154" s="293" t="s">
        <v>961</v>
      </c>
      <c r="H154" s="464">
        <v>0</v>
      </c>
      <c r="I154" s="295">
        <v>0</v>
      </c>
      <c r="J154" s="295">
        <v>0</v>
      </c>
      <c r="K154" s="295">
        <v>0</v>
      </c>
      <c r="L154" s="296">
        <f t="shared" si="9"/>
        <v>0</v>
      </c>
      <c r="N154" s="297">
        <v>0</v>
      </c>
      <c r="O154" s="295">
        <v>0</v>
      </c>
      <c r="P154" s="295">
        <v>0</v>
      </c>
      <c r="Q154" s="295">
        <v>0</v>
      </c>
      <c r="R154" s="295">
        <v>0</v>
      </c>
      <c r="S154" s="296">
        <v>0</v>
      </c>
      <c r="U154" s="298">
        <f t="shared" si="10"/>
        <v>0</v>
      </c>
      <c r="Z154" s="305">
        <v>0</v>
      </c>
      <c r="AB154" s="305">
        <f t="shared" si="11"/>
        <v>0</v>
      </c>
    </row>
    <row r="155" spans="3:28" ht="18" customHeight="1">
      <c r="C155" s="6">
        <v>1</v>
      </c>
      <c r="D155" s="292" t="s">
        <v>962</v>
      </c>
      <c r="E155" s="293" t="s">
        <v>962</v>
      </c>
      <c r="F155" s="294"/>
      <c r="G155" s="293" t="s">
        <v>963</v>
      </c>
      <c r="H155" s="370">
        <v>0</v>
      </c>
      <c r="I155" s="295">
        <v>0</v>
      </c>
      <c r="J155" s="295">
        <v>0</v>
      </c>
      <c r="K155" s="295">
        <v>0</v>
      </c>
      <c r="L155" s="296">
        <f t="shared" si="9"/>
        <v>0</v>
      </c>
      <c r="N155" s="297">
        <v>0</v>
      </c>
      <c r="O155" s="295">
        <v>0</v>
      </c>
      <c r="P155" s="295">
        <v>0</v>
      </c>
      <c r="Q155" s="295">
        <v>0</v>
      </c>
      <c r="R155" s="295">
        <v>0</v>
      </c>
      <c r="S155" s="296">
        <v>0</v>
      </c>
      <c r="U155" s="298">
        <f t="shared" si="10"/>
        <v>0</v>
      </c>
      <c r="Z155" s="305">
        <v>0</v>
      </c>
      <c r="AB155" s="305">
        <f t="shared" si="11"/>
        <v>0</v>
      </c>
    </row>
    <row r="156" spans="3:28" ht="18" customHeight="1">
      <c r="C156" s="6">
        <v>1</v>
      </c>
      <c r="D156" s="292" t="s">
        <v>964</v>
      </c>
      <c r="E156" s="293" t="s">
        <v>964</v>
      </c>
      <c r="F156" s="294" t="s">
        <v>2269</v>
      </c>
      <c r="G156" s="293" t="s">
        <v>965</v>
      </c>
      <c r="H156" s="370">
        <v>-1408799392</v>
      </c>
      <c r="I156" s="295">
        <v>0</v>
      </c>
      <c r="J156" s="295">
        <v>0</v>
      </c>
      <c r="K156" s="295">
        <v>0</v>
      </c>
      <c r="L156" s="296">
        <f t="shared" si="9"/>
        <v>-1408799392</v>
      </c>
      <c r="N156" s="297">
        <v>0</v>
      </c>
      <c r="O156" s="295">
        <v>0</v>
      </c>
      <c r="P156" s="295">
        <v>0</v>
      </c>
      <c r="Q156" s="295">
        <v>0</v>
      </c>
      <c r="R156" s="295">
        <v>0</v>
      </c>
      <c r="S156" s="296">
        <v>0</v>
      </c>
      <c r="U156" s="298">
        <f t="shared" si="10"/>
        <v>-1408799392</v>
      </c>
      <c r="Z156" s="305">
        <v>606430670</v>
      </c>
      <c r="AB156" s="305">
        <f t="shared" si="11"/>
        <v>-2015230062</v>
      </c>
    </row>
    <row r="157" spans="3:28" ht="18" customHeight="1">
      <c r="C157" s="6">
        <v>1</v>
      </c>
      <c r="D157" s="292" t="s">
        <v>966</v>
      </c>
      <c r="E157" s="293" t="s">
        <v>966</v>
      </c>
      <c r="F157" s="294"/>
      <c r="G157" s="293" t="s">
        <v>967</v>
      </c>
      <c r="H157" s="370">
        <v>0</v>
      </c>
      <c r="I157" s="295">
        <v>0</v>
      </c>
      <c r="J157" s="295">
        <v>0</v>
      </c>
      <c r="K157" s="295">
        <v>0</v>
      </c>
      <c r="L157" s="296">
        <f t="shared" si="9"/>
        <v>0</v>
      </c>
      <c r="N157" s="297">
        <v>0</v>
      </c>
      <c r="O157" s="295">
        <v>0</v>
      </c>
      <c r="P157" s="295">
        <v>0</v>
      </c>
      <c r="Q157" s="295">
        <v>0</v>
      </c>
      <c r="R157" s="295">
        <v>0</v>
      </c>
      <c r="S157" s="296">
        <v>0</v>
      </c>
      <c r="U157" s="298">
        <f t="shared" si="10"/>
        <v>0</v>
      </c>
      <c r="Z157" s="305">
        <v>0</v>
      </c>
      <c r="AB157" s="305">
        <f t="shared" si="11"/>
        <v>0</v>
      </c>
    </row>
    <row r="158" spans="3:28" ht="18" customHeight="1">
      <c r="C158" s="6">
        <v>1</v>
      </c>
      <c r="D158" s="292" t="s">
        <v>968</v>
      </c>
      <c r="E158" s="293" t="s">
        <v>968</v>
      </c>
      <c r="F158" s="294"/>
      <c r="G158" s="293" t="s">
        <v>969</v>
      </c>
      <c r="H158" s="370">
        <v>0</v>
      </c>
      <c r="I158" s="295">
        <v>0</v>
      </c>
      <c r="J158" s="295">
        <v>0</v>
      </c>
      <c r="K158" s="295">
        <v>0</v>
      </c>
      <c r="L158" s="296">
        <f t="shared" ref="L158:L174" si="12">SUM(H158:K158)</f>
        <v>0</v>
      </c>
      <c r="N158" s="297">
        <v>0</v>
      </c>
      <c r="O158" s="295">
        <v>0</v>
      </c>
      <c r="P158" s="295">
        <v>0</v>
      </c>
      <c r="Q158" s="295">
        <v>0</v>
      </c>
      <c r="R158" s="295">
        <v>0</v>
      </c>
      <c r="S158" s="296">
        <v>0</v>
      </c>
      <c r="U158" s="298">
        <f t="shared" si="10"/>
        <v>0</v>
      </c>
      <c r="Z158" s="305">
        <v>0</v>
      </c>
      <c r="AB158" s="305">
        <f t="shared" si="11"/>
        <v>0</v>
      </c>
    </row>
    <row r="159" spans="3:28" ht="18" customHeight="1">
      <c r="C159" s="6">
        <v>1</v>
      </c>
      <c r="D159" s="292" t="s">
        <v>970</v>
      </c>
      <c r="E159" s="293" t="s">
        <v>970</v>
      </c>
      <c r="F159" s="294" t="s">
        <v>2268</v>
      </c>
      <c r="G159" s="293" t="s">
        <v>971</v>
      </c>
      <c r="H159" s="370">
        <v>244953000</v>
      </c>
      <c r="I159" s="295">
        <v>0</v>
      </c>
      <c r="J159" s="295">
        <v>0</v>
      </c>
      <c r="K159" s="295">
        <v>0</v>
      </c>
      <c r="L159" s="296">
        <f t="shared" si="12"/>
        <v>244953000</v>
      </c>
      <c r="N159" s="297">
        <v>0</v>
      </c>
      <c r="O159" s="295">
        <v>0</v>
      </c>
      <c r="P159" s="295">
        <v>0</v>
      </c>
      <c r="Q159" s="295">
        <v>0</v>
      </c>
      <c r="R159" s="295">
        <v>0</v>
      </c>
      <c r="S159" s="296">
        <v>0</v>
      </c>
      <c r="U159" s="298">
        <f t="shared" si="10"/>
        <v>244953000</v>
      </c>
      <c r="Z159" s="305">
        <v>73197000</v>
      </c>
      <c r="AB159" s="305">
        <f t="shared" si="11"/>
        <v>171756000</v>
      </c>
    </row>
    <row r="160" spans="3:28" ht="18" customHeight="1">
      <c r="C160" s="6">
        <v>1</v>
      </c>
      <c r="D160" s="292" t="s">
        <v>972</v>
      </c>
      <c r="E160" s="293" t="s">
        <v>972</v>
      </c>
      <c r="F160" s="294" t="s">
        <v>1953</v>
      </c>
      <c r="G160" s="293" t="s">
        <v>973</v>
      </c>
      <c r="H160" s="370">
        <v>38740390</v>
      </c>
      <c r="I160" s="295">
        <v>0</v>
      </c>
      <c r="J160" s="295">
        <v>0</v>
      </c>
      <c r="K160" s="295">
        <v>0</v>
      </c>
      <c r="L160" s="296">
        <f t="shared" si="12"/>
        <v>38740390</v>
      </c>
      <c r="N160" s="297">
        <v>0</v>
      </c>
      <c r="O160" s="295">
        <v>0</v>
      </c>
      <c r="P160" s="295">
        <v>0</v>
      </c>
      <c r="Q160" s="295">
        <v>0</v>
      </c>
      <c r="R160" s="295">
        <v>0</v>
      </c>
      <c r="S160" s="296">
        <v>0</v>
      </c>
      <c r="U160" s="298">
        <f t="shared" si="10"/>
        <v>38740390</v>
      </c>
      <c r="Z160" s="305">
        <v>0</v>
      </c>
      <c r="AB160" s="305">
        <f t="shared" si="11"/>
        <v>38740390</v>
      </c>
    </row>
    <row r="161" spans="3:29" ht="18" customHeight="1">
      <c r="C161" s="6">
        <v>1</v>
      </c>
      <c r="D161" s="292" t="s">
        <v>974</v>
      </c>
      <c r="E161" s="293" t="s">
        <v>974</v>
      </c>
      <c r="F161" s="294"/>
      <c r="G161" s="293" t="s">
        <v>975</v>
      </c>
      <c r="H161" s="370">
        <v>0</v>
      </c>
      <c r="I161" s="295">
        <v>0</v>
      </c>
      <c r="J161" s="295">
        <v>0</v>
      </c>
      <c r="K161" s="295">
        <v>0</v>
      </c>
      <c r="L161" s="296">
        <f t="shared" si="12"/>
        <v>0</v>
      </c>
      <c r="N161" s="297">
        <v>0</v>
      </c>
      <c r="O161" s="295">
        <v>0</v>
      </c>
      <c r="P161" s="295">
        <v>0</v>
      </c>
      <c r="Q161" s="295">
        <v>0</v>
      </c>
      <c r="R161" s="295">
        <v>0</v>
      </c>
      <c r="S161" s="296">
        <v>0</v>
      </c>
      <c r="U161" s="298">
        <f t="shared" si="10"/>
        <v>0</v>
      </c>
      <c r="Z161" s="305">
        <v>0</v>
      </c>
      <c r="AB161" s="305">
        <f t="shared" si="11"/>
        <v>0</v>
      </c>
    </row>
    <row r="162" spans="3:29" ht="18" customHeight="1">
      <c r="C162" s="6">
        <v>1</v>
      </c>
      <c r="D162" s="292" t="s">
        <v>976</v>
      </c>
      <c r="E162" s="293" t="s">
        <v>976</v>
      </c>
      <c r="F162" s="294" t="s">
        <v>2269</v>
      </c>
      <c r="G162" s="293" t="s">
        <v>977</v>
      </c>
      <c r="H162" s="464">
        <v>-1012410643</v>
      </c>
      <c r="I162" s="295">
        <v>0</v>
      </c>
      <c r="J162" s="295">
        <v>0</v>
      </c>
      <c r="K162" s="295">
        <v>-3863780</v>
      </c>
      <c r="L162" s="296">
        <f t="shared" si="12"/>
        <v>-1016274423</v>
      </c>
      <c r="N162" s="297">
        <v>0</v>
      </c>
      <c r="O162" s="295">
        <v>0</v>
      </c>
      <c r="P162" s="295">
        <v>0</v>
      </c>
      <c r="Q162" s="295">
        <v>0</v>
      </c>
      <c r="R162" s="295">
        <v>0</v>
      </c>
      <c r="S162" s="296">
        <v>0</v>
      </c>
      <c r="U162" s="298">
        <f t="shared" si="10"/>
        <v>-1016274423</v>
      </c>
      <c r="Z162" s="305">
        <v>-817914048</v>
      </c>
      <c r="AB162" s="305">
        <f t="shared" si="11"/>
        <v>-198360375</v>
      </c>
    </row>
    <row r="163" spans="3:29" ht="18" customHeight="1">
      <c r="C163" s="6">
        <v>1</v>
      </c>
      <c r="D163" s="292" t="s">
        <v>978</v>
      </c>
      <c r="E163" s="293" t="s">
        <v>978</v>
      </c>
      <c r="F163" s="294" t="s">
        <v>2270</v>
      </c>
      <c r="G163" s="293" t="s">
        <v>979</v>
      </c>
      <c r="H163" s="370">
        <v>0</v>
      </c>
      <c r="I163" s="295">
        <v>0</v>
      </c>
      <c r="J163" s="295">
        <v>0</v>
      </c>
      <c r="K163" s="295">
        <v>0</v>
      </c>
      <c r="L163" s="296">
        <f t="shared" si="12"/>
        <v>0</v>
      </c>
      <c r="N163" s="297">
        <v>0</v>
      </c>
      <c r="O163" s="295">
        <v>0</v>
      </c>
      <c r="P163" s="295">
        <v>0</v>
      </c>
      <c r="Q163" s="295">
        <v>0</v>
      </c>
      <c r="R163" s="295">
        <v>0</v>
      </c>
      <c r="S163" s="296">
        <v>0</v>
      </c>
      <c r="U163" s="298">
        <f t="shared" si="10"/>
        <v>0</v>
      </c>
      <c r="Z163" s="305">
        <v>0</v>
      </c>
      <c r="AB163" s="305">
        <f t="shared" si="11"/>
        <v>0</v>
      </c>
    </row>
    <row r="164" spans="3:29" s="447" customFormat="1" ht="18" customHeight="1">
      <c r="C164" s="447">
        <v>1</v>
      </c>
      <c r="D164" s="448" t="s">
        <v>980</v>
      </c>
      <c r="E164" s="449" t="s">
        <v>980</v>
      </c>
      <c r="F164" s="450" t="s">
        <v>1428</v>
      </c>
      <c r="G164" s="449" t="s">
        <v>2198</v>
      </c>
      <c r="H164" s="452">
        <v>0</v>
      </c>
      <c r="I164" s="452">
        <v>0</v>
      </c>
      <c r="J164" s="452">
        <v>0</v>
      </c>
      <c r="K164" s="452">
        <v>0</v>
      </c>
      <c r="L164" s="453">
        <f t="shared" si="12"/>
        <v>0</v>
      </c>
      <c r="N164" s="454">
        <v>0</v>
      </c>
      <c r="O164" s="452">
        <v>0</v>
      </c>
      <c r="P164" s="452">
        <v>0</v>
      </c>
      <c r="Q164" s="452">
        <v>0</v>
      </c>
      <c r="R164" s="452">
        <v>0</v>
      </c>
      <c r="S164" s="453">
        <v>0</v>
      </c>
      <c r="U164" s="455">
        <f t="shared" si="10"/>
        <v>0</v>
      </c>
      <c r="Z164" s="474">
        <v>651388</v>
      </c>
      <c r="AB164" s="474">
        <f t="shared" si="11"/>
        <v>-651388</v>
      </c>
    </row>
    <row r="165" spans="3:29" ht="18" customHeight="1">
      <c r="C165" s="6">
        <v>1</v>
      </c>
      <c r="D165" s="292" t="s">
        <v>982</v>
      </c>
      <c r="E165" s="293" t="s">
        <v>982</v>
      </c>
      <c r="F165" s="294"/>
      <c r="G165" s="293" t="s">
        <v>983</v>
      </c>
      <c r="H165" s="370">
        <v>0</v>
      </c>
      <c r="I165" s="295">
        <v>0</v>
      </c>
      <c r="J165" s="295">
        <v>0</v>
      </c>
      <c r="K165" s="295">
        <v>0</v>
      </c>
      <c r="L165" s="296">
        <f t="shared" si="12"/>
        <v>0</v>
      </c>
      <c r="N165" s="297">
        <v>0</v>
      </c>
      <c r="O165" s="295">
        <v>0</v>
      </c>
      <c r="P165" s="295">
        <v>0</v>
      </c>
      <c r="Q165" s="295">
        <v>0</v>
      </c>
      <c r="R165" s="295">
        <v>0</v>
      </c>
      <c r="S165" s="296">
        <v>0</v>
      </c>
      <c r="U165" s="298">
        <f t="shared" si="10"/>
        <v>0</v>
      </c>
      <c r="Z165" s="305">
        <v>0</v>
      </c>
      <c r="AB165" s="305">
        <f t="shared" si="11"/>
        <v>0</v>
      </c>
    </row>
    <row r="166" spans="3:29" ht="18" customHeight="1">
      <c r="C166" s="6">
        <v>1</v>
      </c>
      <c r="D166" s="292" t="s">
        <v>984</v>
      </c>
      <c r="E166" s="293" t="s">
        <v>984</v>
      </c>
      <c r="F166" s="294"/>
      <c r="G166" s="293" t="s">
        <v>985</v>
      </c>
      <c r="H166" s="370">
        <v>0</v>
      </c>
      <c r="I166" s="295">
        <v>0</v>
      </c>
      <c r="J166" s="295">
        <v>0</v>
      </c>
      <c r="K166" s="295">
        <v>0</v>
      </c>
      <c r="L166" s="296">
        <f t="shared" si="12"/>
        <v>0</v>
      </c>
      <c r="N166" s="297">
        <v>0</v>
      </c>
      <c r="O166" s="295">
        <v>0</v>
      </c>
      <c r="P166" s="295">
        <v>0</v>
      </c>
      <c r="Q166" s="295">
        <v>0</v>
      </c>
      <c r="R166" s="295">
        <v>0</v>
      </c>
      <c r="S166" s="296">
        <v>0</v>
      </c>
      <c r="U166" s="298">
        <f t="shared" si="10"/>
        <v>0</v>
      </c>
      <c r="Z166" s="305">
        <v>0</v>
      </c>
      <c r="AB166" s="305">
        <f t="shared" si="11"/>
        <v>0</v>
      </c>
    </row>
    <row r="167" spans="3:29" ht="18" customHeight="1">
      <c r="C167" s="6">
        <v>1</v>
      </c>
      <c r="D167" s="292" t="s">
        <v>986</v>
      </c>
      <c r="E167" s="293" t="s">
        <v>986</v>
      </c>
      <c r="F167" s="294"/>
      <c r="G167" s="293" t="s">
        <v>987</v>
      </c>
      <c r="H167" s="370">
        <v>0</v>
      </c>
      <c r="I167" s="295">
        <v>0</v>
      </c>
      <c r="J167" s="295">
        <v>0</v>
      </c>
      <c r="K167" s="295">
        <v>0</v>
      </c>
      <c r="L167" s="296">
        <f t="shared" si="12"/>
        <v>0</v>
      </c>
      <c r="N167" s="297">
        <v>0</v>
      </c>
      <c r="O167" s="295">
        <v>0</v>
      </c>
      <c r="P167" s="295">
        <v>0</v>
      </c>
      <c r="Q167" s="295">
        <v>0</v>
      </c>
      <c r="R167" s="295">
        <v>0</v>
      </c>
      <c r="S167" s="296">
        <v>0</v>
      </c>
      <c r="U167" s="298">
        <f t="shared" si="10"/>
        <v>0</v>
      </c>
      <c r="Z167" s="305">
        <v>0</v>
      </c>
      <c r="AB167" s="305">
        <f t="shared" si="11"/>
        <v>0</v>
      </c>
    </row>
    <row r="168" spans="3:29" ht="18" customHeight="1">
      <c r="C168" s="6">
        <v>1</v>
      </c>
      <c r="D168" s="292" t="s">
        <v>988</v>
      </c>
      <c r="E168" s="293" t="s">
        <v>988</v>
      </c>
      <c r="F168" s="294"/>
      <c r="G168" s="293" t="s">
        <v>989</v>
      </c>
      <c r="H168" s="370">
        <v>0</v>
      </c>
      <c r="I168" s="295">
        <v>0</v>
      </c>
      <c r="J168" s="295">
        <v>0</v>
      </c>
      <c r="K168" s="295">
        <v>0</v>
      </c>
      <c r="L168" s="296">
        <f t="shared" si="12"/>
        <v>0</v>
      </c>
      <c r="N168" s="297">
        <v>0</v>
      </c>
      <c r="O168" s="295">
        <v>0</v>
      </c>
      <c r="P168" s="295">
        <v>0</v>
      </c>
      <c r="Q168" s="295">
        <v>0</v>
      </c>
      <c r="R168" s="295">
        <v>0</v>
      </c>
      <c r="S168" s="296">
        <v>0</v>
      </c>
      <c r="U168" s="298">
        <f t="shared" si="10"/>
        <v>0</v>
      </c>
      <c r="Z168" s="305">
        <v>0</v>
      </c>
      <c r="AB168" s="305">
        <f t="shared" si="11"/>
        <v>0</v>
      </c>
    </row>
    <row r="169" spans="3:29" ht="18" customHeight="1">
      <c r="C169" s="6">
        <v>1</v>
      </c>
      <c r="D169" s="292" t="s">
        <v>990</v>
      </c>
      <c r="E169" s="293" t="s">
        <v>990</v>
      </c>
      <c r="F169" s="294"/>
      <c r="G169" s="293" t="s">
        <v>991</v>
      </c>
      <c r="H169" s="370">
        <v>0</v>
      </c>
      <c r="I169" s="295">
        <v>0</v>
      </c>
      <c r="J169" s="295">
        <v>0</v>
      </c>
      <c r="K169" s="295">
        <v>0</v>
      </c>
      <c r="L169" s="296">
        <f t="shared" si="12"/>
        <v>0</v>
      </c>
      <c r="N169" s="297">
        <v>0</v>
      </c>
      <c r="O169" s="295">
        <v>0</v>
      </c>
      <c r="P169" s="295">
        <v>0</v>
      </c>
      <c r="Q169" s="295">
        <v>0</v>
      </c>
      <c r="R169" s="295">
        <v>0</v>
      </c>
      <c r="S169" s="296">
        <v>0</v>
      </c>
      <c r="U169" s="298">
        <f t="shared" si="10"/>
        <v>0</v>
      </c>
      <c r="Z169" s="305">
        <v>0</v>
      </c>
      <c r="AB169" s="305">
        <f t="shared" si="11"/>
        <v>0</v>
      </c>
    </row>
    <row r="170" spans="3:29" ht="18" customHeight="1">
      <c r="C170" s="6">
        <v>1</v>
      </c>
      <c r="D170" s="292" t="s">
        <v>992</v>
      </c>
      <c r="E170" s="293" t="s">
        <v>992</v>
      </c>
      <c r="F170" s="294"/>
      <c r="G170" s="293" t="s">
        <v>993</v>
      </c>
      <c r="H170" s="370">
        <v>0</v>
      </c>
      <c r="I170" s="295">
        <v>0</v>
      </c>
      <c r="J170" s="295">
        <v>0</v>
      </c>
      <c r="K170" s="295">
        <v>0</v>
      </c>
      <c r="L170" s="296">
        <f t="shared" si="12"/>
        <v>0</v>
      </c>
      <c r="N170" s="297">
        <v>0</v>
      </c>
      <c r="O170" s="295">
        <v>0</v>
      </c>
      <c r="P170" s="295">
        <v>0</v>
      </c>
      <c r="Q170" s="295">
        <v>0</v>
      </c>
      <c r="R170" s="295">
        <v>0</v>
      </c>
      <c r="S170" s="296">
        <v>0</v>
      </c>
      <c r="U170" s="298">
        <f t="shared" si="10"/>
        <v>0</v>
      </c>
      <c r="Z170" s="305"/>
      <c r="AB170" s="305">
        <f t="shared" si="11"/>
        <v>0</v>
      </c>
    </row>
    <row r="171" spans="3:29" ht="18" customHeight="1">
      <c r="C171" s="6">
        <v>1</v>
      </c>
      <c r="D171" s="293" t="s">
        <v>994</v>
      </c>
      <c r="E171" s="293" t="s">
        <v>994</v>
      </c>
      <c r="F171" s="294" t="s">
        <v>1424</v>
      </c>
      <c r="G171" s="293" t="s">
        <v>995</v>
      </c>
      <c r="H171" s="370">
        <v>7087617</v>
      </c>
      <c r="I171" s="370">
        <v>0</v>
      </c>
      <c r="J171" s="295">
        <v>0</v>
      </c>
      <c r="K171" s="295">
        <v>0</v>
      </c>
      <c r="L171" s="296">
        <f t="shared" si="12"/>
        <v>7087617</v>
      </c>
      <c r="N171" s="297">
        <v>0</v>
      </c>
      <c r="O171" s="295">
        <v>0</v>
      </c>
      <c r="P171" s="295">
        <v>0</v>
      </c>
      <c r="Q171" s="295">
        <v>0</v>
      </c>
      <c r="R171" s="295">
        <v>0</v>
      </c>
      <c r="S171" s="296">
        <v>0</v>
      </c>
      <c r="U171" s="298">
        <f t="shared" si="10"/>
        <v>7087617</v>
      </c>
      <c r="Z171" s="305">
        <v>-37035055</v>
      </c>
      <c r="AB171" s="305">
        <f t="shared" si="11"/>
        <v>44122672</v>
      </c>
    </row>
    <row r="172" spans="3:29" ht="18" customHeight="1">
      <c r="C172" s="6">
        <v>1</v>
      </c>
      <c r="D172" s="300" t="s">
        <v>996</v>
      </c>
      <c r="E172" s="293" t="s">
        <v>996</v>
      </c>
      <c r="F172" s="294"/>
      <c r="G172" s="293" t="s">
        <v>997</v>
      </c>
      <c r="H172" s="370">
        <v>0</v>
      </c>
      <c r="I172" s="295">
        <v>0</v>
      </c>
      <c r="J172" s="295">
        <v>0</v>
      </c>
      <c r="K172" s="295">
        <v>0</v>
      </c>
      <c r="L172" s="296">
        <f t="shared" si="12"/>
        <v>0</v>
      </c>
      <c r="N172" s="297">
        <v>0</v>
      </c>
      <c r="O172" s="295">
        <v>0</v>
      </c>
      <c r="P172" s="295">
        <v>0</v>
      </c>
      <c r="Q172" s="295">
        <v>0</v>
      </c>
      <c r="R172" s="295">
        <v>0</v>
      </c>
      <c r="S172" s="296">
        <v>0</v>
      </c>
      <c r="U172" s="298">
        <f t="shared" si="10"/>
        <v>0</v>
      </c>
      <c r="Z172" s="305">
        <v>0</v>
      </c>
      <c r="AB172" s="305">
        <f t="shared" si="11"/>
        <v>0</v>
      </c>
    </row>
    <row r="173" spans="3:29" ht="18" customHeight="1">
      <c r="C173" s="6">
        <v>1</v>
      </c>
      <c r="D173" s="300" t="s">
        <v>992</v>
      </c>
      <c r="E173" s="293" t="s">
        <v>998</v>
      </c>
      <c r="F173" s="294" t="s">
        <v>1428</v>
      </c>
      <c r="G173" s="293" t="s">
        <v>999</v>
      </c>
      <c r="H173" s="370">
        <v>-23149601</v>
      </c>
      <c r="I173" s="295">
        <v>0</v>
      </c>
      <c r="J173" s="295">
        <v>0</v>
      </c>
      <c r="K173" s="295">
        <v>0</v>
      </c>
      <c r="L173" s="296">
        <f t="shared" si="12"/>
        <v>-23149601</v>
      </c>
      <c r="N173" s="297">
        <v>0</v>
      </c>
      <c r="O173" s="295">
        <v>0</v>
      </c>
      <c r="P173" s="295">
        <v>0</v>
      </c>
      <c r="Q173" s="295">
        <v>0</v>
      </c>
      <c r="R173" s="295">
        <v>0</v>
      </c>
      <c r="S173" s="296">
        <v>0</v>
      </c>
      <c r="U173" s="298">
        <f t="shared" si="10"/>
        <v>-23149601</v>
      </c>
      <c r="Z173" s="305">
        <v>41371794</v>
      </c>
      <c r="AB173" s="305">
        <f t="shared" si="11"/>
        <v>-64521395</v>
      </c>
    </row>
    <row r="174" spans="3:29" ht="18" customHeight="1">
      <c r="C174" s="6">
        <v>1</v>
      </c>
      <c r="D174" s="292" t="s">
        <v>1000</v>
      </c>
      <c r="E174" s="293" t="s">
        <v>1000</v>
      </c>
      <c r="F174" s="294"/>
      <c r="G174" s="293" t="s">
        <v>1001</v>
      </c>
      <c r="H174" s="370">
        <v>0</v>
      </c>
      <c r="I174" s="295">
        <v>0</v>
      </c>
      <c r="J174" s="295">
        <v>0</v>
      </c>
      <c r="K174" s="295">
        <v>0</v>
      </c>
      <c r="L174" s="296">
        <f t="shared" si="12"/>
        <v>0</v>
      </c>
      <c r="N174" s="297">
        <v>0</v>
      </c>
      <c r="O174" s="295">
        <v>0</v>
      </c>
      <c r="P174" s="295">
        <v>0</v>
      </c>
      <c r="Q174" s="295">
        <v>0</v>
      </c>
      <c r="R174" s="295">
        <v>0</v>
      </c>
      <c r="S174" s="296">
        <v>0</v>
      </c>
      <c r="U174" s="298">
        <f t="shared" si="10"/>
        <v>0</v>
      </c>
      <c r="Z174" s="305">
        <v>0</v>
      </c>
      <c r="AB174" s="305">
        <f t="shared" si="11"/>
        <v>0</v>
      </c>
    </row>
    <row r="175" spans="3:29" ht="18" customHeight="1">
      <c r="C175" s="6">
        <v>1</v>
      </c>
      <c r="D175" s="285" t="s">
        <v>1002</v>
      </c>
      <c r="E175" s="286" t="s">
        <v>1002</v>
      </c>
      <c r="F175" s="287"/>
      <c r="G175" s="286" t="s">
        <v>1003</v>
      </c>
      <c r="H175" s="288">
        <f>SUM(H176:H180)</f>
        <v>112658595</v>
      </c>
      <c r="I175" s="288">
        <f>SUM(I176:I180)</f>
        <v>-4724551</v>
      </c>
      <c r="J175" s="288">
        <f>SUM(J176:J180)</f>
        <v>-2372392</v>
      </c>
      <c r="K175" s="288">
        <f>SUM(K176:K180)</f>
        <v>69402905</v>
      </c>
      <c r="L175" s="289">
        <f>SUM(L176:L180)</f>
        <v>174964557</v>
      </c>
      <c r="N175" s="290">
        <v>0</v>
      </c>
      <c r="O175" s="288">
        <v>0</v>
      </c>
      <c r="P175" s="288">
        <v>-141771.84849999845</v>
      </c>
      <c r="Q175" s="288">
        <v>0</v>
      </c>
      <c r="R175" s="288">
        <v>0</v>
      </c>
      <c r="S175" s="289">
        <v>-141771.84849999845</v>
      </c>
      <c r="U175" s="291">
        <f>SUM(U176:U180)</f>
        <v>174822785</v>
      </c>
      <c r="V175" s="6" t="b">
        <f>U175=SUM(U176:U180)</f>
        <v>1</v>
      </c>
      <c r="Z175" s="291">
        <v>57884132</v>
      </c>
      <c r="AA175" s="6" t="b">
        <f>Z175=SUM(Z176:Z180)</f>
        <v>1</v>
      </c>
      <c r="AB175" s="291">
        <f t="shared" si="11"/>
        <v>116938653</v>
      </c>
      <c r="AC175" s="6" t="b">
        <f>AB175=SUM(AB176:AB180)</f>
        <v>1</v>
      </c>
    </row>
    <row r="176" spans="3:29" ht="18" customHeight="1">
      <c r="C176" s="6">
        <v>1</v>
      </c>
      <c r="D176" s="292" t="s">
        <v>1004</v>
      </c>
      <c r="E176" s="293" t="s">
        <v>1004</v>
      </c>
      <c r="F176" s="294"/>
      <c r="G176" s="293" t="s">
        <v>1005</v>
      </c>
      <c r="H176" s="370">
        <v>0</v>
      </c>
      <c r="I176" s="295">
        <v>0</v>
      </c>
      <c r="J176" s="295">
        <v>0</v>
      </c>
      <c r="K176" s="299">
        <v>0</v>
      </c>
      <c r="L176" s="296">
        <f>SUM(H176:K176)</f>
        <v>0</v>
      </c>
      <c r="N176" s="297">
        <v>0</v>
      </c>
      <c r="O176" s="295">
        <v>0</v>
      </c>
      <c r="P176" s="295">
        <v>0</v>
      </c>
      <c r="Q176" s="295">
        <v>0</v>
      </c>
      <c r="R176" s="295">
        <v>0</v>
      </c>
      <c r="S176" s="296">
        <v>0</v>
      </c>
      <c r="U176" s="298">
        <f>ROUND(S176+L176,0)</f>
        <v>0</v>
      </c>
      <c r="Z176" s="305">
        <v>0</v>
      </c>
      <c r="AB176" s="305">
        <f t="shared" si="11"/>
        <v>0</v>
      </c>
    </row>
    <row r="177" spans="3:29" ht="18" customHeight="1">
      <c r="C177" s="6">
        <v>1</v>
      </c>
      <c r="D177" s="292" t="s">
        <v>1006</v>
      </c>
      <c r="E177" s="293" t="s">
        <v>1006</v>
      </c>
      <c r="F177" s="294" t="s">
        <v>1007</v>
      </c>
      <c r="G177" s="293" t="s">
        <v>1007</v>
      </c>
      <c r="H177" s="370">
        <v>507654012</v>
      </c>
      <c r="I177" s="370">
        <v>742854</v>
      </c>
      <c r="J177" s="295">
        <v>50425</v>
      </c>
      <c r="K177" s="295">
        <v>48917</v>
      </c>
      <c r="L177" s="296">
        <f>SUM(H177:K177)</f>
        <v>508496208</v>
      </c>
      <c r="N177" s="297">
        <v>0</v>
      </c>
      <c r="O177" s="295">
        <v>0</v>
      </c>
      <c r="P177" s="295">
        <v>-15768802</v>
      </c>
      <c r="Q177" s="295">
        <v>0</v>
      </c>
      <c r="R177" s="295">
        <v>0</v>
      </c>
      <c r="S177" s="296">
        <v>-15768802</v>
      </c>
      <c r="U177" s="298">
        <f>ROUND(S177+L177,0)</f>
        <v>492727406</v>
      </c>
      <c r="Z177" s="305">
        <v>299624780</v>
      </c>
      <c r="AB177" s="305">
        <f t="shared" si="11"/>
        <v>193102626</v>
      </c>
    </row>
    <row r="178" spans="3:29" ht="18" customHeight="1">
      <c r="C178" s="6">
        <v>1</v>
      </c>
      <c r="D178" s="292" t="s">
        <v>1008</v>
      </c>
      <c r="E178" s="293" t="s">
        <v>1008</v>
      </c>
      <c r="F178" s="294" t="s">
        <v>1009</v>
      </c>
      <c r="G178" s="293" t="s">
        <v>1009</v>
      </c>
      <c r="H178" s="370">
        <v>-242754091</v>
      </c>
      <c r="I178" s="370">
        <v>-5351425</v>
      </c>
      <c r="J178" s="295">
        <v>-1210083</v>
      </c>
      <c r="K178" s="299">
        <v>-67223629</v>
      </c>
      <c r="L178" s="296">
        <f>SUM(H178:K178)</f>
        <v>-316539228</v>
      </c>
      <c r="N178" s="297">
        <v>0</v>
      </c>
      <c r="O178" s="295">
        <v>0</v>
      </c>
      <c r="P178" s="295">
        <v>15627030.151500002</v>
      </c>
      <c r="Q178" s="295">
        <v>0</v>
      </c>
      <c r="R178" s="295">
        <v>0</v>
      </c>
      <c r="S178" s="296">
        <v>15627030.151500002</v>
      </c>
      <c r="U178" s="298">
        <f>ROUND(S178+L178,0)</f>
        <v>-300912198</v>
      </c>
      <c r="X178" s="7"/>
      <c r="Z178" s="305">
        <v>-254634746</v>
      </c>
      <c r="AB178" s="305">
        <f t="shared" si="11"/>
        <v>-46277452</v>
      </c>
      <c r="AC178" s="447" t="b">
        <f>-AB178-1=T_IS!X90-T_IS!AJ90</f>
        <v>0</v>
      </c>
    </row>
    <row r="179" spans="3:29" ht="18" customHeight="1">
      <c r="C179" s="6">
        <v>1</v>
      </c>
      <c r="D179" s="292" t="s">
        <v>1010</v>
      </c>
      <c r="E179" s="293" t="s">
        <v>1010</v>
      </c>
      <c r="F179" s="294" t="s">
        <v>1011</v>
      </c>
      <c r="G179" s="293" t="s">
        <v>1011</v>
      </c>
      <c r="H179" s="370">
        <v>0</v>
      </c>
      <c r="I179" s="370">
        <v>-115980</v>
      </c>
      <c r="J179" s="295">
        <v>-1212734</v>
      </c>
      <c r="K179" s="299">
        <v>0</v>
      </c>
      <c r="L179" s="296">
        <f>SUM(H179:K179)</f>
        <v>-1328714</v>
      </c>
      <c r="N179" s="297">
        <v>0</v>
      </c>
      <c r="O179" s="295">
        <v>0</v>
      </c>
      <c r="P179" s="295">
        <v>0</v>
      </c>
      <c r="Q179" s="295">
        <v>0</v>
      </c>
      <c r="R179" s="295">
        <v>115980</v>
      </c>
      <c r="S179" s="296">
        <v>115980</v>
      </c>
      <c r="U179" s="298">
        <f>IF(ROUND(SUM(S179:S180,L179:L180),)&lt;0,ROUND(SUM(S179:S180,L179:L180),),0)</f>
        <v>-16992423</v>
      </c>
      <c r="Y179" s="7"/>
      <c r="Z179" s="305"/>
      <c r="AB179" s="305">
        <f>U179-Z180</f>
        <v>-29886521</v>
      </c>
    </row>
    <row r="180" spans="3:29" ht="18" customHeight="1">
      <c r="C180" s="6">
        <v>1</v>
      </c>
      <c r="D180" s="292" t="s">
        <v>1012</v>
      </c>
      <c r="E180" s="293" t="s">
        <v>1012</v>
      </c>
      <c r="F180" s="294" t="s">
        <v>1011</v>
      </c>
      <c r="G180" s="293" t="s">
        <v>1013</v>
      </c>
      <c r="H180" s="370">
        <v>-152241326</v>
      </c>
      <c r="I180" s="295">
        <v>0</v>
      </c>
      <c r="J180" s="295">
        <v>0</v>
      </c>
      <c r="K180" s="299">
        <v>136577617</v>
      </c>
      <c r="L180" s="296">
        <f>SUM(H180:K180)</f>
        <v>-15663709</v>
      </c>
      <c r="N180" s="297">
        <v>0</v>
      </c>
      <c r="O180" s="295">
        <v>0</v>
      </c>
      <c r="P180" s="295">
        <v>0</v>
      </c>
      <c r="Q180" s="295">
        <v>0</v>
      </c>
      <c r="R180" s="295">
        <v>-115980</v>
      </c>
      <c r="S180" s="296">
        <v>-115980</v>
      </c>
      <c r="U180" s="298">
        <f>IF(ROUND(SUM(S179:S180,L179:L180),)&gt;0,ROUND(SUM(S179:S180,L179:L180),),0)</f>
        <v>0</v>
      </c>
      <c r="Z180" s="305">
        <v>12894098</v>
      </c>
      <c r="AB180" s="305"/>
    </row>
    <row r="181" spans="3:29" ht="18" customHeight="1">
      <c r="C181" s="6">
        <v>1</v>
      </c>
      <c r="D181" s="285" t="s">
        <v>1014</v>
      </c>
      <c r="E181" s="286" t="s">
        <v>1014</v>
      </c>
      <c r="F181" s="287"/>
      <c r="G181" s="286" t="s">
        <v>1015</v>
      </c>
      <c r="H181" s="288">
        <f>H182+H241</f>
        <v>-36751715499</v>
      </c>
      <c r="I181" s="288">
        <f>I182+I241</f>
        <v>-143595455</v>
      </c>
      <c r="J181" s="288">
        <f>J182+J241</f>
        <v>0</v>
      </c>
      <c r="K181" s="288">
        <f>K182+K241</f>
        <v>-970190638</v>
      </c>
      <c r="L181" s="289">
        <f>L182+L241</f>
        <v>-37865501592</v>
      </c>
      <c r="N181" s="290">
        <v>20206929</v>
      </c>
      <c r="O181" s="288">
        <v>0</v>
      </c>
      <c r="P181" s="288">
        <v>972870000</v>
      </c>
      <c r="Q181" s="288">
        <v>0</v>
      </c>
      <c r="R181" s="288">
        <v>20000000</v>
      </c>
      <c r="S181" s="289">
        <v>1013076929</v>
      </c>
      <c r="U181" s="291">
        <f>U182+U241</f>
        <v>-36852424663</v>
      </c>
      <c r="V181" s="6" t="b">
        <f>U181=U182+U241</f>
        <v>1</v>
      </c>
      <c r="Z181" s="291">
        <v>-25355440093</v>
      </c>
      <c r="AA181" s="6" t="b">
        <f>Z181=Z182+Z241</f>
        <v>1</v>
      </c>
      <c r="AB181" s="291">
        <f t="shared" si="11"/>
        <v>-11496984570</v>
      </c>
      <c r="AC181" s="6" t="b">
        <f>AB181=AB182+AB241</f>
        <v>1</v>
      </c>
    </row>
    <row r="182" spans="3:29" ht="18" customHeight="1">
      <c r="C182" s="6">
        <v>1</v>
      </c>
      <c r="D182" s="285" t="s">
        <v>1016</v>
      </c>
      <c r="E182" s="286" t="s">
        <v>1016</v>
      </c>
      <c r="F182" s="287"/>
      <c r="G182" s="286" t="s">
        <v>1017</v>
      </c>
      <c r="H182" s="288">
        <f>SUM(H183:H240)</f>
        <v>534380000</v>
      </c>
      <c r="I182" s="288">
        <f>SUM(I183:I240)</f>
        <v>20000000</v>
      </c>
      <c r="J182" s="288">
        <f>SUM(J183:J240)</f>
        <v>0</v>
      </c>
      <c r="K182" s="288">
        <f>SUM(K183:K240)</f>
        <v>0</v>
      </c>
      <c r="L182" s="289">
        <f>SUM(L183:L240)</f>
        <v>554380000</v>
      </c>
      <c r="N182" s="290">
        <v>0</v>
      </c>
      <c r="O182" s="288">
        <v>0</v>
      </c>
      <c r="P182" s="288">
        <v>-527130000</v>
      </c>
      <c r="Q182" s="288">
        <v>0</v>
      </c>
      <c r="R182" s="288">
        <v>0</v>
      </c>
      <c r="S182" s="289">
        <v>-527130000</v>
      </c>
      <c r="U182" s="291">
        <f>SUM(U183:U240)</f>
        <v>27250000</v>
      </c>
      <c r="V182" s="6" t="b">
        <f>U182=SUM(U183:U240)</f>
        <v>1</v>
      </c>
      <c r="Z182" s="291">
        <v>27250000</v>
      </c>
      <c r="AA182" s="6" t="b">
        <f>Z182=SUM(Z183:Z240)</f>
        <v>1</v>
      </c>
      <c r="AB182" s="291">
        <f t="shared" si="11"/>
        <v>0</v>
      </c>
      <c r="AC182" s="6" t="b">
        <f>AB182=SUM(AB183:AB240)</f>
        <v>1</v>
      </c>
    </row>
    <row r="183" spans="3:29" ht="18" customHeight="1">
      <c r="C183" s="6">
        <v>1</v>
      </c>
      <c r="D183" s="292" t="s">
        <v>1018</v>
      </c>
      <c r="E183" s="293" t="s">
        <v>1018</v>
      </c>
      <c r="F183" s="294" t="s">
        <v>1432</v>
      </c>
      <c r="G183" s="293" t="s">
        <v>1019</v>
      </c>
      <c r="H183" s="370">
        <v>527130000</v>
      </c>
      <c r="I183" s="295">
        <v>0</v>
      </c>
      <c r="J183" s="295">
        <v>0</v>
      </c>
      <c r="K183" s="295">
        <v>0</v>
      </c>
      <c r="L183" s="296">
        <f t="shared" ref="L183:L214" si="13">SUM(H183:K183)</f>
        <v>527130000</v>
      </c>
      <c r="N183" s="297">
        <v>0</v>
      </c>
      <c r="O183" s="295">
        <v>0</v>
      </c>
      <c r="P183" s="295">
        <v>-527130000</v>
      </c>
      <c r="Q183" s="295">
        <v>0</v>
      </c>
      <c r="R183" s="295">
        <v>0</v>
      </c>
      <c r="S183" s="296">
        <v>-527130000</v>
      </c>
      <c r="U183" s="298">
        <f t="shared" ref="U183:U240" si="14">ROUND(S183+L183,0)</f>
        <v>0</v>
      </c>
      <c r="Z183" s="305">
        <v>0</v>
      </c>
      <c r="AB183" s="305">
        <f t="shared" si="11"/>
        <v>0</v>
      </c>
    </row>
    <row r="184" spans="3:29" ht="18" customHeight="1">
      <c r="C184" s="6">
        <v>1</v>
      </c>
      <c r="D184" s="292" t="s">
        <v>1020</v>
      </c>
      <c r="E184" s="293" t="s">
        <v>1020</v>
      </c>
      <c r="F184" s="294" t="s">
        <v>1433</v>
      </c>
      <c r="G184" s="293" t="s">
        <v>1021</v>
      </c>
      <c r="H184" s="370">
        <v>0</v>
      </c>
      <c r="I184" s="295">
        <v>0</v>
      </c>
      <c r="J184" s="295">
        <v>0</v>
      </c>
      <c r="K184" s="295">
        <v>0</v>
      </c>
      <c r="L184" s="296">
        <f t="shared" si="13"/>
        <v>0</v>
      </c>
      <c r="N184" s="297">
        <v>0</v>
      </c>
      <c r="O184" s="295">
        <v>0</v>
      </c>
      <c r="P184" s="295">
        <v>0</v>
      </c>
      <c r="Q184" s="295">
        <v>0</v>
      </c>
      <c r="R184" s="295">
        <v>0</v>
      </c>
      <c r="S184" s="296">
        <v>0</v>
      </c>
      <c r="U184" s="298">
        <f t="shared" si="14"/>
        <v>0</v>
      </c>
      <c r="Z184" s="305">
        <v>0</v>
      </c>
      <c r="AB184" s="305">
        <f t="shared" si="11"/>
        <v>0</v>
      </c>
    </row>
    <row r="185" spans="3:29" ht="18" customHeight="1">
      <c r="C185" s="6">
        <v>1</v>
      </c>
      <c r="D185" s="292" t="s">
        <v>1022</v>
      </c>
      <c r="E185" s="293" t="s">
        <v>1022</v>
      </c>
      <c r="F185" s="294"/>
      <c r="G185" s="293" t="s">
        <v>1023</v>
      </c>
      <c r="H185" s="370">
        <v>0</v>
      </c>
      <c r="I185" s="295">
        <v>0</v>
      </c>
      <c r="J185" s="295">
        <v>0</v>
      </c>
      <c r="K185" s="295">
        <v>0</v>
      </c>
      <c r="L185" s="296">
        <f t="shared" si="13"/>
        <v>0</v>
      </c>
      <c r="N185" s="297">
        <v>0</v>
      </c>
      <c r="O185" s="295">
        <v>0</v>
      </c>
      <c r="P185" s="295">
        <v>0</v>
      </c>
      <c r="Q185" s="295">
        <v>0</v>
      </c>
      <c r="R185" s="295">
        <v>0</v>
      </c>
      <c r="S185" s="296">
        <v>0</v>
      </c>
      <c r="U185" s="298">
        <f t="shared" si="14"/>
        <v>0</v>
      </c>
      <c r="Z185" s="305">
        <v>0</v>
      </c>
      <c r="AB185" s="305">
        <f t="shared" si="11"/>
        <v>0</v>
      </c>
    </row>
    <row r="186" spans="3:29" ht="18" customHeight="1">
      <c r="C186" s="6">
        <v>1</v>
      </c>
      <c r="D186" s="292" t="s">
        <v>1024</v>
      </c>
      <c r="E186" s="293" t="s">
        <v>1024</v>
      </c>
      <c r="F186" s="294"/>
      <c r="G186" s="293" t="s">
        <v>1025</v>
      </c>
      <c r="H186" s="370">
        <v>0</v>
      </c>
      <c r="I186" s="295">
        <v>0</v>
      </c>
      <c r="J186" s="295">
        <v>0</v>
      </c>
      <c r="K186" s="295">
        <v>0</v>
      </c>
      <c r="L186" s="296">
        <f t="shared" si="13"/>
        <v>0</v>
      </c>
      <c r="N186" s="297">
        <v>0</v>
      </c>
      <c r="O186" s="295">
        <v>0</v>
      </c>
      <c r="P186" s="295">
        <v>0</v>
      </c>
      <c r="Q186" s="295">
        <v>0</v>
      </c>
      <c r="R186" s="295">
        <v>0</v>
      </c>
      <c r="S186" s="296">
        <v>0</v>
      </c>
      <c r="U186" s="298">
        <f t="shared" si="14"/>
        <v>0</v>
      </c>
      <c r="Z186" s="305">
        <v>0</v>
      </c>
      <c r="AB186" s="305">
        <f t="shared" si="11"/>
        <v>0</v>
      </c>
    </row>
    <row r="187" spans="3:29" ht="18" customHeight="1">
      <c r="C187" s="6">
        <v>1</v>
      </c>
      <c r="D187" s="292" t="s">
        <v>1026</v>
      </c>
      <c r="E187" s="293" t="s">
        <v>1026</v>
      </c>
      <c r="F187" s="294"/>
      <c r="G187" s="293" t="s">
        <v>1027</v>
      </c>
      <c r="H187" s="370">
        <v>0</v>
      </c>
      <c r="I187" s="295">
        <v>0</v>
      </c>
      <c r="J187" s="295">
        <v>0</v>
      </c>
      <c r="K187" s="295">
        <v>0</v>
      </c>
      <c r="L187" s="296">
        <f t="shared" si="13"/>
        <v>0</v>
      </c>
      <c r="N187" s="297">
        <v>0</v>
      </c>
      <c r="O187" s="295">
        <v>0</v>
      </c>
      <c r="P187" s="295">
        <v>0</v>
      </c>
      <c r="Q187" s="295">
        <v>0</v>
      </c>
      <c r="R187" s="295">
        <v>0</v>
      </c>
      <c r="S187" s="296">
        <v>0</v>
      </c>
      <c r="U187" s="298">
        <f t="shared" si="14"/>
        <v>0</v>
      </c>
      <c r="Z187" s="305">
        <v>0</v>
      </c>
      <c r="AB187" s="305">
        <f t="shared" si="11"/>
        <v>0</v>
      </c>
    </row>
    <row r="188" spans="3:29" ht="18" customHeight="1">
      <c r="C188" s="6">
        <v>1</v>
      </c>
      <c r="D188" s="292" t="s">
        <v>1028</v>
      </c>
      <c r="E188" s="293" t="s">
        <v>1028</v>
      </c>
      <c r="F188" s="294"/>
      <c r="G188" s="293" t="s">
        <v>1029</v>
      </c>
      <c r="H188" s="370">
        <v>0</v>
      </c>
      <c r="I188" s="295">
        <v>0</v>
      </c>
      <c r="J188" s="295">
        <v>0</v>
      </c>
      <c r="K188" s="295">
        <v>0</v>
      </c>
      <c r="L188" s="296">
        <f t="shared" si="13"/>
        <v>0</v>
      </c>
      <c r="N188" s="297">
        <v>0</v>
      </c>
      <c r="O188" s="295">
        <v>0</v>
      </c>
      <c r="P188" s="295">
        <v>0</v>
      </c>
      <c r="Q188" s="295">
        <v>0</v>
      </c>
      <c r="R188" s="295">
        <v>0</v>
      </c>
      <c r="S188" s="296">
        <v>0</v>
      </c>
      <c r="U188" s="298">
        <f t="shared" si="14"/>
        <v>0</v>
      </c>
      <c r="Z188" s="305">
        <v>0</v>
      </c>
      <c r="AB188" s="305">
        <f t="shared" si="11"/>
        <v>0</v>
      </c>
    </row>
    <row r="189" spans="3:29" ht="18" customHeight="1">
      <c r="C189" s="6">
        <v>1</v>
      </c>
      <c r="D189" s="292" t="s">
        <v>1030</v>
      </c>
      <c r="E189" s="293" t="s">
        <v>1030</v>
      </c>
      <c r="F189" s="294"/>
      <c r="G189" s="293" t="s">
        <v>1031</v>
      </c>
      <c r="H189" s="370">
        <v>0</v>
      </c>
      <c r="I189" s="295">
        <v>0</v>
      </c>
      <c r="J189" s="295">
        <v>0</v>
      </c>
      <c r="K189" s="295">
        <v>0</v>
      </c>
      <c r="L189" s="296">
        <f t="shared" si="13"/>
        <v>0</v>
      </c>
      <c r="N189" s="297">
        <v>0</v>
      </c>
      <c r="O189" s="295">
        <v>0</v>
      </c>
      <c r="P189" s="295">
        <v>0</v>
      </c>
      <c r="Q189" s="295">
        <v>0</v>
      </c>
      <c r="R189" s="295">
        <v>0</v>
      </c>
      <c r="S189" s="296">
        <v>0</v>
      </c>
      <c r="U189" s="298">
        <f t="shared" si="14"/>
        <v>0</v>
      </c>
      <c r="Z189" s="305">
        <v>0</v>
      </c>
      <c r="AB189" s="305">
        <f t="shared" si="11"/>
        <v>0</v>
      </c>
    </row>
    <row r="190" spans="3:29" ht="18" customHeight="1">
      <c r="C190" s="6">
        <v>1</v>
      </c>
      <c r="D190" s="292" t="s">
        <v>1032</v>
      </c>
      <c r="E190" s="293" t="s">
        <v>1374</v>
      </c>
      <c r="F190" s="294" t="s">
        <v>1373</v>
      </c>
      <c r="G190" s="293" t="s">
        <v>1373</v>
      </c>
      <c r="H190" s="370">
        <v>0</v>
      </c>
      <c r="I190" s="295">
        <v>20000000</v>
      </c>
      <c r="J190" s="295">
        <v>0</v>
      </c>
      <c r="K190" s="295">
        <v>0</v>
      </c>
      <c r="L190" s="296">
        <f t="shared" si="13"/>
        <v>20000000</v>
      </c>
      <c r="N190" s="297">
        <v>0</v>
      </c>
      <c r="O190" s="295">
        <v>0</v>
      </c>
      <c r="P190" s="295">
        <v>0</v>
      </c>
      <c r="Q190" s="295">
        <v>0</v>
      </c>
      <c r="R190" s="295">
        <v>0</v>
      </c>
      <c r="S190" s="296">
        <v>0</v>
      </c>
      <c r="U190" s="298">
        <f t="shared" si="14"/>
        <v>20000000</v>
      </c>
      <c r="Z190" s="305">
        <v>20000000</v>
      </c>
      <c r="AB190" s="305">
        <f t="shared" si="11"/>
        <v>0</v>
      </c>
    </row>
    <row r="191" spans="3:29" ht="18" customHeight="1">
      <c r="C191" s="6">
        <v>1</v>
      </c>
      <c r="D191" s="292" t="s">
        <v>1032</v>
      </c>
      <c r="E191" s="293" t="s">
        <v>1375</v>
      </c>
      <c r="F191" s="294" t="s">
        <v>1376</v>
      </c>
      <c r="G191" s="293" t="s">
        <v>1376</v>
      </c>
      <c r="H191" s="370">
        <v>0</v>
      </c>
      <c r="I191" s="295">
        <v>0</v>
      </c>
      <c r="J191" s="295">
        <v>0</v>
      </c>
      <c r="K191" s="295">
        <v>0</v>
      </c>
      <c r="L191" s="296">
        <f t="shared" si="13"/>
        <v>0</v>
      </c>
      <c r="N191" s="297">
        <v>0</v>
      </c>
      <c r="O191" s="295">
        <v>0</v>
      </c>
      <c r="P191" s="295">
        <v>0</v>
      </c>
      <c r="Q191" s="295">
        <v>0</v>
      </c>
      <c r="R191" s="295">
        <v>0</v>
      </c>
      <c r="S191" s="296">
        <v>0</v>
      </c>
      <c r="U191" s="298">
        <f t="shared" si="14"/>
        <v>0</v>
      </c>
      <c r="Z191" s="305"/>
      <c r="AB191" s="305">
        <f t="shared" si="11"/>
        <v>0</v>
      </c>
    </row>
    <row r="192" spans="3:29" ht="18" customHeight="1">
      <c r="C192" s="6">
        <v>1</v>
      </c>
      <c r="D192" s="292" t="s">
        <v>1034</v>
      </c>
      <c r="E192" s="293" t="s">
        <v>1034</v>
      </c>
      <c r="F192" s="294"/>
      <c r="G192" s="293" t="s">
        <v>1035</v>
      </c>
      <c r="H192" s="370">
        <v>0</v>
      </c>
      <c r="I192" s="295">
        <v>0</v>
      </c>
      <c r="J192" s="295">
        <v>0</v>
      </c>
      <c r="K192" s="295">
        <v>0</v>
      </c>
      <c r="L192" s="296">
        <f t="shared" si="13"/>
        <v>0</v>
      </c>
      <c r="N192" s="297">
        <v>0</v>
      </c>
      <c r="O192" s="295">
        <v>0</v>
      </c>
      <c r="P192" s="295">
        <v>0</v>
      </c>
      <c r="Q192" s="295">
        <v>0</v>
      </c>
      <c r="R192" s="295">
        <v>0</v>
      </c>
      <c r="S192" s="296">
        <v>0</v>
      </c>
      <c r="U192" s="298">
        <f t="shared" si="14"/>
        <v>0</v>
      </c>
      <c r="Z192" s="305">
        <v>0</v>
      </c>
      <c r="AB192" s="305">
        <f t="shared" si="11"/>
        <v>0</v>
      </c>
    </row>
    <row r="193" spans="3:28" ht="18" customHeight="1">
      <c r="C193" s="6">
        <v>1</v>
      </c>
      <c r="D193" s="292" t="s">
        <v>1036</v>
      </c>
      <c r="E193" s="293" t="s">
        <v>1036</v>
      </c>
      <c r="F193" s="294"/>
      <c r="G193" s="293" t="s">
        <v>1037</v>
      </c>
      <c r="H193" s="370">
        <v>0</v>
      </c>
      <c r="I193" s="295">
        <v>0</v>
      </c>
      <c r="J193" s="295">
        <v>0</v>
      </c>
      <c r="K193" s="295">
        <v>0</v>
      </c>
      <c r="L193" s="296">
        <f t="shared" si="13"/>
        <v>0</v>
      </c>
      <c r="N193" s="297">
        <v>0</v>
      </c>
      <c r="O193" s="295">
        <v>0</v>
      </c>
      <c r="P193" s="295">
        <v>0</v>
      </c>
      <c r="Q193" s="295">
        <v>0</v>
      </c>
      <c r="R193" s="295">
        <v>0</v>
      </c>
      <c r="S193" s="296">
        <v>0</v>
      </c>
      <c r="U193" s="298">
        <f t="shared" si="14"/>
        <v>0</v>
      </c>
      <c r="Z193" s="305">
        <v>0</v>
      </c>
      <c r="AB193" s="305">
        <f t="shared" si="11"/>
        <v>0</v>
      </c>
    </row>
    <row r="194" spans="3:28" ht="18" customHeight="1">
      <c r="C194" s="6">
        <v>1</v>
      </c>
      <c r="D194" s="292" t="s">
        <v>1038</v>
      </c>
      <c r="E194" s="293" t="s">
        <v>1038</v>
      </c>
      <c r="F194" s="294"/>
      <c r="G194" s="293" t="s">
        <v>1039</v>
      </c>
      <c r="H194" s="370">
        <v>0</v>
      </c>
      <c r="I194" s="295">
        <v>0</v>
      </c>
      <c r="J194" s="295">
        <v>0</v>
      </c>
      <c r="K194" s="295">
        <v>0</v>
      </c>
      <c r="L194" s="296">
        <f t="shared" si="13"/>
        <v>0</v>
      </c>
      <c r="N194" s="297">
        <v>0</v>
      </c>
      <c r="O194" s="295">
        <v>0</v>
      </c>
      <c r="P194" s="295">
        <v>0</v>
      </c>
      <c r="Q194" s="295">
        <v>0</v>
      </c>
      <c r="R194" s="295">
        <v>0</v>
      </c>
      <c r="S194" s="296">
        <v>0</v>
      </c>
      <c r="U194" s="298">
        <f t="shared" si="14"/>
        <v>0</v>
      </c>
      <c r="Z194" s="305">
        <v>0</v>
      </c>
      <c r="AB194" s="305">
        <f t="shared" si="11"/>
        <v>0</v>
      </c>
    </row>
    <row r="195" spans="3:28" ht="18" customHeight="1">
      <c r="C195" s="6">
        <v>1</v>
      </c>
      <c r="D195" s="292" t="s">
        <v>1040</v>
      </c>
      <c r="E195" s="293" t="s">
        <v>1040</v>
      </c>
      <c r="F195" s="294"/>
      <c r="G195" s="293" t="s">
        <v>1041</v>
      </c>
      <c r="H195" s="370">
        <v>0</v>
      </c>
      <c r="I195" s="295">
        <v>0</v>
      </c>
      <c r="J195" s="295">
        <v>0</v>
      </c>
      <c r="K195" s="295">
        <v>0</v>
      </c>
      <c r="L195" s="296">
        <f t="shared" si="13"/>
        <v>0</v>
      </c>
      <c r="N195" s="297">
        <v>0</v>
      </c>
      <c r="O195" s="295">
        <v>0</v>
      </c>
      <c r="P195" s="295">
        <v>0</v>
      </c>
      <c r="Q195" s="295">
        <v>0</v>
      </c>
      <c r="R195" s="295">
        <v>0</v>
      </c>
      <c r="S195" s="296">
        <v>0</v>
      </c>
      <c r="U195" s="298">
        <f t="shared" si="14"/>
        <v>0</v>
      </c>
      <c r="Z195" s="305">
        <v>0</v>
      </c>
      <c r="AB195" s="305">
        <f t="shared" si="11"/>
        <v>0</v>
      </c>
    </row>
    <row r="196" spans="3:28" ht="18" customHeight="1">
      <c r="C196" s="6">
        <v>1</v>
      </c>
      <c r="D196" s="292" t="s">
        <v>1042</v>
      </c>
      <c r="E196" s="293" t="s">
        <v>1042</v>
      </c>
      <c r="F196" s="294"/>
      <c r="G196" s="293" t="s">
        <v>1043</v>
      </c>
      <c r="H196" s="370">
        <v>0</v>
      </c>
      <c r="I196" s="295">
        <v>0</v>
      </c>
      <c r="J196" s="295">
        <v>0</v>
      </c>
      <c r="K196" s="295">
        <v>0</v>
      </c>
      <c r="L196" s="296">
        <f t="shared" si="13"/>
        <v>0</v>
      </c>
      <c r="N196" s="297">
        <v>0</v>
      </c>
      <c r="O196" s="295">
        <v>0</v>
      </c>
      <c r="P196" s="295">
        <v>0</v>
      </c>
      <c r="Q196" s="295">
        <v>0</v>
      </c>
      <c r="R196" s="295">
        <v>0</v>
      </c>
      <c r="S196" s="296">
        <v>0</v>
      </c>
      <c r="U196" s="298">
        <f t="shared" si="14"/>
        <v>0</v>
      </c>
      <c r="Z196" s="305">
        <v>0</v>
      </c>
      <c r="AB196" s="305">
        <f t="shared" si="11"/>
        <v>0</v>
      </c>
    </row>
    <row r="197" spans="3:28" ht="18" customHeight="1">
      <c r="C197" s="6">
        <v>1</v>
      </c>
      <c r="D197" s="292" t="s">
        <v>1044</v>
      </c>
      <c r="E197" s="293" t="s">
        <v>1044</v>
      </c>
      <c r="F197" s="294"/>
      <c r="G197" s="293" t="s">
        <v>1045</v>
      </c>
      <c r="H197" s="370">
        <v>0</v>
      </c>
      <c r="I197" s="295">
        <v>0</v>
      </c>
      <c r="J197" s="295">
        <v>0</v>
      </c>
      <c r="K197" s="295">
        <v>0</v>
      </c>
      <c r="L197" s="296">
        <f t="shared" si="13"/>
        <v>0</v>
      </c>
      <c r="N197" s="297">
        <v>0</v>
      </c>
      <c r="O197" s="295">
        <v>0</v>
      </c>
      <c r="P197" s="295">
        <v>0</v>
      </c>
      <c r="Q197" s="295">
        <v>0</v>
      </c>
      <c r="R197" s="295">
        <v>0</v>
      </c>
      <c r="S197" s="296">
        <v>0</v>
      </c>
      <c r="U197" s="298">
        <f t="shared" si="14"/>
        <v>0</v>
      </c>
      <c r="Z197" s="305">
        <v>0</v>
      </c>
      <c r="AB197" s="305">
        <f t="shared" si="11"/>
        <v>0</v>
      </c>
    </row>
    <row r="198" spans="3:28" ht="18" customHeight="1">
      <c r="C198" s="6">
        <v>1</v>
      </c>
      <c r="D198" s="292" t="s">
        <v>1046</v>
      </c>
      <c r="E198" s="293" t="s">
        <v>1046</v>
      </c>
      <c r="F198" s="294" t="s">
        <v>1729</v>
      </c>
      <c r="G198" s="293" t="s">
        <v>1047</v>
      </c>
      <c r="H198" s="370">
        <v>0</v>
      </c>
      <c r="I198" s="295">
        <v>0</v>
      </c>
      <c r="J198" s="295">
        <v>0</v>
      </c>
      <c r="K198" s="295">
        <v>0</v>
      </c>
      <c r="L198" s="296">
        <f t="shared" si="13"/>
        <v>0</v>
      </c>
      <c r="N198" s="297">
        <v>0</v>
      </c>
      <c r="O198" s="295">
        <v>0</v>
      </c>
      <c r="P198" s="295">
        <v>0</v>
      </c>
      <c r="Q198" s="295">
        <v>0</v>
      </c>
      <c r="R198" s="295">
        <v>0</v>
      </c>
      <c r="S198" s="296">
        <v>0</v>
      </c>
      <c r="U198" s="298">
        <f t="shared" si="14"/>
        <v>0</v>
      </c>
      <c r="Z198" s="305">
        <v>0</v>
      </c>
      <c r="AB198" s="305">
        <f t="shared" si="11"/>
        <v>0</v>
      </c>
    </row>
    <row r="199" spans="3:28" ht="18" customHeight="1">
      <c r="C199" s="6">
        <v>1</v>
      </c>
      <c r="D199" s="292" t="s">
        <v>1048</v>
      </c>
      <c r="E199" s="293" t="s">
        <v>1048</v>
      </c>
      <c r="F199" s="294" t="s">
        <v>1729</v>
      </c>
      <c r="G199" s="293" t="s">
        <v>1049</v>
      </c>
      <c r="H199" s="370">
        <v>0</v>
      </c>
      <c r="I199" s="295">
        <v>0</v>
      </c>
      <c r="J199" s="295">
        <v>0</v>
      </c>
      <c r="K199" s="295">
        <v>0</v>
      </c>
      <c r="L199" s="296">
        <f t="shared" si="13"/>
        <v>0</v>
      </c>
      <c r="N199" s="297">
        <v>0</v>
      </c>
      <c r="O199" s="295">
        <v>0</v>
      </c>
      <c r="P199" s="295">
        <v>0</v>
      </c>
      <c r="Q199" s="295">
        <v>0</v>
      </c>
      <c r="R199" s="295">
        <v>0</v>
      </c>
      <c r="S199" s="296">
        <v>0</v>
      </c>
      <c r="U199" s="298">
        <f t="shared" si="14"/>
        <v>0</v>
      </c>
      <c r="Z199" s="305">
        <v>0</v>
      </c>
      <c r="AB199" s="305">
        <f t="shared" si="11"/>
        <v>0</v>
      </c>
    </row>
    <row r="200" spans="3:28" ht="18" customHeight="1">
      <c r="C200" s="6">
        <v>1</v>
      </c>
      <c r="D200" s="292" t="s">
        <v>1050</v>
      </c>
      <c r="E200" s="293" t="s">
        <v>1050</v>
      </c>
      <c r="F200" s="294"/>
      <c r="G200" s="293" t="s">
        <v>1051</v>
      </c>
      <c r="H200" s="370">
        <v>0</v>
      </c>
      <c r="I200" s="295">
        <v>0</v>
      </c>
      <c r="J200" s="295">
        <v>0</v>
      </c>
      <c r="K200" s="295">
        <v>0</v>
      </c>
      <c r="L200" s="296">
        <f t="shared" si="13"/>
        <v>0</v>
      </c>
      <c r="N200" s="297">
        <v>0</v>
      </c>
      <c r="O200" s="295">
        <v>0</v>
      </c>
      <c r="P200" s="295">
        <v>0</v>
      </c>
      <c r="Q200" s="295">
        <v>0</v>
      </c>
      <c r="R200" s="295">
        <v>0</v>
      </c>
      <c r="S200" s="296">
        <v>0</v>
      </c>
      <c r="U200" s="298">
        <f t="shared" si="14"/>
        <v>0</v>
      </c>
      <c r="Z200" s="305">
        <v>0</v>
      </c>
      <c r="AB200" s="305">
        <f t="shared" ref="AB200:AB263" si="15">U200-Z200</f>
        <v>0</v>
      </c>
    </row>
    <row r="201" spans="3:28" ht="18" customHeight="1">
      <c r="C201" s="6">
        <v>1</v>
      </c>
      <c r="D201" s="292" t="s">
        <v>1052</v>
      </c>
      <c r="E201" s="293" t="s">
        <v>1052</v>
      </c>
      <c r="F201" s="294"/>
      <c r="G201" s="293" t="s">
        <v>1053</v>
      </c>
      <c r="H201" s="370">
        <v>0</v>
      </c>
      <c r="I201" s="295">
        <v>0</v>
      </c>
      <c r="J201" s="295">
        <v>0</v>
      </c>
      <c r="K201" s="295">
        <v>0</v>
      </c>
      <c r="L201" s="296">
        <f t="shared" si="13"/>
        <v>0</v>
      </c>
      <c r="N201" s="297">
        <v>0</v>
      </c>
      <c r="O201" s="295">
        <v>0</v>
      </c>
      <c r="P201" s="295">
        <v>0</v>
      </c>
      <c r="Q201" s="295">
        <v>0</v>
      </c>
      <c r="R201" s="295">
        <v>0</v>
      </c>
      <c r="S201" s="296">
        <v>0</v>
      </c>
      <c r="U201" s="298">
        <f t="shared" si="14"/>
        <v>0</v>
      </c>
      <c r="Z201" s="305">
        <v>0</v>
      </c>
      <c r="AB201" s="305">
        <f t="shared" si="15"/>
        <v>0</v>
      </c>
    </row>
    <row r="202" spans="3:28" ht="18" customHeight="1">
      <c r="C202" s="6">
        <v>1</v>
      </c>
      <c r="D202" s="292" t="s">
        <v>1054</v>
      </c>
      <c r="E202" s="293" t="s">
        <v>1054</v>
      </c>
      <c r="F202" s="294"/>
      <c r="G202" s="293" t="s">
        <v>1055</v>
      </c>
      <c r="H202" s="370">
        <v>0</v>
      </c>
      <c r="I202" s="295">
        <v>0</v>
      </c>
      <c r="J202" s="295">
        <v>0</v>
      </c>
      <c r="K202" s="295">
        <v>0</v>
      </c>
      <c r="L202" s="296">
        <f t="shared" si="13"/>
        <v>0</v>
      </c>
      <c r="N202" s="297">
        <v>0</v>
      </c>
      <c r="O202" s="295">
        <v>0</v>
      </c>
      <c r="P202" s="295">
        <v>0</v>
      </c>
      <c r="Q202" s="295">
        <v>0</v>
      </c>
      <c r="R202" s="295">
        <v>0</v>
      </c>
      <c r="S202" s="296">
        <v>0</v>
      </c>
      <c r="U202" s="298">
        <f t="shared" si="14"/>
        <v>0</v>
      </c>
      <c r="Z202" s="305">
        <v>0</v>
      </c>
      <c r="AB202" s="305">
        <f t="shared" si="15"/>
        <v>0</v>
      </c>
    </row>
    <row r="203" spans="3:28" ht="18" customHeight="1">
      <c r="C203" s="6">
        <v>1</v>
      </c>
      <c r="D203" s="292" t="s">
        <v>1056</v>
      </c>
      <c r="E203" s="293" t="s">
        <v>1056</v>
      </c>
      <c r="F203" s="294"/>
      <c r="G203" s="293" t="s">
        <v>1057</v>
      </c>
      <c r="H203" s="370">
        <v>0</v>
      </c>
      <c r="I203" s="295">
        <v>0</v>
      </c>
      <c r="J203" s="295">
        <v>0</v>
      </c>
      <c r="K203" s="295">
        <v>0</v>
      </c>
      <c r="L203" s="296">
        <f t="shared" si="13"/>
        <v>0</v>
      </c>
      <c r="N203" s="297">
        <v>0</v>
      </c>
      <c r="O203" s="295">
        <v>0</v>
      </c>
      <c r="P203" s="295">
        <v>0</v>
      </c>
      <c r="Q203" s="295">
        <v>0</v>
      </c>
      <c r="R203" s="295">
        <v>0</v>
      </c>
      <c r="S203" s="296">
        <v>0</v>
      </c>
      <c r="U203" s="298">
        <f t="shared" si="14"/>
        <v>0</v>
      </c>
      <c r="Z203" s="305">
        <v>0</v>
      </c>
      <c r="AB203" s="305">
        <f t="shared" si="15"/>
        <v>0</v>
      </c>
    </row>
    <row r="204" spans="3:28" ht="18" customHeight="1">
      <c r="C204" s="6">
        <v>1</v>
      </c>
      <c r="D204" s="292" t="s">
        <v>1058</v>
      </c>
      <c r="E204" s="293" t="s">
        <v>1058</v>
      </c>
      <c r="F204" s="294"/>
      <c r="G204" s="293" t="s">
        <v>1059</v>
      </c>
      <c r="H204" s="370">
        <v>0</v>
      </c>
      <c r="I204" s="295">
        <v>0</v>
      </c>
      <c r="J204" s="295">
        <v>0</v>
      </c>
      <c r="K204" s="295">
        <v>0</v>
      </c>
      <c r="L204" s="296">
        <f t="shared" si="13"/>
        <v>0</v>
      </c>
      <c r="N204" s="297">
        <v>0</v>
      </c>
      <c r="O204" s="295">
        <v>0</v>
      </c>
      <c r="P204" s="295">
        <v>0</v>
      </c>
      <c r="Q204" s="295">
        <v>0</v>
      </c>
      <c r="R204" s="295">
        <v>0</v>
      </c>
      <c r="S204" s="296">
        <v>0</v>
      </c>
      <c r="U204" s="298">
        <f t="shared" si="14"/>
        <v>0</v>
      </c>
      <c r="Z204" s="305">
        <v>0</v>
      </c>
      <c r="AB204" s="305">
        <f t="shared" si="15"/>
        <v>0</v>
      </c>
    </row>
    <row r="205" spans="3:28" ht="18" customHeight="1">
      <c r="C205" s="6">
        <v>1</v>
      </c>
      <c r="D205" s="292" t="s">
        <v>1060</v>
      </c>
      <c r="E205" s="293" t="s">
        <v>1060</v>
      </c>
      <c r="F205" s="294"/>
      <c r="G205" s="293" t="s">
        <v>1061</v>
      </c>
      <c r="H205" s="370">
        <v>0</v>
      </c>
      <c r="I205" s="295">
        <v>0</v>
      </c>
      <c r="J205" s="295">
        <v>0</v>
      </c>
      <c r="K205" s="295">
        <v>0</v>
      </c>
      <c r="L205" s="296">
        <f t="shared" si="13"/>
        <v>0</v>
      </c>
      <c r="N205" s="297">
        <v>0</v>
      </c>
      <c r="O205" s="295">
        <v>0</v>
      </c>
      <c r="P205" s="295">
        <v>0</v>
      </c>
      <c r="Q205" s="295">
        <v>0</v>
      </c>
      <c r="R205" s="295">
        <v>0</v>
      </c>
      <c r="S205" s="296">
        <v>0</v>
      </c>
      <c r="U205" s="298">
        <f t="shared" si="14"/>
        <v>0</v>
      </c>
      <c r="Z205" s="305">
        <v>0</v>
      </c>
      <c r="AB205" s="305">
        <f t="shared" si="15"/>
        <v>0</v>
      </c>
    </row>
    <row r="206" spans="3:28" ht="18" customHeight="1">
      <c r="C206" s="6">
        <v>1</v>
      </c>
      <c r="D206" s="292" t="s">
        <v>1062</v>
      </c>
      <c r="E206" s="293" t="s">
        <v>1062</v>
      </c>
      <c r="F206" s="294"/>
      <c r="G206" s="293" t="s">
        <v>1063</v>
      </c>
      <c r="H206" s="370">
        <v>0</v>
      </c>
      <c r="I206" s="295">
        <v>0</v>
      </c>
      <c r="J206" s="295">
        <v>0</v>
      </c>
      <c r="K206" s="295">
        <v>0</v>
      </c>
      <c r="L206" s="296">
        <f t="shared" si="13"/>
        <v>0</v>
      </c>
      <c r="N206" s="297">
        <v>0</v>
      </c>
      <c r="O206" s="295">
        <v>0</v>
      </c>
      <c r="P206" s="295">
        <v>0</v>
      </c>
      <c r="Q206" s="295">
        <v>0</v>
      </c>
      <c r="R206" s="295">
        <v>0</v>
      </c>
      <c r="S206" s="296">
        <v>0</v>
      </c>
      <c r="U206" s="298">
        <f t="shared" si="14"/>
        <v>0</v>
      </c>
      <c r="Z206" s="305">
        <v>0</v>
      </c>
      <c r="AB206" s="305">
        <f t="shared" si="15"/>
        <v>0</v>
      </c>
    </row>
    <row r="207" spans="3:28" ht="18" customHeight="1">
      <c r="C207" s="6">
        <v>1</v>
      </c>
      <c r="D207" s="292" t="s">
        <v>1064</v>
      </c>
      <c r="E207" s="293" t="s">
        <v>1064</v>
      </c>
      <c r="F207" s="294"/>
      <c r="G207" s="293" t="s">
        <v>1065</v>
      </c>
      <c r="H207" s="370">
        <v>0</v>
      </c>
      <c r="I207" s="295">
        <v>0</v>
      </c>
      <c r="J207" s="295">
        <v>0</v>
      </c>
      <c r="K207" s="295">
        <v>0</v>
      </c>
      <c r="L207" s="296">
        <f t="shared" si="13"/>
        <v>0</v>
      </c>
      <c r="N207" s="297">
        <v>0</v>
      </c>
      <c r="O207" s="295">
        <v>0</v>
      </c>
      <c r="P207" s="295">
        <v>0</v>
      </c>
      <c r="Q207" s="295">
        <v>0</v>
      </c>
      <c r="R207" s="295">
        <v>0</v>
      </c>
      <c r="S207" s="296">
        <v>0</v>
      </c>
      <c r="U207" s="298">
        <f t="shared" si="14"/>
        <v>0</v>
      </c>
      <c r="Z207" s="305">
        <v>0</v>
      </c>
      <c r="AB207" s="305">
        <f t="shared" si="15"/>
        <v>0</v>
      </c>
    </row>
    <row r="208" spans="3:28" ht="18" customHeight="1">
      <c r="C208" s="6">
        <v>1</v>
      </c>
      <c r="D208" s="292" t="s">
        <v>1066</v>
      </c>
      <c r="E208" s="293" t="s">
        <v>1066</v>
      </c>
      <c r="F208" s="294"/>
      <c r="G208" s="293" t="s">
        <v>1067</v>
      </c>
      <c r="H208" s="370">
        <v>0</v>
      </c>
      <c r="I208" s="295">
        <v>0</v>
      </c>
      <c r="J208" s="295">
        <v>0</v>
      </c>
      <c r="K208" s="295">
        <v>0</v>
      </c>
      <c r="L208" s="296">
        <f t="shared" si="13"/>
        <v>0</v>
      </c>
      <c r="N208" s="297">
        <v>0</v>
      </c>
      <c r="O208" s="295">
        <v>0</v>
      </c>
      <c r="P208" s="295">
        <v>0</v>
      </c>
      <c r="Q208" s="295">
        <v>0</v>
      </c>
      <c r="R208" s="295">
        <v>0</v>
      </c>
      <c r="S208" s="296">
        <v>0</v>
      </c>
      <c r="U208" s="298">
        <f t="shared" si="14"/>
        <v>0</v>
      </c>
      <c r="Z208" s="305">
        <v>0</v>
      </c>
      <c r="AB208" s="305">
        <f t="shared" si="15"/>
        <v>0</v>
      </c>
    </row>
    <row r="209" spans="3:28" ht="18" customHeight="1">
      <c r="C209" s="6">
        <v>1</v>
      </c>
      <c r="D209" s="292" t="s">
        <v>1068</v>
      </c>
      <c r="E209" s="293" t="s">
        <v>1068</v>
      </c>
      <c r="F209" s="294"/>
      <c r="G209" s="293" t="s">
        <v>1069</v>
      </c>
      <c r="H209" s="370">
        <v>0</v>
      </c>
      <c r="I209" s="295">
        <v>0</v>
      </c>
      <c r="J209" s="295">
        <v>0</v>
      </c>
      <c r="K209" s="295">
        <v>0</v>
      </c>
      <c r="L209" s="296">
        <f t="shared" si="13"/>
        <v>0</v>
      </c>
      <c r="N209" s="297">
        <v>0</v>
      </c>
      <c r="O209" s="295">
        <v>0</v>
      </c>
      <c r="P209" s="295">
        <v>0</v>
      </c>
      <c r="Q209" s="295">
        <v>0</v>
      </c>
      <c r="R209" s="295">
        <v>0</v>
      </c>
      <c r="S209" s="296">
        <v>0</v>
      </c>
      <c r="U209" s="298">
        <f t="shared" si="14"/>
        <v>0</v>
      </c>
      <c r="Z209" s="305">
        <v>0</v>
      </c>
      <c r="AB209" s="305">
        <f t="shared" si="15"/>
        <v>0</v>
      </c>
    </row>
    <row r="210" spans="3:28" ht="18" customHeight="1">
      <c r="C210" s="6">
        <v>1</v>
      </c>
      <c r="D210" s="292" t="s">
        <v>1070</v>
      </c>
      <c r="E210" s="293" t="s">
        <v>1070</v>
      </c>
      <c r="F210" s="294"/>
      <c r="G210" s="293" t="s">
        <v>1071</v>
      </c>
      <c r="H210" s="370">
        <v>0</v>
      </c>
      <c r="I210" s="295">
        <v>0</v>
      </c>
      <c r="J210" s="295">
        <v>0</v>
      </c>
      <c r="K210" s="295">
        <v>0</v>
      </c>
      <c r="L210" s="296">
        <f t="shared" si="13"/>
        <v>0</v>
      </c>
      <c r="N210" s="297">
        <v>0</v>
      </c>
      <c r="O210" s="295">
        <v>0</v>
      </c>
      <c r="P210" s="295">
        <v>0</v>
      </c>
      <c r="Q210" s="295">
        <v>0</v>
      </c>
      <c r="R210" s="295">
        <v>0</v>
      </c>
      <c r="S210" s="296">
        <v>0</v>
      </c>
      <c r="U210" s="298">
        <f t="shared" si="14"/>
        <v>0</v>
      </c>
      <c r="Z210" s="305">
        <v>0</v>
      </c>
      <c r="AB210" s="305">
        <f t="shared" si="15"/>
        <v>0</v>
      </c>
    </row>
    <row r="211" spans="3:28" ht="18" customHeight="1">
      <c r="C211" s="6">
        <v>1</v>
      </c>
      <c r="D211" s="292" t="s">
        <v>1072</v>
      </c>
      <c r="E211" s="293" t="s">
        <v>1072</v>
      </c>
      <c r="F211" s="294"/>
      <c r="G211" s="293" t="s">
        <v>1073</v>
      </c>
      <c r="H211" s="370">
        <v>0</v>
      </c>
      <c r="I211" s="295">
        <v>0</v>
      </c>
      <c r="J211" s="295">
        <v>0</v>
      </c>
      <c r="K211" s="295">
        <v>0</v>
      </c>
      <c r="L211" s="296">
        <f t="shared" si="13"/>
        <v>0</v>
      </c>
      <c r="N211" s="297">
        <v>0</v>
      </c>
      <c r="O211" s="295">
        <v>0</v>
      </c>
      <c r="P211" s="295">
        <v>0</v>
      </c>
      <c r="Q211" s="295">
        <v>0</v>
      </c>
      <c r="R211" s="295">
        <v>0</v>
      </c>
      <c r="S211" s="296">
        <v>0</v>
      </c>
      <c r="U211" s="298">
        <f t="shared" si="14"/>
        <v>0</v>
      </c>
      <c r="Z211" s="305">
        <v>0</v>
      </c>
      <c r="AB211" s="305">
        <f t="shared" si="15"/>
        <v>0</v>
      </c>
    </row>
    <row r="212" spans="3:28" ht="18" customHeight="1">
      <c r="C212" s="6">
        <v>1</v>
      </c>
      <c r="D212" s="292" t="s">
        <v>1074</v>
      </c>
      <c r="E212" s="293" t="s">
        <v>1380</v>
      </c>
      <c r="F212" s="294" t="s">
        <v>1434</v>
      </c>
      <c r="G212" s="293" t="s">
        <v>1377</v>
      </c>
      <c r="H212" s="370">
        <v>0</v>
      </c>
      <c r="I212" s="295">
        <v>0</v>
      </c>
      <c r="J212" s="295">
        <v>0</v>
      </c>
      <c r="K212" s="295">
        <v>0</v>
      </c>
      <c r="L212" s="296">
        <f t="shared" si="13"/>
        <v>0</v>
      </c>
      <c r="N212" s="297">
        <v>0</v>
      </c>
      <c r="O212" s="295">
        <v>0</v>
      </c>
      <c r="P212" s="295">
        <v>0</v>
      </c>
      <c r="Q212" s="295">
        <v>0</v>
      </c>
      <c r="R212" s="295">
        <v>0</v>
      </c>
      <c r="S212" s="296">
        <v>0</v>
      </c>
      <c r="U212" s="298">
        <f t="shared" si="14"/>
        <v>0</v>
      </c>
      <c r="Z212" s="305"/>
      <c r="AB212" s="305">
        <f t="shared" si="15"/>
        <v>0</v>
      </c>
    </row>
    <row r="213" spans="3:28" ht="18" customHeight="1">
      <c r="C213" s="6">
        <v>1</v>
      </c>
      <c r="D213" s="292" t="s">
        <v>1074</v>
      </c>
      <c r="E213" s="293" t="s">
        <v>1381</v>
      </c>
      <c r="F213" s="294" t="s">
        <v>1434</v>
      </c>
      <c r="G213" s="293" t="s">
        <v>1378</v>
      </c>
      <c r="H213" s="370">
        <v>7250000</v>
      </c>
      <c r="I213" s="295">
        <v>0</v>
      </c>
      <c r="J213" s="295">
        <v>0</v>
      </c>
      <c r="K213" s="295">
        <v>0</v>
      </c>
      <c r="L213" s="296">
        <f t="shared" si="13"/>
        <v>7250000</v>
      </c>
      <c r="N213" s="297">
        <v>0</v>
      </c>
      <c r="O213" s="295">
        <v>0</v>
      </c>
      <c r="P213" s="295">
        <v>0</v>
      </c>
      <c r="Q213" s="295">
        <v>0</v>
      </c>
      <c r="R213" s="295">
        <v>0</v>
      </c>
      <c r="S213" s="296">
        <v>0</v>
      </c>
      <c r="U213" s="298">
        <f t="shared" si="14"/>
        <v>7250000</v>
      </c>
      <c r="Z213" s="305">
        <v>7250000</v>
      </c>
      <c r="AB213" s="305">
        <f t="shared" si="15"/>
        <v>0</v>
      </c>
    </row>
    <row r="214" spans="3:28" ht="18" customHeight="1">
      <c r="C214" s="6">
        <v>1</v>
      </c>
      <c r="D214" s="292" t="s">
        <v>1074</v>
      </c>
      <c r="E214" s="293" t="s">
        <v>1382</v>
      </c>
      <c r="F214" s="294" t="s">
        <v>1434</v>
      </c>
      <c r="G214" s="293" t="s">
        <v>1379</v>
      </c>
      <c r="H214" s="370">
        <v>0</v>
      </c>
      <c r="I214" s="295">
        <v>0</v>
      </c>
      <c r="J214" s="295">
        <v>0</v>
      </c>
      <c r="K214" s="295">
        <v>0</v>
      </c>
      <c r="L214" s="296">
        <f t="shared" si="13"/>
        <v>0</v>
      </c>
      <c r="N214" s="297">
        <v>0</v>
      </c>
      <c r="O214" s="295">
        <v>0</v>
      </c>
      <c r="P214" s="295">
        <v>0</v>
      </c>
      <c r="Q214" s="295">
        <v>0</v>
      </c>
      <c r="R214" s="295">
        <v>0</v>
      </c>
      <c r="S214" s="296">
        <v>0</v>
      </c>
      <c r="U214" s="298">
        <f t="shared" si="14"/>
        <v>0</v>
      </c>
      <c r="Z214" s="305"/>
      <c r="AB214" s="305">
        <f t="shared" si="15"/>
        <v>0</v>
      </c>
    </row>
    <row r="215" spans="3:28" ht="18" customHeight="1">
      <c r="C215" s="6">
        <v>1</v>
      </c>
      <c r="D215" s="292" t="s">
        <v>1075</v>
      </c>
      <c r="E215" s="293" t="s">
        <v>1075</v>
      </c>
      <c r="F215" s="294"/>
      <c r="G215" s="293" t="s">
        <v>1076</v>
      </c>
      <c r="H215" s="370">
        <v>0</v>
      </c>
      <c r="I215" s="295">
        <v>0</v>
      </c>
      <c r="J215" s="295">
        <v>0</v>
      </c>
      <c r="K215" s="295">
        <v>0</v>
      </c>
      <c r="L215" s="296">
        <f t="shared" ref="L215:L240" si="16">SUM(H215:K215)</f>
        <v>0</v>
      </c>
      <c r="N215" s="297">
        <v>0</v>
      </c>
      <c r="O215" s="295">
        <v>0</v>
      </c>
      <c r="P215" s="295">
        <v>0</v>
      </c>
      <c r="Q215" s="295">
        <v>0</v>
      </c>
      <c r="R215" s="295">
        <v>0</v>
      </c>
      <c r="S215" s="296">
        <v>0</v>
      </c>
      <c r="U215" s="298">
        <f t="shared" si="14"/>
        <v>0</v>
      </c>
      <c r="Z215" s="305">
        <v>0</v>
      </c>
      <c r="AB215" s="305">
        <f t="shared" si="15"/>
        <v>0</v>
      </c>
    </row>
    <row r="216" spans="3:28" ht="18" customHeight="1">
      <c r="C216" s="6">
        <v>1</v>
      </c>
      <c r="D216" s="292" t="s">
        <v>1077</v>
      </c>
      <c r="E216" s="293" t="s">
        <v>1077</v>
      </c>
      <c r="F216" s="294"/>
      <c r="G216" s="293" t="s">
        <v>1078</v>
      </c>
      <c r="H216" s="370">
        <v>0</v>
      </c>
      <c r="I216" s="295">
        <v>0</v>
      </c>
      <c r="J216" s="295">
        <v>0</v>
      </c>
      <c r="K216" s="295">
        <v>0</v>
      </c>
      <c r="L216" s="296">
        <f t="shared" si="16"/>
        <v>0</v>
      </c>
      <c r="N216" s="297">
        <v>0</v>
      </c>
      <c r="O216" s="295">
        <v>0</v>
      </c>
      <c r="P216" s="295">
        <v>0</v>
      </c>
      <c r="Q216" s="295">
        <v>0</v>
      </c>
      <c r="R216" s="295">
        <v>0</v>
      </c>
      <c r="S216" s="296">
        <v>0</v>
      </c>
      <c r="U216" s="298">
        <f t="shared" si="14"/>
        <v>0</v>
      </c>
      <c r="Z216" s="305">
        <v>0</v>
      </c>
      <c r="AB216" s="305">
        <f t="shared" si="15"/>
        <v>0</v>
      </c>
    </row>
    <row r="217" spans="3:28" ht="18" customHeight="1">
      <c r="C217" s="6">
        <v>1</v>
      </c>
      <c r="D217" s="292" t="s">
        <v>1079</v>
      </c>
      <c r="E217" s="293" t="s">
        <v>1079</v>
      </c>
      <c r="F217" s="294"/>
      <c r="G217" s="293" t="s">
        <v>1080</v>
      </c>
      <c r="H217" s="370">
        <v>0</v>
      </c>
      <c r="I217" s="295">
        <v>0</v>
      </c>
      <c r="J217" s="295">
        <v>0</v>
      </c>
      <c r="K217" s="295">
        <v>0</v>
      </c>
      <c r="L217" s="296">
        <f t="shared" si="16"/>
        <v>0</v>
      </c>
      <c r="N217" s="297">
        <v>0</v>
      </c>
      <c r="O217" s="295">
        <v>0</v>
      </c>
      <c r="P217" s="295">
        <v>0</v>
      </c>
      <c r="Q217" s="295">
        <v>0</v>
      </c>
      <c r="R217" s="295">
        <v>0</v>
      </c>
      <c r="S217" s="296">
        <v>0</v>
      </c>
      <c r="U217" s="298">
        <f t="shared" si="14"/>
        <v>0</v>
      </c>
      <c r="Z217" s="305">
        <v>0</v>
      </c>
      <c r="AB217" s="305">
        <f t="shared" si="15"/>
        <v>0</v>
      </c>
    </row>
    <row r="218" spans="3:28" ht="18" customHeight="1">
      <c r="C218" s="6">
        <v>1</v>
      </c>
      <c r="D218" s="292" t="s">
        <v>1081</v>
      </c>
      <c r="E218" s="293" t="s">
        <v>1081</v>
      </c>
      <c r="F218" s="294" t="s">
        <v>1434</v>
      </c>
      <c r="G218" s="293" t="s">
        <v>1082</v>
      </c>
      <c r="H218" s="370">
        <v>0</v>
      </c>
      <c r="I218" s="295">
        <v>0</v>
      </c>
      <c r="J218" s="295">
        <v>0</v>
      </c>
      <c r="K218" s="295">
        <v>0</v>
      </c>
      <c r="L218" s="296">
        <f t="shared" si="16"/>
        <v>0</v>
      </c>
      <c r="N218" s="297">
        <v>0</v>
      </c>
      <c r="O218" s="295">
        <v>0</v>
      </c>
      <c r="P218" s="295">
        <v>0</v>
      </c>
      <c r="Q218" s="295">
        <v>0</v>
      </c>
      <c r="R218" s="295">
        <v>0</v>
      </c>
      <c r="S218" s="296">
        <v>0</v>
      </c>
      <c r="U218" s="298">
        <f t="shared" si="14"/>
        <v>0</v>
      </c>
      <c r="Z218" s="305">
        <v>0</v>
      </c>
      <c r="AB218" s="305">
        <f t="shared" si="15"/>
        <v>0</v>
      </c>
    </row>
    <row r="219" spans="3:28" ht="18" customHeight="1">
      <c r="C219" s="6">
        <v>1</v>
      </c>
      <c r="D219" s="292" t="s">
        <v>1083</v>
      </c>
      <c r="E219" s="293" t="s">
        <v>1083</v>
      </c>
      <c r="F219" s="294"/>
      <c r="G219" s="293" t="s">
        <v>1084</v>
      </c>
      <c r="H219" s="370">
        <v>0</v>
      </c>
      <c r="I219" s="295">
        <v>0</v>
      </c>
      <c r="J219" s="295">
        <v>0</v>
      </c>
      <c r="K219" s="295">
        <v>0</v>
      </c>
      <c r="L219" s="296">
        <f t="shared" si="16"/>
        <v>0</v>
      </c>
      <c r="N219" s="297">
        <v>0</v>
      </c>
      <c r="O219" s="295">
        <v>0</v>
      </c>
      <c r="P219" s="295">
        <v>0</v>
      </c>
      <c r="Q219" s="295">
        <v>0</v>
      </c>
      <c r="R219" s="295">
        <v>0</v>
      </c>
      <c r="S219" s="296">
        <v>0</v>
      </c>
      <c r="U219" s="298">
        <f t="shared" si="14"/>
        <v>0</v>
      </c>
      <c r="Z219" s="305">
        <v>0</v>
      </c>
      <c r="AB219" s="305">
        <f t="shared" si="15"/>
        <v>0</v>
      </c>
    </row>
    <row r="220" spans="3:28" ht="18" customHeight="1">
      <c r="C220" s="6">
        <v>1</v>
      </c>
      <c r="D220" s="292" t="s">
        <v>1085</v>
      </c>
      <c r="E220" s="293" t="s">
        <v>1085</v>
      </c>
      <c r="F220" s="294"/>
      <c r="G220" s="293" t="s">
        <v>1086</v>
      </c>
      <c r="H220" s="370">
        <v>0</v>
      </c>
      <c r="I220" s="295">
        <v>0</v>
      </c>
      <c r="J220" s="295">
        <v>0</v>
      </c>
      <c r="K220" s="295">
        <v>0</v>
      </c>
      <c r="L220" s="296">
        <f t="shared" si="16"/>
        <v>0</v>
      </c>
      <c r="N220" s="297">
        <v>0</v>
      </c>
      <c r="O220" s="295">
        <v>0</v>
      </c>
      <c r="P220" s="295">
        <v>0</v>
      </c>
      <c r="Q220" s="295">
        <v>0</v>
      </c>
      <c r="R220" s="295">
        <v>0</v>
      </c>
      <c r="S220" s="296">
        <v>0</v>
      </c>
      <c r="U220" s="298">
        <f t="shared" si="14"/>
        <v>0</v>
      </c>
      <c r="Z220" s="305">
        <v>0</v>
      </c>
      <c r="AB220" s="305">
        <f t="shared" si="15"/>
        <v>0</v>
      </c>
    </row>
    <row r="221" spans="3:28" ht="18" customHeight="1">
      <c r="C221" s="6">
        <v>1</v>
      </c>
      <c r="D221" s="292" t="s">
        <v>1087</v>
      </c>
      <c r="E221" s="293" t="s">
        <v>1087</v>
      </c>
      <c r="F221" s="294" t="s">
        <v>1435</v>
      </c>
      <c r="G221" s="293" t="s">
        <v>1088</v>
      </c>
      <c r="H221" s="370">
        <v>0</v>
      </c>
      <c r="I221" s="295">
        <v>0</v>
      </c>
      <c r="J221" s="295">
        <v>0</v>
      </c>
      <c r="K221" s="295">
        <v>0</v>
      </c>
      <c r="L221" s="296">
        <f t="shared" si="16"/>
        <v>0</v>
      </c>
      <c r="N221" s="297">
        <v>0</v>
      </c>
      <c r="O221" s="295">
        <v>0</v>
      </c>
      <c r="P221" s="295">
        <v>0</v>
      </c>
      <c r="Q221" s="295">
        <v>0</v>
      </c>
      <c r="R221" s="295">
        <v>0</v>
      </c>
      <c r="S221" s="296">
        <v>0</v>
      </c>
      <c r="U221" s="298">
        <f t="shared" si="14"/>
        <v>0</v>
      </c>
      <c r="Z221" s="305">
        <v>0</v>
      </c>
      <c r="AB221" s="305">
        <f t="shared" si="15"/>
        <v>0</v>
      </c>
    </row>
    <row r="222" spans="3:28" ht="18" customHeight="1">
      <c r="C222" s="6">
        <v>1</v>
      </c>
      <c r="D222" s="292" t="s">
        <v>1089</v>
      </c>
      <c r="E222" s="293" t="s">
        <v>1089</v>
      </c>
      <c r="F222" s="294"/>
      <c r="G222" s="293" t="s">
        <v>1090</v>
      </c>
      <c r="H222" s="370">
        <v>0</v>
      </c>
      <c r="I222" s="295">
        <v>0</v>
      </c>
      <c r="J222" s="295">
        <v>0</v>
      </c>
      <c r="K222" s="295">
        <v>0</v>
      </c>
      <c r="L222" s="296">
        <f t="shared" si="16"/>
        <v>0</v>
      </c>
      <c r="N222" s="297">
        <v>0</v>
      </c>
      <c r="O222" s="295">
        <v>0</v>
      </c>
      <c r="P222" s="295">
        <v>0</v>
      </c>
      <c r="Q222" s="295">
        <v>0</v>
      </c>
      <c r="R222" s="295">
        <v>0</v>
      </c>
      <c r="S222" s="296">
        <v>0</v>
      </c>
      <c r="U222" s="298">
        <f t="shared" si="14"/>
        <v>0</v>
      </c>
      <c r="Z222" s="305">
        <v>0</v>
      </c>
      <c r="AB222" s="305">
        <f t="shared" si="15"/>
        <v>0</v>
      </c>
    </row>
    <row r="223" spans="3:28" ht="18" customHeight="1">
      <c r="C223" s="6">
        <v>1</v>
      </c>
      <c r="D223" s="292" t="s">
        <v>1091</v>
      </c>
      <c r="E223" s="293" t="s">
        <v>1091</v>
      </c>
      <c r="F223" s="294"/>
      <c r="G223" s="293" t="s">
        <v>1092</v>
      </c>
      <c r="H223" s="370">
        <v>0</v>
      </c>
      <c r="I223" s="295">
        <v>0</v>
      </c>
      <c r="J223" s="295">
        <v>0</v>
      </c>
      <c r="K223" s="295">
        <v>0</v>
      </c>
      <c r="L223" s="296">
        <f t="shared" si="16"/>
        <v>0</v>
      </c>
      <c r="N223" s="297">
        <v>0</v>
      </c>
      <c r="O223" s="295">
        <v>0</v>
      </c>
      <c r="P223" s="295">
        <v>0</v>
      </c>
      <c r="Q223" s="295">
        <v>0</v>
      </c>
      <c r="R223" s="295">
        <v>0</v>
      </c>
      <c r="S223" s="296">
        <v>0</v>
      </c>
      <c r="U223" s="298">
        <f t="shared" si="14"/>
        <v>0</v>
      </c>
      <c r="Z223" s="305">
        <v>0</v>
      </c>
      <c r="AB223" s="305">
        <f t="shared" si="15"/>
        <v>0</v>
      </c>
    </row>
    <row r="224" spans="3:28" ht="18" customHeight="1">
      <c r="C224" s="6">
        <v>1</v>
      </c>
      <c r="D224" s="292" t="s">
        <v>1093</v>
      </c>
      <c r="E224" s="293" t="s">
        <v>1093</v>
      </c>
      <c r="F224" s="294"/>
      <c r="G224" s="293" t="s">
        <v>1094</v>
      </c>
      <c r="H224" s="370">
        <v>0</v>
      </c>
      <c r="I224" s="295">
        <v>0</v>
      </c>
      <c r="J224" s="295">
        <v>0</v>
      </c>
      <c r="K224" s="295">
        <v>0</v>
      </c>
      <c r="L224" s="296">
        <f t="shared" si="16"/>
        <v>0</v>
      </c>
      <c r="N224" s="297">
        <v>0</v>
      </c>
      <c r="O224" s="295">
        <v>0</v>
      </c>
      <c r="P224" s="295">
        <v>0</v>
      </c>
      <c r="Q224" s="295">
        <v>0</v>
      </c>
      <c r="R224" s="295">
        <v>0</v>
      </c>
      <c r="S224" s="296">
        <v>0</v>
      </c>
      <c r="U224" s="298">
        <f t="shared" si="14"/>
        <v>0</v>
      </c>
      <c r="Z224" s="305">
        <v>0</v>
      </c>
      <c r="AB224" s="305">
        <f t="shared" si="15"/>
        <v>0</v>
      </c>
    </row>
    <row r="225" spans="3:28" ht="18" customHeight="1">
      <c r="C225" s="6">
        <v>1</v>
      </c>
      <c r="D225" s="292" t="s">
        <v>1095</v>
      </c>
      <c r="E225" s="293" t="s">
        <v>1384</v>
      </c>
      <c r="F225" s="294"/>
      <c r="G225" s="293" t="s">
        <v>1383</v>
      </c>
      <c r="H225" s="370">
        <v>0</v>
      </c>
      <c r="I225" s="295">
        <v>0</v>
      </c>
      <c r="J225" s="295">
        <v>0</v>
      </c>
      <c r="K225" s="295">
        <v>0</v>
      </c>
      <c r="L225" s="296">
        <f t="shared" si="16"/>
        <v>0</v>
      </c>
      <c r="N225" s="297">
        <v>0</v>
      </c>
      <c r="O225" s="295">
        <v>0</v>
      </c>
      <c r="P225" s="295">
        <v>0</v>
      </c>
      <c r="Q225" s="295">
        <v>0</v>
      </c>
      <c r="R225" s="295">
        <v>0</v>
      </c>
      <c r="S225" s="296">
        <v>0</v>
      </c>
      <c r="U225" s="298">
        <f t="shared" si="14"/>
        <v>0</v>
      </c>
      <c r="Z225" s="305">
        <v>0</v>
      </c>
      <c r="AB225" s="305">
        <f t="shared" si="15"/>
        <v>0</v>
      </c>
    </row>
    <row r="226" spans="3:28" ht="18" customHeight="1">
      <c r="C226" s="6">
        <v>1</v>
      </c>
      <c r="D226" s="292" t="s">
        <v>1095</v>
      </c>
      <c r="E226" s="293" t="s">
        <v>1385</v>
      </c>
      <c r="F226" s="294"/>
      <c r="G226" s="293" t="s">
        <v>1096</v>
      </c>
      <c r="H226" s="370">
        <v>0</v>
      </c>
      <c r="I226" s="295">
        <v>0</v>
      </c>
      <c r="J226" s="295">
        <v>0</v>
      </c>
      <c r="K226" s="295">
        <v>0</v>
      </c>
      <c r="L226" s="296">
        <f t="shared" si="16"/>
        <v>0</v>
      </c>
      <c r="N226" s="297">
        <v>0</v>
      </c>
      <c r="O226" s="295">
        <v>0</v>
      </c>
      <c r="P226" s="295">
        <v>0</v>
      </c>
      <c r="Q226" s="295">
        <v>0</v>
      </c>
      <c r="R226" s="295">
        <v>0</v>
      </c>
      <c r="S226" s="296">
        <v>0</v>
      </c>
      <c r="U226" s="298">
        <f t="shared" si="14"/>
        <v>0</v>
      </c>
      <c r="Z226" s="305">
        <v>0</v>
      </c>
      <c r="AB226" s="305">
        <f t="shared" si="15"/>
        <v>0</v>
      </c>
    </row>
    <row r="227" spans="3:28" ht="18" customHeight="1">
      <c r="C227" s="6">
        <v>1</v>
      </c>
      <c r="D227" s="292" t="s">
        <v>1097</v>
      </c>
      <c r="E227" s="293" t="s">
        <v>1097</v>
      </c>
      <c r="F227" s="294"/>
      <c r="G227" s="293" t="s">
        <v>1098</v>
      </c>
      <c r="H227" s="370">
        <v>0</v>
      </c>
      <c r="I227" s="295">
        <v>0</v>
      </c>
      <c r="J227" s="295">
        <v>0</v>
      </c>
      <c r="K227" s="295">
        <v>0</v>
      </c>
      <c r="L227" s="296">
        <f t="shared" si="16"/>
        <v>0</v>
      </c>
      <c r="N227" s="297">
        <v>0</v>
      </c>
      <c r="O227" s="295">
        <v>0</v>
      </c>
      <c r="P227" s="295">
        <v>0</v>
      </c>
      <c r="Q227" s="295">
        <v>0</v>
      </c>
      <c r="R227" s="295">
        <v>0</v>
      </c>
      <c r="S227" s="296">
        <v>0</v>
      </c>
      <c r="U227" s="298">
        <f t="shared" si="14"/>
        <v>0</v>
      </c>
      <c r="Z227" s="305">
        <v>0</v>
      </c>
      <c r="AB227" s="305">
        <f t="shared" si="15"/>
        <v>0</v>
      </c>
    </row>
    <row r="228" spans="3:28" ht="18" customHeight="1">
      <c r="C228" s="6">
        <v>1</v>
      </c>
      <c r="D228" s="292" t="s">
        <v>1099</v>
      </c>
      <c r="E228" s="293" t="s">
        <v>1099</v>
      </c>
      <c r="F228" s="294"/>
      <c r="G228" s="293" t="s">
        <v>1100</v>
      </c>
      <c r="H228" s="370">
        <v>0</v>
      </c>
      <c r="I228" s="295">
        <v>0</v>
      </c>
      <c r="J228" s="295">
        <v>0</v>
      </c>
      <c r="K228" s="295">
        <v>0</v>
      </c>
      <c r="L228" s="296">
        <f t="shared" si="16"/>
        <v>0</v>
      </c>
      <c r="N228" s="297">
        <v>0</v>
      </c>
      <c r="O228" s="295">
        <v>0</v>
      </c>
      <c r="P228" s="295">
        <v>0</v>
      </c>
      <c r="Q228" s="295">
        <v>0</v>
      </c>
      <c r="R228" s="295">
        <v>0</v>
      </c>
      <c r="S228" s="296">
        <v>0</v>
      </c>
      <c r="U228" s="298">
        <f t="shared" si="14"/>
        <v>0</v>
      </c>
      <c r="Z228" s="305">
        <v>0</v>
      </c>
      <c r="AB228" s="305">
        <f t="shared" si="15"/>
        <v>0</v>
      </c>
    </row>
    <row r="229" spans="3:28" ht="18" customHeight="1">
      <c r="C229" s="6">
        <v>1</v>
      </c>
      <c r="D229" s="292" t="s">
        <v>1101</v>
      </c>
      <c r="E229" s="293" t="s">
        <v>1101</v>
      </c>
      <c r="F229" s="294"/>
      <c r="G229" s="293" t="s">
        <v>1102</v>
      </c>
      <c r="H229" s="370">
        <v>0</v>
      </c>
      <c r="I229" s="295">
        <v>0</v>
      </c>
      <c r="J229" s="295">
        <v>0</v>
      </c>
      <c r="K229" s="295">
        <v>0</v>
      </c>
      <c r="L229" s="296">
        <f t="shared" si="16"/>
        <v>0</v>
      </c>
      <c r="N229" s="297">
        <v>0</v>
      </c>
      <c r="O229" s="295">
        <v>0</v>
      </c>
      <c r="P229" s="295">
        <v>0</v>
      </c>
      <c r="Q229" s="295">
        <v>0</v>
      </c>
      <c r="R229" s="295">
        <v>0</v>
      </c>
      <c r="S229" s="296">
        <v>0</v>
      </c>
      <c r="U229" s="298">
        <f t="shared" si="14"/>
        <v>0</v>
      </c>
      <c r="Z229" s="305">
        <v>0</v>
      </c>
      <c r="AB229" s="305">
        <f t="shared" si="15"/>
        <v>0</v>
      </c>
    </row>
    <row r="230" spans="3:28" ht="18" customHeight="1">
      <c r="C230" s="6">
        <v>1</v>
      </c>
      <c r="D230" s="292" t="s">
        <v>1103</v>
      </c>
      <c r="E230" s="293" t="s">
        <v>1103</v>
      </c>
      <c r="F230" s="294"/>
      <c r="G230" s="293" t="s">
        <v>1104</v>
      </c>
      <c r="H230" s="370">
        <v>0</v>
      </c>
      <c r="I230" s="295">
        <v>0</v>
      </c>
      <c r="J230" s="295">
        <v>0</v>
      </c>
      <c r="K230" s="295">
        <v>0</v>
      </c>
      <c r="L230" s="296">
        <f t="shared" si="16"/>
        <v>0</v>
      </c>
      <c r="N230" s="297">
        <v>0</v>
      </c>
      <c r="O230" s="295">
        <v>0</v>
      </c>
      <c r="P230" s="295">
        <v>0</v>
      </c>
      <c r="Q230" s="295">
        <v>0</v>
      </c>
      <c r="R230" s="295">
        <v>0</v>
      </c>
      <c r="S230" s="296">
        <v>0</v>
      </c>
      <c r="U230" s="298">
        <f t="shared" si="14"/>
        <v>0</v>
      </c>
      <c r="Z230" s="305">
        <v>0</v>
      </c>
      <c r="AB230" s="305">
        <f t="shared" si="15"/>
        <v>0</v>
      </c>
    </row>
    <row r="231" spans="3:28" ht="18" customHeight="1">
      <c r="C231" s="6">
        <v>1</v>
      </c>
      <c r="D231" s="292" t="s">
        <v>1105</v>
      </c>
      <c r="E231" s="293" t="s">
        <v>1105</v>
      </c>
      <c r="F231" s="294"/>
      <c r="G231" s="293" t="s">
        <v>1106</v>
      </c>
      <c r="H231" s="370">
        <v>0</v>
      </c>
      <c r="I231" s="295">
        <v>0</v>
      </c>
      <c r="J231" s="295">
        <v>0</v>
      </c>
      <c r="K231" s="295">
        <v>0</v>
      </c>
      <c r="L231" s="296">
        <f t="shared" si="16"/>
        <v>0</v>
      </c>
      <c r="N231" s="297">
        <v>0</v>
      </c>
      <c r="O231" s="295">
        <v>0</v>
      </c>
      <c r="P231" s="295">
        <v>0</v>
      </c>
      <c r="Q231" s="295">
        <v>0</v>
      </c>
      <c r="R231" s="295">
        <v>0</v>
      </c>
      <c r="S231" s="296">
        <v>0</v>
      </c>
      <c r="U231" s="298">
        <f t="shared" si="14"/>
        <v>0</v>
      </c>
      <c r="Z231" s="305">
        <v>0</v>
      </c>
      <c r="AB231" s="305">
        <f t="shared" si="15"/>
        <v>0</v>
      </c>
    </row>
    <row r="232" spans="3:28" ht="18" customHeight="1">
      <c r="C232" s="6">
        <v>1</v>
      </c>
      <c r="D232" s="292" t="s">
        <v>1107</v>
      </c>
      <c r="E232" s="293" t="s">
        <v>1107</v>
      </c>
      <c r="F232" s="294"/>
      <c r="G232" s="293" t="s">
        <v>1108</v>
      </c>
      <c r="H232" s="370">
        <v>0</v>
      </c>
      <c r="I232" s="295">
        <v>0</v>
      </c>
      <c r="J232" s="295">
        <v>0</v>
      </c>
      <c r="K232" s="295">
        <v>0</v>
      </c>
      <c r="L232" s="296">
        <f t="shared" si="16"/>
        <v>0</v>
      </c>
      <c r="N232" s="297">
        <v>0</v>
      </c>
      <c r="O232" s="295">
        <v>0</v>
      </c>
      <c r="P232" s="295">
        <v>0</v>
      </c>
      <c r="Q232" s="295">
        <v>0</v>
      </c>
      <c r="R232" s="295">
        <v>0</v>
      </c>
      <c r="S232" s="296">
        <v>0</v>
      </c>
      <c r="U232" s="298">
        <f t="shared" si="14"/>
        <v>0</v>
      </c>
      <c r="Z232" s="305">
        <v>0</v>
      </c>
      <c r="AB232" s="305">
        <f t="shared" si="15"/>
        <v>0</v>
      </c>
    </row>
    <row r="233" spans="3:28" ht="18" customHeight="1">
      <c r="C233" s="6">
        <v>1</v>
      </c>
      <c r="D233" s="292" t="s">
        <v>1109</v>
      </c>
      <c r="E233" s="293" t="s">
        <v>1109</v>
      </c>
      <c r="F233" s="294"/>
      <c r="G233" s="293" t="s">
        <v>1110</v>
      </c>
      <c r="H233" s="370">
        <v>0</v>
      </c>
      <c r="I233" s="295">
        <v>0</v>
      </c>
      <c r="J233" s="295">
        <v>0</v>
      </c>
      <c r="K233" s="295">
        <v>0</v>
      </c>
      <c r="L233" s="296">
        <f t="shared" si="16"/>
        <v>0</v>
      </c>
      <c r="N233" s="297">
        <v>0</v>
      </c>
      <c r="O233" s="295">
        <v>0</v>
      </c>
      <c r="P233" s="295">
        <v>0</v>
      </c>
      <c r="Q233" s="295">
        <v>0</v>
      </c>
      <c r="R233" s="295">
        <v>0</v>
      </c>
      <c r="S233" s="296">
        <v>0</v>
      </c>
      <c r="U233" s="298">
        <f t="shared" si="14"/>
        <v>0</v>
      </c>
      <c r="Z233" s="305">
        <v>0</v>
      </c>
      <c r="AB233" s="305">
        <f t="shared" si="15"/>
        <v>0</v>
      </c>
    </row>
    <row r="234" spans="3:28" ht="18" customHeight="1">
      <c r="C234" s="6">
        <v>1</v>
      </c>
      <c r="D234" s="292" t="s">
        <v>1111</v>
      </c>
      <c r="E234" s="293" t="s">
        <v>1111</v>
      </c>
      <c r="F234" s="294"/>
      <c r="G234" s="293" t="s">
        <v>1112</v>
      </c>
      <c r="H234" s="370">
        <v>0</v>
      </c>
      <c r="I234" s="295">
        <v>0</v>
      </c>
      <c r="J234" s="295">
        <v>0</v>
      </c>
      <c r="K234" s="295">
        <v>0</v>
      </c>
      <c r="L234" s="296">
        <f t="shared" si="16"/>
        <v>0</v>
      </c>
      <c r="N234" s="297">
        <v>0</v>
      </c>
      <c r="O234" s="295">
        <v>0</v>
      </c>
      <c r="P234" s="295">
        <v>0</v>
      </c>
      <c r="Q234" s="295">
        <v>0</v>
      </c>
      <c r="R234" s="295">
        <v>0</v>
      </c>
      <c r="S234" s="296">
        <v>0</v>
      </c>
      <c r="U234" s="298">
        <f t="shared" si="14"/>
        <v>0</v>
      </c>
      <c r="Z234" s="305">
        <v>0</v>
      </c>
      <c r="AB234" s="305">
        <f t="shared" si="15"/>
        <v>0</v>
      </c>
    </row>
    <row r="235" spans="3:28" ht="18" customHeight="1">
      <c r="C235" s="6">
        <v>1</v>
      </c>
      <c r="D235" s="292" t="s">
        <v>1113</v>
      </c>
      <c r="E235" s="293" t="s">
        <v>1113</v>
      </c>
      <c r="F235" s="294"/>
      <c r="G235" s="293" t="s">
        <v>1114</v>
      </c>
      <c r="H235" s="370">
        <v>0</v>
      </c>
      <c r="I235" s="295">
        <v>0</v>
      </c>
      <c r="J235" s="295">
        <v>0</v>
      </c>
      <c r="K235" s="295">
        <v>0</v>
      </c>
      <c r="L235" s="296">
        <f t="shared" si="16"/>
        <v>0</v>
      </c>
      <c r="N235" s="297">
        <v>0</v>
      </c>
      <c r="O235" s="295">
        <v>0</v>
      </c>
      <c r="P235" s="295">
        <v>0</v>
      </c>
      <c r="Q235" s="295">
        <v>0</v>
      </c>
      <c r="R235" s="295">
        <v>0</v>
      </c>
      <c r="S235" s="296">
        <v>0</v>
      </c>
      <c r="U235" s="298">
        <f t="shared" si="14"/>
        <v>0</v>
      </c>
      <c r="Z235" s="305">
        <v>0</v>
      </c>
      <c r="AB235" s="305">
        <f t="shared" si="15"/>
        <v>0</v>
      </c>
    </row>
    <row r="236" spans="3:28" ht="18" customHeight="1">
      <c r="C236" s="6">
        <v>1</v>
      </c>
      <c r="D236" s="292" t="s">
        <v>1115</v>
      </c>
      <c r="E236" s="293" t="s">
        <v>1115</v>
      </c>
      <c r="F236" s="294"/>
      <c r="G236" s="293" t="s">
        <v>1116</v>
      </c>
      <c r="H236" s="370">
        <v>0</v>
      </c>
      <c r="I236" s="295">
        <v>0</v>
      </c>
      <c r="J236" s="295">
        <v>0</v>
      </c>
      <c r="K236" s="295">
        <v>0</v>
      </c>
      <c r="L236" s="296">
        <f t="shared" si="16"/>
        <v>0</v>
      </c>
      <c r="N236" s="297">
        <v>0</v>
      </c>
      <c r="O236" s="295">
        <v>0</v>
      </c>
      <c r="P236" s="295">
        <v>0</v>
      </c>
      <c r="Q236" s="295">
        <v>0</v>
      </c>
      <c r="R236" s="295">
        <v>0</v>
      </c>
      <c r="S236" s="296">
        <v>0</v>
      </c>
      <c r="U236" s="298">
        <f t="shared" si="14"/>
        <v>0</v>
      </c>
      <c r="Z236" s="305">
        <v>0</v>
      </c>
      <c r="AB236" s="305">
        <f t="shared" si="15"/>
        <v>0</v>
      </c>
    </row>
    <row r="237" spans="3:28" ht="18" customHeight="1">
      <c r="C237" s="6">
        <v>1</v>
      </c>
      <c r="D237" s="292" t="s">
        <v>1117</v>
      </c>
      <c r="E237" s="293" t="s">
        <v>1117</v>
      </c>
      <c r="F237" s="294"/>
      <c r="G237" s="293" t="s">
        <v>1118</v>
      </c>
      <c r="H237" s="370">
        <v>0</v>
      </c>
      <c r="I237" s="295">
        <v>0</v>
      </c>
      <c r="J237" s="295">
        <v>0</v>
      </c>
      <c r="K237" s="295">
        <v>0</v>
      </c>
      <c r="L237" s="296">
        <f t="shared" si="16"/>
        <v>0</v>
      </c>
      <c r="N237" s="297">
        <v>0</v>
      </c>
      <c r="O237" s="295">
        <v>0</v>
      </c>
      <c r="P237" s="295">
        <v>0</v>
      </c>
      <c r="Q237" s="295">
        <v>0</v>
      </c>
      <c r="R237" s="295">
        <v>0</v>
      </c>
      <c r="S237" s="296">
        <v>0</v>
      </c>
      <c r="U237" s="298">
        <f t="shared" si="14"/>
        <v>0</v>
      </c>
      <c r="Z237" s="305">
        <v>0</v>
      </c>
      <c r="AB237" s="305">
        <f t="shared" si="15"/>
        <v>0</v>
      </c>
    </row>
    <row r="238" spans="3:28" ht="18" customHeight="1">
      <c r="C238" s="6">
        <v>1</v>
      </c>
      <c r="D238" s="292" t="s">
        <v>1119</v>
      </c>
      <c r="E238" s="293" t="s">
        <v>1119</v>
      </c>
      <c r="F238" s="294"/>
      <c r="G238" s="293" t="s">
        <v>1120</v>
      </c>
      <c r="H238" s="370">
        <v>0</v>
      </c>
      <c r="I238" s="295">
        <v>0</v>
      </c>
      <c r="J238" s="295">
        <v>0</v>
      </c>
      <c r="K238" s="295">
        <v>0</v>
      </c>
      <c r="L238" s="296">
        <f t="shared" si="16"/>
        <v>0</v>
      </c>
      <c r="N238" s="297">
        <v>0</v>
      </c>
      <c r="O238" s="295">
        <v>0</v>
      </c>
      <c r="P238" s="295">
        <v>0</v>
      </c>
      <c r="Q238" s="295">
        <v>0</v>
      </c>
      <c r="R238" s="295">
        <v>0</v>
      </c>
      <c r="S238" s="296">
        <v>0</v>
      </c>
      <c r="U238" s="298">
        <f t="shared" si="14"/>
        <v>0</v>
      </c>
      <c r="Z238" s="305">
        <v>0</v>
      </c>
      <c r="AB238" s="305">
        <f t="shared" si="15"/>
        <v>0</v>
      </c>
    </row>
    <row r="239" spans="3:28" ht="18" customHeight="1">
      <c r="C239" s="6">
        <v>1</v>
      </c>
      <c r="D239" s="292" t="s">
        <v>1121</v>
      </c>
      <c r="E239" s="293" t="s">
        <v>1121</v>
      </c>
      <c r="F239" s="294"/>
      <c r="G239" s="293" t="s">
        <v>1122</v>
      </c>
      <c r="H239" s="370">
        <v>0</v>
      </c>
      <c r="I239" s="295">
        <v>0</v>
      </c>
      <c r="J239" s="295">
        <v>0</v>
      </c>
      <c r="K239" s="295">
        <v>0</v>
      </c>
      <c r="L239" s="296">
        <f t="shared" si="16"/>
        <v>0</v>
      </c>
      <c r="N239" s="297">
        <v>0</v>
      </c>
      <c r="O239" s="295">
        <v>0</v>
      </c>
      <c r="P239" s="295">
        <v>0</v>
      </c>
      <c r="Q239" s="295">
        <v>0</v>
      </c>
      <c r="R239" s="295">
        <v>0</v>
      </c>
      <c r="S239" s="296">
        <v>0</v>
      </c>
      <c r="U239" s="298">
        <f t="shared" si="14"/>
        <v>0</v>
      </c>
      <c r="Z239" s="305">
        <v>0</v>
      </c>
      <c r="AB239" s="305">
        <f t="shared" si="15"/>
        <v>0</v>
      </c>
    </row>
    <row r="240" spans="3:28" ht="18" customHeight="1">
      <c r="C240" s="6">
        <v>1</v>
      </c>
      <c r="D240" s="292" t="s">
        <v>1123</v>
      </c>
      <c r="E240" s="293" t="s">
        <v>1123</v>
      </c>
      <c r="F240" s="294"/>
      <c r="G240" s="293" t="s">
        <v>1124</v>
      </c>
      <c r="H240" s="370">
        <v>0</v>
      </c>
      <c r="I240" s="295">
        <v>0</v>
      </c>
      <c r="J240" s="295">
        <v>0</v>
      </c>
      <c r="K240" s="295">
        <v>0</v>
      </c>
      <c r="L240" s="296">
        <f t="shared" si="16"/>
        <v>0</v>
      </c>
      <c r="N240" s="297">
        <v>0</v>
      </c>
      <c r="O240" s="295">
        <v>0</v>
      </c>
      <c r="P240" s="295">
        <v>0</v>
      </c>
      <c r="Q240" s="295">
        <v>0</v>
      </c>
      <c r="R240" s="295">
        <v>0</v>
      </c>
      <c r="S240" s="296">
        <v>0</v>
      </c>
      <c r="U240" s="298">
        <f t="shared" si="14"/>
        <v>0</v>
      </c>
      <c r="Z240" s="305">
        <v>0</v>
      </c>
      <c r="AB240" s="305">
        <f t="shared" si="15"/>
        <v>0</v>
      </c>
    </row>
    <row r="241" spans="3:29" ht="18" customHeight="1">
      <c r="C241" s="6">
        <v>1</v>
      </c>
      <c r="D241" s="285" t="s">
        <v>1125</v>
      </c>
      <c r="E241" s="286" t="s">
        <v>1125</v>
      </c>
      <c r="F241" s="287"/>
      <c r="G241" s="286" t="s">
        <v>1126</v>
      </c>
      <c r="H241" s="288">
        <f>SUM(H242:H299)</f>
        <v>-37286095499</v>
      </c>
      <c r="I241" s="288">
        <f>SUM(I242:I299)</f>
        <v>-163595455</v>
      </c>
      <c r="J241" s="288">
        <f>SUM(J242:J299)</f>
        <v>0</v>
      </c>
      <c r="K241" s="288">
        <f>SUM(K242:K299)</f>
        <v>-970190638</v>
      </c>
      <c r="L241" s="289">
        <f>SUM(L242:L299)</f>
        <v>-38419881592</v>
      </c>
      <c r="N241" s="290">
        <v>20206929</v>
      </c>
      <c r="O241" s="288">
        <v>0</v>
      </c>
      <c r="P241" s="288">
        <v>1500000000</v>
      </c>
      <c r="Q241" s="288">
        <v>0</v>
      </c>
      <c r="R241" s="288">
        <v>20000000</v>
      </c>
      <c r="S241" s="289">
        <v>1540206929</v>
      </c>
      <c r="U241" s="291">
        <f>SUM(U242:U299)</f>
        <v>-36879674663</v>
      </c>
      <c r="V241" s="6" t="b">
        <f>U241=SUM(U242:U299)</f>
        <v>1</v>
      </c>
      <c r="W241" s="7">
        <f>U241-'CF(공)_1.0'!F76</f>
        <v>-10054278600</v>
      </c>
      <c r="Z241" s="291">
        <v>-25382690093</v>
      </c>
      <c r="AA241" s="6" t="b">
        <f>Z241=SUM(Z242:Z299)</f>
        <v>1</v>
      </c>
      <c r="AB241" s="291">
        <f t="shared" si="15"/>
        <v>-11496984570</v>
      </c>
      <c r="AC241" s="6" t="b">
        <f>AB241=SUM(AB242:AB299)</f>
        <v>1</v>
      </c>
    </row>
    <row r="242" spans="3:29" ht="18" customHeight="1">
      <c r="C242" s="6">
        <v>1</v>
      </c>
      <c r="D242" s="292" t="s">
        <v>1127</v>
      </c>
      <c r="E242" s="293" t="s">
        <v>1127</v>
      </c>
      <c r="F242" s="294"/>
      <c r="G242" s="293" t="s">
        <v>1128</v>
      </c>
      <c r="H242" s="370">
        <v>-1500000000</v>
      </c>
      <c r="I242" s="295">
        <v>0</v>
      </c>
      <c r="J242" s="295">
        <v>0</v>
      </c>
      <c r="K242" s="295">
        <v>0</v>
      </c>
      <c r="L242" s="296">
        <f t="shared" ref="L242:L273" si="17">SUM(H242:K242)</f>
        <v>-1500000000</v>
      </c>
      <c r="N242" s="297">
        <v>0</v>
      </c>
      <c r="O242" s="295">
        <v>0</v>
      </c>
      <c r="P242" s="295">
        <v>1500000000</v>
      </c>
      <c r="Q242" s="295">
        <v>0</v>
      </c>
      <c r="R242" s="295">
        <v>0</v>
      </c>
      <c r="S242" s="296">
        <v>1500000000</v>
      </c>
      <c r="U242" s="298">
        <f t="shared" ref="U242:U299" si="18">ROUND(S242+L242,0)</f>
        <v>0</v>
      </c>
      <c r="Z242" s="305">
        <v>0</v>
      </c>
      <c r="AB242" s="305">
        <f t="shared" si="15"/>
        <v>0</v>
      </c>
    </row>
    <row r="243" spans="3:29" ht="18" customHeight="1">
      <c r="C243" s="6">
        <v>1</v>
      </c>
      <c r="D243" s="292" t="s">
        <v>1129</v>
      </c>
      <c r="E243" s="293" t="s">
        <v>1129</v>
      </c>
      <c r="F243" s="294" t="s">
        <v>1439</v>
      </c>
      <c r="G243" s="293" t="s">
        <v>1130</v>
      </c>
      <c r="H243" s="370">
        <v>0</v>
      </c>
      <c r="I243" s="295">
        <v>0</v>
      </c>
      <c r="J243" s="295">
        <v>0</v>
      </c>
      <c r="K243" s="295">
        <v>-312435000</v>
      </c>
      <c r="L243" s="296">
        <f t="shared" si="17"/>
        <v>-312435000</v>
      </c>
      <c r="N243" s="297">
        <v>0</v>
      </c>
      <c r="O243" s="295">
        <v>0</v>
      </c>
      <c r="P243" s="295">
        <v>0</v>
      </c>
      <c r="Q243" s="295">
        <v>0</v>
      </c>
      <c r="R243" s="295">
        <v>0</v>
      </c>
      <c r="S243" s="296">
        <v>0</v>
      </c>
      <c r="U243" s="298">
        <f t="shared" si="18"/>
        <v>-312435000</v>
      </c>
      <c r="Z243" s="305">
        <v>0</v>
      </c>
      <c r="AB243" s="305">
        <f t="shared" si="15"/>
        <v>-312435000</v>
      </c>
    </row>
    <row r="244" spans="3:29" ht="18" customHeight="1">
      <c r="C244" s="6">
        <v>1</v>
      </c>
      <c r="D244" s="292" t="s">
        <v>1131</v>
      </c>
      <c r="E244" s="293" t="s">
        <v>1131</v>
      </c>
      <c r="F244" s="294"/>
      <c r="G244" s="293" t="s">
        <v>1132</v>
      </c>
      <c r="H244" s="370">
        <v>0</v>
      </c>
      <c r="I244" s="295">
        <v>0</v>
      </c>
      <c r="J244" s="295">
        <v>0</v>
      </c>
      <c r="K244" s="295">
        <v>0</v>
      </c>
      <c r="L244" s="296">
        <f t="shared" si="17"/>
        <v>0</v>
      </c>
      <c r="N244" s="297">
        <v>0</v>
      </c>
      <c r="O244" s="295">
        <v>0</v>
      </c>
      <c r="P244" s="295">
        <v>0</v>
      </c>
      <c r="Q244" s="295">
        <v>0</v>
      </c>
      <c r="R244" s="295">
        <v>0</v>
      </c>
      <c r="S244" s="296">
        <v>0</v>
      </c>
      <c r="U244" s="298">
        <f t="shared" si="18"/>
        <v>0</v>
      </c>
      <c r="Z244" s="305">
        <v>0</v>
      </c>
      <c r="AB244" s="305">
        <f t="shared" si="15"/>
        <v>0</v>
      </c>
    </row>
    <row r="245" spans="3:29" ht="18" customHeight="1">
      <c r="C245" s="6">
        <v>1</v>
      </c>
      <c r="D245" s="292" t="s">
        <v>1133</v>
      </c>
      <c r="E245" s="293" t="s">
        <v>1133</v>
      </c>
      <c r="F245" s="294"/>
      <c r="G245" s="293" t="s">
        <v>1134</v>
      </c>
      <c r="H245" s="370">
        <v>0</v>
      </c>
      <c r="I245" s="295">
        <v>0</v>
      </c>
      <c r="J245" s="295">
        <v>0</v>
      </c>
      <c r="K245" s="295">
        <v>0</v>
      </c>
      <c r="L245" s="296">
        <f t="shared" si="17"/>
        <v>0</v>
      </c>
      <c r="N245" s="297">
        <v>0</v>
      </c>
      <c r="O245" s="295">
        <v>0</v>
      </c>
      <c r="P245" s="295">
        <v>0</v>
      </c>
      <c r="Q245" s="295">
        <v>0</v>
      </c>
      <c r="R245" s="295">
        <v>0</v>
      </c>
      <c r="S245" s="296">
        <v>0</v>
      </c>
      <c r="U245" s="298">
        <f t="shared" si="18"/>
        <v>0</v>
      </c>
      <c r="Z245" s="305">
        <v>0</v>
      </c>
      <c r="AB245" s="305">
        <f t="shared" si="15"/>
        <v>0</v>
      </c>
    </row>
    <row r="246" spans="3:29" ht="18" customHeight="1">
      <c r="C246" s="6">
        <v>1</v>
      </c>
      <c r="D246" s="292" t="s">
        <v>1135</v>
      </c>
      <c r="E246" s="293" t="s">
        <v>1135</v>
      </c>
      <c r="F246" s="294" t="s">
        <v>1136</v>
      </c>
      <c r="G246" s="293" t="s">
        <v>1136</v>
      </c>
      <c r="H246" s="370">
        <v>0</v>
      </c>
      <c r="I246" s="295">
        <v>0</v>
      </c>
      <c r="J246" s="295">
        <v>0</v>
      </c>
      <c r="K246" s="295">
        <v>0</v>
      </c>
      <c r="L246" s="296">
        <f t="shared" si="17"/>
        <v>0</v>
      </c>
      <c r="N246" s="297">
        <v>0</v>
      </c>
      <c r="O246" s="295">
        <v>0</v>
      </c>
      <c r="P246" s="295">
        <v>0</v>
      </c>
      <c r="Q246" s="295">
        <v>0</v>
      </c>
      <c r="R246" s="295">
        <v>0</v>
      </c>
      <c r="S246" s="296">
        <v>0</v>
      </c>
      <c r="U246" s="298">
        <f t="shared" si="18"/>
        <v>0</v>
      </c>
      <c r="W246" s="6" t="b">
        <f>U246=H246</f>
        <v>1</v>
      </c>
      <c r="Z246" s="305">
        <v>0</v>
      </c>
      <c r="AB246" s="305">
        <f t="shared" si="15"/>
        <v>0</v>
      </c>
    </row>
    <row r="247" spans="3:29" ht="18" customHeight="1">
      <c r="C247" s="6">
        <v>1</v>
      </c>
      <c r="D247" s="292" t="s">
        <v>1137</v>
      </c>
      <c r="E247" s="293" t="s">
        <v>1137</v>
      </c>
      <c r="F247" s="294"/>
      <c r="G247" s="293" t="s">
        <v>1138</v>
      </c>
      <c r="H247" s="370">
        <v>0</v>
      </c>
      <c r="I247" s="295">
        <v>0</v>
      </c>
      <c r="J247" s="295">
        <v>0</v>
      </c>
      <c r="K247" s="295">
        <v>0</v>
      </c>
      <c r="L247" s="296">
        <f t="shared" si="17"/>
        <v>0</v>
      </c>
      <c r="N247" s="297">
        <v>0</v>
      </c>
      <c r="O247" s="295">
        <v>0</v>
      </c>
      <c r="P247" s="295">
        <v>0</v>
      </c>
      <c r="Q247" s="295">
        <v>0</v>
      </c>
      <c r="R247" s="295">
        <v>0</v>
      </c>
      <c r="S247" s="296">
        <v>0</v>
      </c>
      <c r="U247" s="298">
        <f t="shared" si="18"/>
        <v>0</v>
      </c>
      <c r="Z247" s="305">
        <v>0</v>
      </c>
      <c r="AB247" s="305">
        <f t="shared" si="15"/>
        <v>0</v>
      </c>
    </row>
    <row r="248" spans="3:29" ht="18" customHeight="1">
      <c r="C248" s="6">
        <v>1</v>
      </c>
      <c r="D248" s="292" t="s">
        <v>1139</v>
      </c>
      <c r="E248" s="293" t="s">
        <v>1139</v>
      </c>
      <c r="F248" s="294" t="s">
        <v>1684</v>
      </c>
      <c r="G248" s="293" t="s">
        <v>1140</v>
      </c>
      <c r="H248" s="370">
        <v>0</v>
      </c>
      <c r="I248" s="295">
        <v>0</v>
      </c>
      <c r="J248" s="295">
        <v>0</v>
      </c>
      <c r="K248" s="295">
        <v>0</v>
      </c>
      <c r="L248" s="296">
        <f t="shared" si="17"/>
        <v>0</v>
      </c>
      <c r="N248" s="297">
        <v>0</v>
      </c>
      <c r="O248" s="295">
        <v>0</v>
      </c>
      <c r="P248" s="295">
        <v>0</v>
      </c>
      <c r="Q248" s="295">
        <v>0</v>
      </c>
      <c r="R248" s="295">
        <v>0</v>
      </c>
      <c r="S248" s="296">
        <v>0</v>
      </c>
      <c r="U248" s="298">
        <f t="shared" si="18"/>
        <v>0</v>
      </c>
      <c r="Z248" s="305">
        <v>0</v>
      </c>
      <c r="AB248" s="305">
        <f t="shared" si="15"/>
        <v>0</v>
      </c>
    </row>
    <row r="249" spans="3:29" ht="18" customHeight="1">
      <c r="C249" s="6">
        <v>1</v>
      </c>
      <c r="D249" s="292" t="s">
        <v>1141</v>
      </c>
      <c r="E249" s="293" t="s">
        <v>1141</v>
      </c>
      <c r="F249" s="294" t="s">
        <v>1372</v>
      </c>
      <c r="G249" s="293" t="s">
        <v>1142</v>
      </c>
      <c r="H249" s="370">
        <v>-29176000</v>
      </c>
      <c r="I249" s="295">
        <v>-150000000</v>
      </c>
      <c r="J249" s="295">
        <v>0</v>
      </c>
      <c r="K249" s="295">
        <v>-623766063</v>
      </c>
      <c r="L249" s="296">
        <f t="shared" si="17"/>
        <v>-802942063</v>
      </c>
      <c r="N249" s="297">
        <v>0</v>
      </c>
      <c r="O249" s="295">
        <v>0</v>
      </c>
      <c r="P249" s="295">
        <v>0</v>
      </c>
      <c r="Q249" s="295">
        <v>0</v>
      </c>
      <c r="R249" s="295">
        <v>0</v>
      </c>
      <c r="S249" s="296">
        <v>0</v>
      </c>
      <c r="U249" s="298">
        <f t="shared" si="18"/>
        <v>-802942063</v>
      </c>
      <c r="Z249" s="305">
        <v>-786731247</v>
      </c>
      <c r="AB249" s="305">
        <f t="shared" si="15"/>
        <v>-16210816</v>
      </c>
    </row>
    <row r="250" spans="3:29" ht="18" customHeight="1">
      <c r="C250" s="6">
        <v>1</v>
      </c>
      <c r="D250" s="292" t="s">
        <v>1141</v>
      </c>
      <c r="E250" s="293" t="s">
        <v>1683</v>
      </c>
      <c r="F250" s="294" t="s">
        <v>1472</v>
      </c>
      <c r="G250" s="293" t="s">
        <v>1142</v>
      </c>
      <c r="H250" s="370">
        <v>-80000000</v>
      </c>
      <c r="I250" s="295">
        <v>0</v>
      </c>
      <c r="J250" s="295">
        <v>0</v>
      </c>
      <c r="K250" s="295">
        <v>0</v>
      </c>
      <c r="L250" s="296">
        <f t="shared" si="17"/>
        <v>-80000000</v>
      </c>
      <c r="N250" s="297"/>
      <c r="O250" s="295"/>
      <c r="P250" s="295"/>
      <c r="Q250" s="295"/>
      <c r="R250" s="295"/>
      <c r="S250" s="296">
        <v>0</v>
      </c>
      <c r="U250" s="298">
        <f t="shared" si="18"/>
        <v>-80000000</v>
      </c>
      <c r="Z250" s="305">
        <v>-80000000</v>
      </c>
      <c r="AB250" s="305">
        <f t="shared" si="15"/>
        <v>0</v>
      </c>
    </row>
    <row r="251" spans="3:29" ht="18" customHeight="1">
      <c r="C251" s="6">
        <v>1</v>
      </c>
      <c r="D251" s="292" t="s">
        <v>1143</v>
      </c>
      <c r="E251" s="293" t="s">
        <v>1143</v>
      </c>
      <c r="F251" s="294"/>
      <c r="G251" s="293" t="s">
        <v>1144</v>
      </c>
      <c r="H251" s="370">
        <v>0</v>
      </c>
      <c r="I251" s="295">
        <v>0</v>
      </c>
      <c r="J251" s="295">
        <v>0</v>
      </c>
      <c r="K251" s="295">
        <v>0</v>
      </c>
      <c r="L251" s="296">
        <f t="shared" si="17"/>
        <v>0</v>
      </c>
      <c r="N251" s="297">
        <v>0</v>
      </c>
      <c r="O251" s="295">
        <v>0</v>
      </c>
      <c r="P251" s="295">
        <v>0</v>
      </c>
      <c r="Q251" s="295">
        <v>0</v>
      </c>
      <c r="R251" s="295">
        <v>0</v>
      </c>
      <c r="S251" s="296">
        <v>0</v>
      </c>
      <c r="U251" s="298">
        <f t="shared" si="18"/>
        <v>0</v>
      </c>
      <c r="Z251" s="305">
        <v>0</v>
      </c>
      <c r="AB251" s="305">
        <f t="shared" si="15"/>
        <v>0</v>
      </c>
    </row>
    <row r="252" spans="3:29" ht="18" customHeight="1">
      <c r="C252" s="6">
        <v>1</v>
      </c>
      <c r="D252" s="292" t="s">
        <v>1145</v>
      </c>
      <c r="E252" s="293" t="s">
        <v>1145</v>
      </c>
      <c r="F252" s="294"/>
      <c r="G252" s="293" t="s">
        <v>1146</v>
      </c>
      <c r="H252" s="370">
        <v>0</v>
      </c>
      <c r="I252" s="295">
        <v>0</v>
      </c>
      <c r="J252" s="295">
        <v>0</v>
      </c>
      <c r="K252" s="295">
        <v>0</v>
      </c>
      <c r="L252" s="296">
        <f t="shared" si="17"/>
        <v>0</v>
      </c>
      <c r="N252" s="297">
        <v>0</v>
      </c>
      <c r="O252" s="295">
        <v>0</v>
      </c>
      <c r="P252" s="295">
        <v>0</v>
      </c>
      <c r="Q252" s="295">
        <v>0</v>
      </c>
      <c r="R252" s="295">
        <v>0</v>
      </c>
      <c r="S252" s="296">
        <v>0</v>
      </c>
      <c r="U252" s="298">
        <f t="shared" si="18"/>
        <v>0</v>
      </c>
      <c r="Z252" s="305">
        <v>0</v>
      </c>
      <c r="AB252" s="305">
        <f t="shared" si="15"/>
        <v>0</v>
      </c>
    </row>
    <row r="253" spans="3:29" ht="18" customHeight="1">
      <c r="C253" s="6">
        <v>1</v>
      </c>
      <c r="D253" s="292" t="s">
        <v>1147</v>
      </c>
      <c r="E253" s="293" t="s">
        <v>1147</v>
      </c>
      <c r="F253" s="294"/>
      <c r="G253" s="293" t="s">
        <v>1148</v>
      </c>
      <c r="H253" s="370">
        <v>0</v>
      </c>
      <c r="I253" s="295">
        <v>0</v>
      </c>
      <c r="J253" s="295">
        <v>0</v>
      </c>
      <c r="K253" s="295">
        <v>0</v>
      </c>
      <c r="L253" s="296">
        <f t="shared" si="17"/>
        <v>0</v>
      </c>
      <c r="N253" s="297">
        <v>0</v>
      </c>
      <c r="O253" s="295">
        <v>0</v>
      </c>
      <c r="P253" s="295">
        <v>0</v>
      </c>
      <c r="Q253" s="295">
        <v>0</v>
      </c>
      <c r="R253" s="295">
        <v>0</v>
      </c>
      <c r="S253" s="296">
        <v>0</v>
      </c>
      <c r="U253" s="298">
        <f t="shared" si="18"/>
        <v>0</v>
      </c>
      <c r="Z253" s="305">
        <v>0</v>
      </c>
      <c r="AB253" s="305">
        <f t="shared" si="15"/>
        <v>0</v>
      </c>
    </row>
    <row r="254" spans="3:29" ht="18" customHeight="1">
      <c r="C254" s="6">
        <v>1</v>
      </c>
      <c r="D254" s="292" t="s">
        <v>1149</v>
      </c>
      <c r="E254" s="293" t="s">
        <v>1149</v>
      </c>
      <c r="F254" s="294" t="s">
        <v>1439</v>
      </c>
      <c r="G254" s="293" t="s">
        <v>1150</v>
      </c>
      <c r="H254" s="370">
        <v>-30002038186</v>
      </c>
      <c r="I254" s="295">
        <v>0</v>
      </c>
      <c r="J254" s="295">
        <v>0</v>
      </c>
      <c r="K254" s="295">
        <v>0</v>
      </c>
      <c r="L254" s="296">
        <f t="shared" si="17"/>
        <v>-30002038186</v>
      </c>
      <c r="N254" s="297">
        <v>0</v>
      </c>
      <c r="O254" s="295">
        <v>0</v>
      </c>
      <c r="P254" s="295">
        <v>0</v>
      </c>
      <c r="Q254" s="295">
        <v>0</v>
      </c>
      <c r="R254" s="295">
        <v>0</v>
      </c>
      <c r="S254" s="296">
        <v>0</v>
      </c>
      <c r="U254" s="298">
        <f t="shared" si="18"/>
        <v>-30002038186</v>
      </c>
      <c r="Z254" s="305">
        <v>-20001800000</v>
      </c>
      <c r="AB254" s="305">
        <f t="shared" si="15"/>
        <v>-10000238186</v>
      </c>
    </row>
    <row r="255" spans="3:29" ht="18" customHeight="1">
      <c r="C255" s="6">
        <v>1</v>
      </c>
      <c r="D255" s="292" t="s">
        <v>1151</v>
      </c>
      <c r="E255" s="293" t="s">
        <v>1151</v>
      </c>
      <c r="F255" s="294"/>
      <c r="G255" s="293" t="s">
        <v>1152</v>
      </c>
      <c r="H255" s="370">
        <v>0</v>
      </c>
      <c r="I255" s="295">
        <v>0</v>
      </c>
      <c r="J255" s="295">
        <v>0</v>
      </c>
      <c r="K255" s="295">
        <v>0</v>
      </c>
      <c r="L255" s="296">
        <f t="shared" si="17"/>
        <v>0</v>
      </c>
      <c r="N255" s="297">
        <v>0</v>
      </c>
      <c r="O255" s="295">
        <v>0</v>
      </c>
      <c r="P255" s="295">
        <v>0</v>
      </c>
      <c r="Q255" s="295">
        <v>0</v>
      </c>
      <c r="R255" s="295">
        <v>0</v>
      </c>
      <c r="S255" s="296">
        <v>0</v>
      </c>
      <c r="U255" s="298">
        <f t="shared" si="18"/>
        <v>0</v>
      </c>
      <c r="Z255" s="305">
        <v>0</v>
      </c>
      <c r="AB255" s="305">
        <f t="shared" si="15"/>
        <v>0</v>
      </c>
    </row>
    <row r="256" spans="3:29" ht="18" customHeight="1">
      <c r="C256" s="6">
        <v>1</v>
      </c>
      <c r="D256" s="292" t="s">
        <v>1153</v>
      </c>
      <c r="E256" s="293" t="s">
        <v>1153</v>
      </c>
      <c r="F256" s="294" t="s">
        <v>2191</v>
      </c>
      <c r="G256" s="293" t="s">
        <v>1154</v>
      </c>
      <c r="H256" s="370">
        <v>-251229861</v>
      </c>
      <c r="I256" s="295">
        <v>0</v>
      </c>
      <c r="J256" s="295">
        <v>0</v>
      </c>
      <c r="K256" s="295">
        <v>0</v>
      </c>
      <c r="L256" s="296">
        <f t="shared" si="17"/>
        <v>-251229861</v>
      </c>
      <c r="N256" s="297">
        <v>0</v>
      </c>
      <c r="O256" s="295">
        <v>0</v>
      </c>
      <c r="P256" s="295">
        <v>0</v>
      </c>
      <c r="Q256" s="295">
        <v>0</v>
      </c>
      <c r="R256" s="295">
        <v>0</v>
      </c>
      <c r="S256" s="296">
        <v>0</v>
      </c>
      <c r="U256" s="298">
        <f t="shared" si="18"/>
        <v>-251229861</v>
      </c>
      <c r="Z256" s="305">
        <v>-251229861</v>
      </c>
      <c r="AB256" s="305">
        <f t="shared" si="15"/>
        <v>0</v>
      </c>
    </row>
    <row r="257" spans="3:28" ht="18" customHeight="1">
      <c r="C257" s="6">
        <v>1</v>
      </c>
      <c r="D257" s="292" t="s">
        <v>1155</v>
      </c>
      <c r="E257" s="293" t="s">
        <v>1155</v>
      </c>
      <c r="F257" s="294" t="s">
        <v>1474</v>
      </c>
      <c r="G257" s="293" t="s">
        <v>1156</v>
      </c>
      <c r="H257" s="370">
        <v>-1520000000</v>
      </c>
      <c r="I257" s="295">
        <v>0</v>
      </c>
      <c r="J257" s="295">
        <v>0</v>
      </c>
      <c r="K257" s="295">
        <v>0</v>
      </c>
      <c r="L257" s="296">
        <f t="shared" si="17"/>
        <v>-1520000000</v>
      </c>
      <c r="N257" s="297">
        <v>0</v>
      </c>
      <c r="O257" s="295">
        <v>0</v>
      </c>
      <c r="P257" s="295">
        <v>0</v>
      </c>
      <c r="Q257" s="295">
        <v>0</v>
      </c>
      <c r="R257" s="295">
        <v>20000000</v>
      </c>
      <c r="S257" s="296">
        <v>20000000</v>
      </c>
      <c r="U257" s="298">
        <f t="shared" si="18"/>
        <v>-1500000000</v>
      </c>
      <c r="Z257" s="305">
        <v>-1500000000</v>
      </c>
      <c r="AB257" s="305">
        <f t="shared" si="15"/>
        <v>0</v>
      </c>
    </row>
    <row r="258" spans="3:28" ht="18" customHeight="1">
      <c r="C258" s="6">
        <v>1</v>
      </c>
      <c r="D258" s="292" t="s">
        <v>1157</v>
      </c>
      <c r="E258" s="293" t="s">
        <v>1157</v>
      </c>
      <c r="F258" s="294" t="s">
        <v>1474</v>
      </c>
      <c r="G258" s="293" t="s">
        <v>2196</v>
      </c>
      <c r="H258" s="370">
        <v>0</v>
      </c>
      <c r="I258" s="295">
        <v>0</v>
      </c>
      <c r="J258" s="295">
        <v>0</v>
      </c>
      <c r="K258" s="295">
        <v>0</v>
      </c>
      <c r="L258" s="296">
        <f t="shared" si="17"/>
        <v>0</v>
      </c>
      <c r="N258" s="297">
        <v>20206929</v>
      </c>
      <c r="O258" s="295">
        <v>0</v>
      </c>
      <c r="P258" s="295">
        <v>0</v>
      </c>
      <c r="Q258" s="295">
        <v>0</v>
      </c>
      <c r="R258" s="295">
        <v>0</v>
      </c>
      <c r="S258" s="296">
        <v>20206929</v>
      </c>
      <c r="U258" s="298">
        <f t="shared" si="18"/>
        <v>20206929</v>
      </c>
      <c r="Z258" s="305">
        <v>20206929</v>
      </c>
      <c r="AB258" s="305">
        <f t="shared" si="15"/>
        <v>0</v>
      </c>
    </row>
    <row r="259" spans="3:28" ht="18" customHeight="1">
      <c r="C259" s="6">
        <v>1</v>
      </c>
      <c r="D259" s="292" t="s">
        <v>1159</v>
      </c>
      <c r="E259" s="293" t="s">
        <v>1159</v>
      </c>
      <c r="F259" s="294"/>
      <c r="G259" s="293" t="s">
        <v>1160</v>
      </c>
      <c r="H259" s="370">
        <v>0</v>
      </c>
      <c r="I259" s="295">
        <v>0</v>
      </c>
      <c r="J259" s="295">
        <v>0</v>
      </c>
      <c r="K259" s="295">
        <v>0</v>
      </c>
      <c r="L259" s="296">
        <f t="shared" si="17"/>
        <v>0</v>
      </c>
      <c r="N259" s="297">
        <v>0</v>
      </c>
      <c r="O259" s="295">
        <v>0</v>
      </c>
      <c r="P259" s="295">
        <v>0</v>
      </c>
      <c r="Q259" s="295">
        <v>0</v>
      </c>
      <c r="R259" s="295">
        <v>0</v>
      </c>
      <c r="S259" s="296">
        <v>0</v>
      </c>
      <c r="U259" s="298">
        <f t="shared" si="18"/>
        <v>0</v>
      </c>
      <c r="Z259" s="305">
        <v>0</v>
      </c>
      <c r="AB259" s="305">
        <f t="shared" si="15"/>
        <v>0</v>
      </c>
    </row>
    <row r="260" spans="3:28" ht="18" customHeight="1">
      <c r="C260" s="6">
        <v>1</v>
      </c>
      <c r="D260" s="292" t="s">
        <v>1161</v>
      </c>
      <c r="E260" s="293" t="s">
        <v>1161</v>
      </c>
      <c r="F260" s="294"/>
      <c r="G260" s="293" t="s">
        <v>1162</v>
      </c>
      <c r="H260" s="370">
        <v>0</v>
      </c>
      <c r="I260" s="295">
        <v>0</v>
      </c>
      <c r="J260" s="295">
        <v>0</v>
      </c>
      <c r="K260" s="295">
        <v>0</v>
      </c>
      <c r="L260" s="296">
        <f t="shared" si="17"/>
        <v>0</v>
      </c>
      <c r="N260" s="297">
        <v>0</v>
      </c>
      <c r="O260" s="295">
        <v>0</v>
      </c>
      <c r="P260" s="295">
        <v>0</v>
      </c>
      <c r="Q260" s="295">
        <v>0</v>
      </c>
      <c r="R260" s="295">
        <v>0</v>
      </c>
      <c r="S260" s="296">
        <v>0</v>
      </c>
      <c r="U260" s="298">
        <f t="shared" si="18"/>
        <v>0</v>
      </c>
      <c r="Z260" s="305">
        <v>0</v>
      </c>
      <c r="AB260" s="305">
        <f t="shared" si="15"/>
        <v>0</v>
      </c>
    </row>
    <row r="261" spans="3:28" ht="18" customHeight="1">
      <c r="C261" s="6">
        <v>1</v>
      </c>
      <c r="D261" s="292" t="s">
        <v>1163</v>
      </c>
      <c r="E261" s="293" t="s">
        <v>1163</v>
      </c>
      <c r="F261" s="294"/>
      <c r="G261" s="293" t="s">
        <v>1164</v>
      </c>
      <c r="H261" s="370">
        <v>0</v>
      </c>
      <c r="I261" s="295">
        <v>0</v>
      </c>
      <c r="J261" s="295">
        <v>0</v>
      </c>
      <c r="K261" s="295">
        <v>0</v>
      </c>
      <c r="L261" s="296">
        <f t="shared" si="17"/>
        <v>0</v>
      </c>
      <c r="N261" s="297">
        <v>0</v>
      </c>
      <c r="O261" s="295">
        <v>0</v>
      </c>
      <c r="P261" s="295">
        <v>0</v>
      </c>
      <c r="Q261" s="295">
        <v>0</v>
      </c>
      <c r="R261" s="295">
        <v>0</v>
      </c>
      <c r="S261" s="296">
        <v>0</v>
      </c>
      <c r="U261" s="298">
        <f t="shared" si="18"/>
        <v>0</v>
      </c>
      <c r="Z261" s="305">
        <v>0</v>
      </c>
      <c r="AB261" s="305">
        <f t="shared" si="15"/>
        <v>0</v>
      </c>
    </row>
    <row r="262" spans="3:28" ht="18" customHeight="1">
      <c r="C262" s="6">
        <v>1</v>
      </c>
      <c r="D262" s="292" t="s">
        <v>1165</v>
      </c>
      <c r="E262" s="293" t="s">
        <v>1165</v>
      </c>
      <c r="F262" s="294"/>
      <c r="G262" s="293" t="s">
        <v>1166</v>
      </c>
      <c r="H262" s="370">
        <v>0</v>
      </c>
      <c r="I262" s="295">
        <v>0</v>
      </c>
      <c r="J262" s="295">
        <v>0</v>
      </c>
      <c r="K262" s="295">
        <v>0</v>
      </c>
      <c r="L262" s="296">
        <f t="shared" si="17"/>
        <v>0</v>
      </c>
      <c r="N262" s="297">
        <v>0</v>
      </c>
      <c r="O262" s="295">
        <v>0</v>
      </c>
      <c r="P262" s="295">
        <v>0</v>
      </c>
      <c r="Q262" s="295">
        <v>0</v>
      </c>
      <c r="R262" s="295">
        <v>0</v>
      </c>
      <c r="S262" s="296">
        <v>0</v>
      </c>
      <c r="U262" s="298">
        <f t="shared" si="18"/>
        <v>0</v>
      </c>
      <c r="Z262" s="305">
        <v>0</v>
      </c>
      <c r="AB262" s="305">
        <f t="shared" si="15"/>
        <v>0</v>
      </c>
    </row>
    <row r="263" spans="3:28" ht="18" customHeight="1">
      <c r="C263" s="6">
        <v>1</v>
      </c>
      <c r="D263" s="292" t="s">
        <v>1167</v>
      </c>
      <c r="E263" s="293" t="s">
        <v>1167</v>
      </c>
      <c r="F263" s="294"/>
      <c r="G263" s="293" t="s">
        <v>1168</v>
      </c>
      <c r="H263" s="370">
        <v>0</v>
      </c>
      <c r="I263" s="295">
        <v>0</v>
      </c>
      <c r="J263" s="295">
        <v>0</v>
      </c>
      <c r="K263" s="295">
        <v>0</v>
      </c>
      <c r="L263" s="296">
        <f t="shared" si="17"/>
        <v>0</v>
      </c>
      <c r="N263" s="297">
        <v>0</v>
      </c>
      <c r="O263" s="295">
        <v>0</v>
      </c>
      <c r="P263" s="295">
        <v>0</v>
      </c>
      <c r="Q263" s="295">
        <v>0</v>
      </c>
      <c r="R263" s="295">
        <v>0</v>
      </c>
      <c r="S263" s="296">
        <v>0</v>
      </c>
      <c r="U263" s="298">
        <f t="shared" si="18"/>
        <v>0</v>
      </c>
      <c r="Z263" s="305">
        <v>0</v>
      </c>
      <c r="AB263" s="305">
        <f t="shared" si="15"/>
        <v>0</v>
      </c>
    </row>
    <row r="264" spans="3:28" ht="18" customHeight="1">
      <c r="C264" s="6">
        <v>1</v>
      </c>
      <c r="D264" s="292" t="s">
        <v>1169</v>
      </c>
      <c r="E264" s="293" t="s">
        <v>1169</v>
      </c>
      <c r="F264" s="294"/>
      <c r="G264" s="293" t="s">
        <v>1170</v>
      </c>
      <c r="H264" s="370">
        <v>0</v>
      </c>
      <c r="I264" s="295">
        <v>0</v>
      </c>
      <c r="J264" s="295">
        <v>0</v>
      </c>
      <c r="K264" s="295">
        <v>0</v>
      </c>
      <c r="L264" s="296">
        <f t="shared" si="17"/>
        <v>0</v>
      </c>
      <c r="N264" s="297">
        <v>0</v>
      </c>
      <c r="O264" s="295">
        <v>0</v>
      </c>
      <c r="P264" s="295">
        <v>0</v>
      </c>
      <c r="Q264" s="295">
        <v>0</v>
      </c>
      <c r="R264" s="295">
        <v>0</v>
      </c>
      <c r="S264" s="296">
        <v>0</v>
      </c>
      <c r="U264" s="298">
        <f t="shared" si="18"/>
        <v>0</v>
      </c>
      <c r="Z264" s="305">
        <v>0</v>
      </c>
      <c r="AB264" s="305">
        <f t="shared" ref="AB264:AB327" si="19">U264-Z264</f>
        <v>0</v>
      </c>
    </row>
    <row r="265" spans="3:28" ht="18" customHeight="1">
      <c r="C265" s="6">
        <v>1</v>
      </c>
      <c r="D265" s="292" t="s">
        <v>1171</v>
      </c>
      <c r="E265" s="293" t="s">
        <v>1171</v>
      </c>
      <c r="F265" s="294"/>
      <c r="G265" s="293" t="s">
        <v>1172</v>
      </c>
      <c r="H265" s="370">
        <v>0</v>
      </c>
      <c r="I265" s="295">
        <v>0</v>
      </c>
      <c r="J265" s="295">
        <v>0</v>
      </c>
      <c r="K265" s="295">
        <v>0</v>
      </c>
      <c r="L265" s="296">
        <f t="shared" si="17"/>
        <v>0</v>
      </c>
      <c r="N265" s="297">
        <v>0</v>
      </c>
      <c r="O265" s="295">
        <v>0</v>
      </c>
      <c r="P265" s="295">
        <v>0</v>
      </c>
      <c r="Q265" s="295">
        <v>0</v>
      </c>
      <c r="R265" s="295">
        <v>0</v>
      </c>
      <c r="S265" s="296">
        <v>0</v>
      </c>
      <c r="U265" s="298">
        <f t="shared" si="18"/>
        <v>0</v>
      </c>
      <c r="Z265" s="305">
        <v>0</v>
      </c>
      <c r="AB265" s="305">
        <f t="shared" si="19"/>
        <v>0</v>
      </c>
    </row>
    <row r="266" spans="3:28" ht="18" customHeight="1">
      <c r="C266" s="6">
        <v>1</v>
      </c>
      <c r="D266" s="292" t="s">
        <v>1173</v>
      </c>
      <c r="E266" s="293" t="s">
        <v>1173</v>
      </c>
      <c r="F266" s="294"/>
      <c r="G266" s="293" t="s">
        <v>1174</v>
      </c>
      <c r="H266" s="370">
        <v>0</v>
      </c>
      <c r="I266" s="295">
        <v>0</v>
      </c>
      <c r="J266" s="295">
        <v>0</v>
      </c>
      <c r="K266" s="295">
        <v>0</v>
      </c>
      <c r="L266" s="296">
        <f t="shared" si="17"/>
        <v>0</v>
      </c>
      <c r="N266" s="297">
        <v>0</v>
      </c>
      <c r="O266" s="295">
        <v>0</v>
      </c>
      <c r="P266" s="295">
        <v>0</v>
      </c>
      <c r="Q266" s="295">
        <v>0</v>
      </c>
      <c r="R266" s="295">
        <v>0</v>
      </c>
      <c r="S266" s="296">
        <v>0</v>
      </c>
      <c r="U266" s="298">
        <f t="shared" si="18"/>
        <v>0</v>
      </c>
      <c r="Z266" s="305">
        <v>0</v>
      </c>
      <c r="AB266" s="305">
        <f t="shared" si="19"/>
        <v>0</v>
      </c>
    </row>
    <row r="267" spans="3:28" ht="18" customHeight="1">
      <c r="C267" s="6">
        <v>1</v>
      </c>
      <c r="D267" s="292" t="s">
        <v>1175</v>
      </c>
      <c r="E267" s="293" t="s">
        <v>1175</v>
      </c>
      <c r="F267" s="294" t="s">
        <v>1440</v>
      </c>
      <c r="G267" s="293" t="s">
        <v>1176</v>
      </c>
      <c r="H267" s="370">
        <v>0</v>
      </c>
      <c r="I267" s="295">
        <v>0</v>
      </c>
      <c r="J267" s="295">
        <v>0</v>
      </c>
      <c r="K267" s="295">
        <v>0</v>
      </c>
      <c r="L267" s="296">
        <f t="shared" si="17"/>
        <v>0</v>
      </c>
      <c r="N267" s="297">
        <v>0</v>
      </c>
      <c r="O267" s="295">
        <v>0</v>
      </c>
      <c r="P267" s="295">
        <v>0</v>
      </c>
      <c r="Q267" s="295">
        <v>0</v>
      </c>
      <c r="R267" s="295">
        <v>0</v>
      </c>
      <c r="S267" s="296">
        <v>0</v>
      </c>
      <c r="U267" s="298">
        <f t="shared" si="18"/>
        <v>0</v>
      </c>
      <c r="Z267" s="305">
        <v>0</v>
      </c>
      <c r="AB267" s="305">
        <f t="shared" si="19"/>
        <v>0</v>
      </c>
    </row>
    <row r="268" spans="3:28" ht="18" customHeight="1">
      <c r="C268" s="6">
        <v>1</v>
      </c>
      <c r="D268" s="292" t="s">
        <v>1177</v>
      </c>
      <c r="E268" s="293" t="s">
        <v>1177</v>
      </c>
      <c r="F268" s="294"/>
      <c r="G268" s="293" t="s">
        <v>1178</v>
      </c>
      <c r="H268" s="370">
        <v>0</v>
      </c>
      <c r="I268" s="295">
        <v>0</v>
      </c>
      <c r="J268" s="295">
        <v>0</v>
      </c>
      <c r="K268" s="295">
        <v>0</v>
      </c>
      <c r="L268" s="296">
        <f t="shared" si="17"/>
        <v>0</v>
      </c>
      <c r="N268" s="297">
        <v>0</v>
      </c>
      <c r="O268" s="295">
        <v>0</v>
      </c>
      <c r="P268" s="295">
        <v>0</v>
      </c>
      <c r="Q268" s="295">
        <v>0</v>
      </c>
      <c r="R268" s="295">
        <v>0</v>
      </c>
      <c r="S268" s="296">
        <v>0</v>
      </c>
      <c r="U268" s="298">
        <f t="shared" si="18"/>
        <v>0</v>
      </c>
      <c r="Z268" s="305">
        <v>0</v>
      </c>
      <c r="AB268" s="305">
        <f t="shared" si="19"/>
        <v>0</v>
      </c>
    </row>
    <row r="269" spans="3:28" ht="18" customHeight="1">
      <c r="C269" s="6">
        <v>1</v>
      </c>
      <c r="D269" s="292" t="s">
        <v>1179</v>
      </c>
      <c r="E269" s="293" t="s">
        <v>1179</v>
      </c>
      <c r="F269" s="294" t="s">
        <v>1440</v>
      </c>
      <c r="G269" s="293" t="s">
        <v>1180</v>
      </c>
      <c r="H269" s="370">
        <v>0</v>
      </c>
      <c r="I269" s="295">
        <v>0</v>
      </c>
      <c r="J269" s="295">
        <v>0</v>
      </c>
      <c r="K269" s="295">
        <v>0</v>
      </c>
      <c r="L269" s="296">
        <f t="shared" si="17"/>
        <v>0</v>
      </c>
      <c r="N269" s="297">
        <v>0</v>
      </c>
      <c r="O269" s="295">
        <v>0</v>
      </c>
      <c r="P269" s="295">
        <v>0</v>
      </c>
      <c r="Q269" s="295">
        <v>0</v>
      </c>
      <c r="R269" s="295">
        <v>0</v>
      </c>
      <c r="S269" s="296">
        <v>0</v>
      </c>
      <c r="U269" s="298">
        <f t="shared" si="18"/>
        <v>0</v>
      </c>
      <c r="Z269" s="305">
        <v>0</v>
      </c>
      <c r="AB269" s="305">
        <f t="shared" si="19"/>
        <v>0</v>
      </c>
    </row>
    <row r="270" spans="3:28" ht="18" customHeight="1">
      <c r="C270" s="6">
        <v>1</v>
      </c>
      <c r="D270" s="292" t="s">
        <v>1181</v>
      </c>
      <c r="E270" s="293" t="s">
        <v>1181</v>
      </c>
      <c r="F270" s="294"/>
      <c r="G270" s="293" t="s">
        <v>1182</v>
      </c>
      <c r="H270" s="370">
        <v>0</v>
      </c>
      <c r="I270" s="295">
        <v>0</v>
      </c>
      <c r="J270" s="295">
        <v>0</v>
      </c>
      <c r="K270" s="295">
        <v>0</v>
      </c>
      <c r="L270" s="296">
        <f t="shared" si="17"/>
        <v>0</v>
      </c>
      <c r="N270" s="297">
        <v>0</v>
      </c>
      <c r="O270" s="295">
        <v>0</v>
      </c>
      <c r="P270" s="295">
        <v>0</v>
      </c>
      <c r="Q270" s="295">
        <v>0</v>
      </c>
      <c r="R270" s="295">
        <v>0</v>
      </c>
      <c r="S270" s="296">
        <v>0</v>
      </c>
      <c r="U270" s="298">
        <f t="shared" si="18"/>
        <v>0</v>
      </c>
      <c r="Z270" s="305">
        <v>0</v>
      </c>
      <c r="AB270" s="305">
        <f t="shared" si="19"/>
        <v>0</v>
      </c>
    </row>
    <row r="271" spans="3:28" ht="18" customHeight="1">
      <c r="C271" s="6">
        <v>1</v>
      </c>
      <c r="D271" s="292" t="s">
        <v>1183</v>
      </c>
      <c r="E271" s="293" t="s">
        <v>1365</v>
      </c>
      <c r="F271" s="294" t="s">
        <v>1440</v>
      </c>
      <c r="G271" s="293" t="s">
        <v>1357</v>
      </c>
      <c r="H271" s="370">
        <v>0</v>
      </c>
      <c r="I271" s="295">
        <v>0</v>
      </c>
      <c r="J271" s="295">
        <v>0</v>
      </c>
      <c r="K271" s="295">
        <v>0</v>
      </c>
      <c r="L271" s="296">
        <f t="shared" si="17"/>
        <v>0</v>
      </c>
      <c r="N271" s="297">
        <v>0</v>
      </c>
      <c r="O271" s="295">
        <v>0</v>
      </c>
      <c r="P271" s="295">
        <v>0</v>
      </c>
      <c r="Q271" s="295">
        <v>0</v>
      </c>
      <c r="R271" s="295">
        <v>0</v>
      </c>
      <c r="S271" s="296">
        <v>0</v>
      </c>
      <c r="U271" s="298">
        <f t="shared" si="18"/>
        <v>0</v>
      </c>
      <c r="Z271" s="305"/>
      <c r="AB271" s="305">
        <f t="shared" si="19"/>
        <v>0</v>
      </c>
    </row>
    <row r="272" spans="3:28" ht="18" customHeight="1">
      <c r="C272" s="6">
        <v>1</v>
      </c>
      <c r="D272" s="292" t="s">
        <v>1183</v>
      </c>
      <c r="E272" s="293" t="s">
        <v>1366</v>
      </c>
      <c r="F272" s="294" t="s">
        <v>1440</v>
      </c>
      <c r="G272" s="293" t="s">
        <v>1358</v>
      </c>
      <c r="H272" s="370">
        <v>-907023623</v>
      </c>
      <c r="I272" s="370">
        <v>-5045455</v>
      </c>
      <c r="J272" s="295">
        <v>0</v>
      </c>
      <c r="K272" s="295">
        <v>-33989575</v>
      </c>
      <c r="L272" s="296">
        <f t="shared" si="17"/>
        <v>-946058653</v>
      </c>
      <c r="N272" s="297">
        <v>0</v>
      </c>
      <c r="O272" s="295">
        <v>0</v>
      </c>
      <c r="P272" s="295">
        <v>0</v>
      </c>
      <c r="Q272" s="295">
        <v>0</v>
      </c>
      <c r="R272" s="295">
        <v>0</v>
      </c>
      <c r="S272" s="296">
        <v>0</v>
      </c>
      <c r="U272" s="298">
        <f t="shared" si="18"/>
        <v>-946058653</v>
      </c>
      <c r="Z272" s="305">
        <v>-624638873</v>
      </c>
      <c r="AB272" s="305">
        <f t="shared" si="19"/>
        <v>-321419780</v>
      </c>
    </row>
    <row r="273" spans="3:28" ht="18" customHeight="1">
      <c r="C273" s="6">
        <v>1</v>
      </c>
      <c r="D273" s="292" t="s">
        <v>1183</v>
      </c>
      <c r="E273" s="293" t="s">
        <v>1367</v>
      </c>
      <c r="F273" s="294" t="s">
        <v>1440</v>
      </c>
      <c r="G273" s="293" t="s">
        <v>1359</v>
      </c>
      <c r="H273" s="370">
        <v>-736051070</v>
      </c>
      <c r="I273" s="370">
        <v>0</v>
      </c>
      <c r="J273" s="295">
        <v>0</v>
      </c>
      <c r="K273" s="295">
        <v>0</v>
      </c>
      <c r="L273" s="296">
        <f t="shared" si="17"/>
        <v>-736051070</v>
      </c>
      <c r="N273" s="297">
        <v>0</v>
      </c>
      <c r="O273" s="295">
        <v>0</v>
      </c>
      <c r="P273" s="295">
        <v>0</v>
      </c>
      <c r="Q273" s="295">
        <v>0</v>
      </c>
      <c r="R273" s="295">
        <v>0</v>
      </c>
      <c r="S273" s="296">
        <v>0</v>
      </c>
      <c r="U273" s="298">
        <f t="shared" si="18"/>
        <v>-736051070</v>
      </c>
      <c r="Z273" s="305">
        <v>-408850000</v>
      </c>
      <c r="AB273" s="305">
        <f t="shared" si="19"/>
        <v>-327201070</v>
      </c>
    </row>
    <row r="274" spans="3:28" ht="18" customHeight="1">
      <c r="C274" s="6">
        <v>1</v>
      </c>
      <c r="D274" s="292" t="s">
        <v>1184</v>
      </c>
      <c r="E274" s="293" t="s">
        <v>1184</v>
      </c>
      <c r="F274" s="294"/>
      <c r="G274" s="293" t="s">
        <v>1185</v>
      </c>
      <c r="H274" s="370">
        <v>0</v>
      </c>
      <c r="I274" s="295">
        <v>0</v>
      </c>
      <c r="J274" s="295">
        <v>0</v>
      </c>
      <c r="K274" s="295">
        <v>0</v>
      </c>
      <c r="L274" s="296">
        <f t="shared" ref="L274:L299" si="20">SUM(H274:K274)</f>
        <v>0</v>
      </c>
      <c r="N274" s="297">
        <v>0</v>
      </c>
      <c r="O274" s="295">
        <v>0</v>
      </c>
      <c r="P274" s="295">
        <v>0</v>
      </c>
      <c r="Q274" s="295">
        <v>0</v>
      </c>
      <c r="R274" s="295">
        <v>0</v>
      </c>
      <c r="S274" s="296">
        <v>0</v>
      </c>
      <c r="U274" s="298">
        <f t="shared" si="18"/>
        <v>0</v>
      </c>
      <c r="Z274" s="305">
        <v>0</v>
      </c>
      <c r="AB274" s="305">
        <f t="shared" si="19"/>
        <v>0</v>
      </c>
    </row>
    <row r="275" spans="3:28" ht="18" customHeight="1">
      <c r="C275" s="6">
        <v>1</v>
      </c>
      <c r="D275" s="292" t="s">
        <v>1186</v>
      </c>
      <c r="E275" s="293" t="s">
        <v>1186</v>
      </c>
      <c r="F275" s="294"/>
      <c r="G275" s="293" t="s">
        <v>1187</v>
      </c>
      <c r="H275" s="370">
        <v>0</v>
      </c>
      <c r="I275" s="295">
        <v>0</v>
      </c>
      <c r="J275" s="295">
        <v>0</v>
      </c>
      <c r="K275" s="295">
        <v>0</v>
      </c>
      <c r="L275" s="296">
        <f t="shared" si="20"/>
        <v>0</v>
      </c>
      <c r="N275" s="297">
        <v>0</v>
      </c>
      <c r="O275" s="295">
        <v>0</v>
      </c>
      <c r="P275" s="295">
        <v>0</v>
      </c>
      <c r="Q275" s="295">
        <v>0</v>
      </c>
      <c r="R275" s="295">
        <v>0</v>
      </c>
      <c r="S275" s="296">
        <v>0</v>
      </c>
      <c r="U275" s="298">
        <f t="shared" si="18"/>
        <v>0</v>
      </c>
      <c r="Z275" s="305">
        <v>0</v>
      </c>
      <c r="AB275" s="305">
        <f t="shared" si="19"/>
        <v>0</v>
      </c>
    </row>
    <row r="276" spans="3:28" ht="18" customHeight="1">
      <c r="C276" s="6">
        <v>1</v>
      </c>
      <c r="D276" s="292" t="s">
        <v>1188</v>
      </c>
      <c r="E276" s="293" t="s">
        <v>1188</v>
      </c>
      <c r="F276" s="294" t="s">
        <v>1440</v>
      </c>
      <c r="G276" s="293" t="s">
        <v>1189</v>
      </c>
      <c r="H276" s="370">
        <v>-115480432</v>
      </c>
      <c r="I276" s="370">
        <v>0</v>
      </c>
      <c r="J276" s="295">
        <v>0</v>
      </c>
      <c r="K276" s="295">
        <v>0</v>
      </c>
      <c r="L276" s="296">
        <f t="shared" si="20"/>
        <v>-115480432</v>
      </c>
      <c r="N276" s="297">
        <v>0</v>
      </c>
      <c r="O276" s="295">
        <v>0</v>
      </c>
      <c r="P276" s="295">
        <v>0</v>
      </c>
      <c r="Q276" s="295">
        <v>0</v>
      </c>
      <c r="R276" s="295">
        <v>0</v>
      </c>
      <c r="S276" s="296">
        <v>0</v>
      </c>
      <c r="U276" s="298">
        <f t="shared" si="18"/>
        <v>-115480432</v>
      </c>
      <c r="Z276" s="305">
        <v>-96623652</v>
      </c>
      <c r="AB276" s="305">
        <f t="shared" si="19"/>
        <v>-18856780</v>
      </c>
    </row>
    <row r="277" spans="3:28" ht="18" customHeight="1">
      <c r="C277" s="6">
        <v>1</v>
      </c>
      <c r="D277" s="292" t="s">
        <v>1183</v>
      </c>
      <c r="E277" s="293" t="s">
        <v>1190</v>
      </c>
      <c r="F277" s="294" t="s">
        <v>1440</v>
      </c>
      <c r="G277" s="293" t="s">
        <v>1191</v>
      </c>
      <c r="H277" s="370">
        <v>-341435390</v>
      </c>
      <c r="I277" s="295">
        <v>0</v>
      </c>
      <c r="J277" s="295">
        <v>0</v>
      </c>
      <c r="K277" s="295">
        <v>0</v>
      </c>
      <c r="L277" s="296">
        <f t="shared" si="20"/>
        <v>-341435390</v>
      </c>
      <c r="N277" s="297">
        <v>0</v>
      </c>
      <c r="O277" s="295">
        <v>0</v>
      </c>
      <c r="P277" s="295">
        <v>0</v>
      </c>
      <c r="Q277" s="295">
        <v>0</v>
      </c>
      <c r="R277" s="295">
        <v>0</v>
      </c>
      <c r="S277" s="296">
        <v>0</v>
      </c>
      <c r="U277" s="298">
        <f t="shared" si="18"/>
        <v>-341435390</v>
      </c>
      <c r="Z277" s="305">
        <v>-91800000</v>
      </c>
      <c r="AB277" s="305">
        <f t="shared" si="19"/>
        <v>-249635390</v>
      </c>
    </row>
    <row r="278" spans="3:28" ht="18" customHeight="1">
      <c r="C278" s="6">
        <v>1</v>
      </c>
      <c r="D278" s="292" t="s">
        <v>1192</v>
      </c>
      <c r="E278" s="293" t="s">
        <v>1192</v>
      </c>
      <c r="F278" s="294" t="s">
        <v>1441</v>
      </c>
      <c r="G278" s="293" t="s">
        <v>1193</v>
      </c>
      <c r="H278" s="370">
        <v>-1022553523</v>
      </c>
      <c r="I278" s="370">
        <v>0</v>
      </c>
      <c r="J278" s="295">
        <v>0</v>
      </c>
      <c r="K278" s="295">
        <v>0</v>
      </c>
      <c r="L278" s="296">
        <f t="shared" si="20"/>
        <v>-1022553523</v>
      </c>
      <c r="N278" s="297">
        <v>0</v>
      </c>
      <c r="O278" s="295">
        <v>0</v>
      </c>
      <c r="P278" s="295">
        <v>0</v>
      </c>
      <c r="Q278" s="295">
        <v>0</v>
      </c>
      <c r="R278" s="295">
        <v>0</v>
      </c>
      <c r="S278" s="296">
        <v>0</v>
      </c>
      <c r="U278" s="298">
        <f t="shared" si="18"/>
        <v>-1022553523</v>
      </c>
      <c r="Z278" s="305">
        <v>-1004176002</v>
      </c>
      <c r="AB278" s="305">
        <f t="shared" si="19"/>
        <v>-18377521</v>
      </c>
    </row>
    <row r="279" spans="3:28" ht="18" customHeight="1">
      <c r="C279" s="6">
        <v>1</v>
      </c>
      <c r="D279" s="292" t="s">
        <v>1194</v>
      </c>
      <c r="E279" s="293" t="s">
        <v>1194</v>
      </c>
      <c r="F279" s="294"/>
      <c r="G279" s="293" t="s">
        <v>1195</v>
      </c>
      <c r="H279" s="370">
        <v>0</v>
      </c>
      <c r="I279" s="295">
        <v>0</v>
      </c>
      <c r="J279" s="295">
        <v>0</v>
      </c>
      <c r="K279" s="295">
        <v>0</v>
      </c>
      <c r="L279" s="296">
        <f t="shared" si="20"/>
        <v>0</v>
      </c>
      <c r="N279" s="297">
        <v>0</v>
      </c>
      <c r="O279" s="295">
        <v>0</v>
      </c>
      <c r="P279" s="295">
        <v>0</v>
      </c>
      <c r="Q279" s="295">
        <v>0</v>
      </c>
      <c r="R279" s="295">
        <v>0</v>
      </c>
      <c r="S279" s="296">
        <v>0</v>
      </c>
      <c r="U279" s="298">
        <f t="shared" si="18"/>
        <v>0</v>
      </c>
      <c r="Z279" s="305">
        <v>0</v>
      </c>
      <c r="AB279" s="305">
        <f t="shared" si="19"/>
        <v>0</v>
      </c>
    </row>
    <row r="280" spans="3:28" ht="18" customHeight="1">
      <c r="C280" s="6">
        <v>1</v>
      </c>
      <c r="D280" s="292" t="s">
        <v>1196</v>
      </c>
      <c r="E280" s="293" t="s">
        <v>1196</v>
      </c>
      <c r="F280" s="294"/>
      <c r="G280" s="293" t="s">
        <v>1197</v>
      </c>
      <c r="H280" s="370">
        <v>0</v>
      </c>
      <c r="I280" s="295">
        <v>0</v>
      </c>
      <c r="J280" s="295">
        <v>0</v>
      </c>
      <c r="K280" s="295">
        <v>0</v>
      </c>
      <c r="L280" s="296">
        <f t="shared" si="20"/>
        <v>0</v>
      </c>
      <c r="N280" s="297">
        <v>0</v>
      </c>
      <c r="O280" s="295">
        <v>0</v>
      </c>
      <c r="P280" s="295">
        <v>0</v>
      </c>
      <c r="Q280" s="295">
        <v>0</v>
      </c>
      <c r="R280" s="295">
        <v>0</v>
      </c>
      <c r="S280" s="296">
        <v>0</v>
      </c>
      <c r="U280" s="298">
        <f t="shared" si="18"/>
        <v>0</v>
      </c>
      <c r="Z280" s="305">
        <v>0</v>
      </c>
      <c r="AB280" s="305">
        <f t="shared" si="19"/>
        <v>0</v>
      </c>
    </row>
    <row r="281" spans="3:28" ht="18" customHeight="1">
      <c r="C281" s="6">
        <v>1</v>
      </c>
      <c r="D281" s="292" t="s">
        <v>1198</v>
      </c>
      <c r="E281" s="293" t="s">
        <v>1198</v>
      </c>
      <c r="F281" s="294"/>
      <c r="G281" s="293" t="s">
        <v>1199</v>
      </c>
      <c r="H281" s="370">
        <v>0</v>
      </c>
      <c r="I281" s="295">
        <v>0</v>
      </c>
      <c r="J281" s="295">
        <v>0</v>
      </c>
      <c r="K281" s="295">
        <v>0</v>
      </c>
      <c r="L281" s="296">
        <f t="shared" si="20"/>
        <v>0</v>
      </c>
      <c r="N281" s="297">
        <v>0</v>
      </c>
      <c r="O281" s="295">
        <v>0</v>
      </c>
      <c r="P281" s="295">
        <v>0</v>
      </c>
      <c r="Q281" s="295">
        <v>0</v>
      </c>
      <c r="R281" s="295">
        <v>0</v>
      </c>
      <c r="S281" s="296">
        <v>0</v>
      </c>
      <c r="U281" s="298">
        <f t="shared" si="18"/>
        <v>0</v>
      </c>
      <c r="Z281" s="305">
        <v>0</v>
      </c>
      <c r="AB281" s="305">
        <f t="shared" si="19"/>
        <v>0</v>
      </c>
    </row>
    <row r="282" spans="3:28" ht="18" customHeight="1">
      <c r="C282" s="6">
        <v>1</v>
      </c>
      <c r="D282" s="292" t="s">
        <v>1200</v>
      </c>
      <c r="E282" s="293" t="s">
        <v>1200</v>
      </c>
      <c r="F282" s="294" t="s">
        <v>1441</v>
      </c>
      <c r="G282" s="293" t="s">
        <v>1201</v>
      </c>
      <c r="H282" s="370">
        <v>-38721408</v>
      </c>
      <c r="I282" s="370">
        <v>0</v>
      </c>
      <c r="J282" s="295">
        <v>0</v>
      </c>
      <c r="K282" s="295">
        <v>0</v>
      </c>
      <c r="L282" s="296">
        <f t="shared" si="20"/>
        <v>-38721408</v>
      </c>
      <c r="N282" s="297">
        <v>0</v>
      </c>
      <c r="O282" s="295">
        <v>0</v>
      </c>
      <c r="P282" s="295">
        <v>0</v>
      </c>
      <c r="Q282" s="295">
        <v>0</v>
      </c>
      <c r="R282" s="295">
        <v>0</v>
      </c>
      <c r="S282" s="296">
        <v>0</v>
      </c>
      <c r="U282" s="298">
        <f t="shared" si="18"/>
        <v>-38721408</v>
      </c>
      <c r="Z282" s="305">
        <v>-25221896</v>
      </c>
      <c r="AB282" s="305">
        <f t="shared" si="19"/>
        <v>-13499512</v>
      </c>
    </row>
    <row r="283" spans="3:28" ht="18" customHeight="1">
      <c r="C283" s="6">
        <v>1</v>
      </c>
      <c r="D283" s="292" t="s">
        <v>1202</v>
      </c>
      <c r="E283" s="293" t="s">
        <v>1202</v>
      </c>
      <c r="F283" s="294"/>
      <c r="G283" s="293" t="s">
        <v>1203</v>
      </c>
      <c r="H283" s="370">
        <v>0</v>
      </c>
      <c r="I283" s="295">
        <v>0</v>
      </c>
      <c r="J283" s="295">
        <v>0</v>
      </c>
      <c r="K283" s="295">
        <v>0</v>
      </c>
      <c r="L283" s="296">
        <f t="shared" si="20"/>
        <v>0</v>
      </c>
      <c r="N283" s="297">
        <v>0</v>
      </c>
      <c r="O283" s="295">
        <v>0</v>
      </c>
      <c r="P283" s="295">
        <v>0</v>
      </c>
      <c r="Q283" s="295">
        <v>0</v>
      </c>
      <c r="R283" s="295">
        <v>0</v>
      </c>
      <c r="S283" s="296">
        <v>0</v>
      </c>
      <c r="U283" s="298">
        <f t="shared" si="18"/>
        <v>0</v>
      </c>
      <c r="Z283" s="305">
        <v>0</v>
      </c>
      <c r="AB283" s="305">
        <f t="shared" si="19"/>
        <v>0</v>
      </c>
    </row>
    <row r="284" spans="3:28" ht="18" customHeight="1">
      <c r="C284" s="6">
        <v>1</v>
      </c>
      <c r="D284" s="292" t="s">
        <v>1204</v>
      </c>
      <c r="E284" s="293" t="s">
        <v>1204</v>
      </c>
      <c r="F284" s="294"/>
      <c r="G284" s="293" t="s">
        <v>1205</v>
      </c>
      <c r="H284" s="370">
        <v>0</v>
      </c>
      <c r="I284" s="295">
        <v>0</v>
      </c>
      <c r="J284" s="295">
        <v>0</v>
      </c>
      <c r="K284" s="295">
        <v>0</v>
      </c>
      <c r="L284" s="296">
        <f t="shared" si="20"/>
        <v>0</v>
      </c>
      <c r="N284" s="297">
        <v>0</v>
      </c>
      <c r="O284" s="295">
        <v>0</v>
      </c>
      <c r="P284" s="295">
        <v>0</v>
      </c>
      <c r="Q284" s="295">
        <v>0</v>
      </c>
      <c r="R284" s="295">
        <v>0</v>
      </c>
      <c r="S284" s="296">
        <v>0</v>
      </c>
      <c r="U284" s="298">
        <f t="shared" si="18"/>
        <v>0</v>
      </c>
      <c r="Z284" s="305">
        <v>0</v>
      </c>
      <c r="AB284" s="305">
        <f t="shared" si="19"/>
        <v>0</v>
      </c>
    </row>
    <row r="285" spans="3:28" ht="18" customHeight="1">
      <c r="C285" s="6">
        <v>1</v>
      </c>
      <c r="D285" s="292" t="s">
        <v>1206</v>
      </c>
      <c r="E285" s="293" t="s">
        <v>1206</v>
      </c>
      <c r="F285" s="294" t="s">
        <v>1954</v>
      </c>
      <c r="G285" s="293" t="s">
        <v>1207</v>
      </c>
      <c r="H285" s="370">
        <v>0</v>
      </c>
      <c r="I285" s="370">
        <v>0</v>
      </c>
      <c r="J285" s="295">
        <v>0</v>
      </c>
      <c r="K285" s="295">
        <v>0</v>
      </c>
      <c r="L285" s="296">
        <f t="shared" si="20"/>
        <v>0</v>
      </c>
      <c r="N285" s="297">
        <v>0</v>
      </c>
      <c r="O285" s="295">
        <v>0</v>
      </c>
      <c r="P285" s="295">
        <v>0</v>
      </c>
      <c r="Q285" s="295">
        <v>0</v>
      </c>
      <c r="R285" s="295">
        <v>0</v>
      </c>
      <c r="S285" s="296">
        <v>0</v>
      </c>
      <c r="U285" s="298">
        <f t="shared" si="18"/>
        <v>0</v>
      </c>
      <c r="Z285" s="305">
        <v>0</v>
      </c>
      <c r="AB285" s="305">
        <f t="shared" si="19"/>
        <v>0</v>
      </c>
    </row>
    <row r="286" spans="3:28" ht="18" customHeight="1">
      <c r="C286" s="6">
        <v>1</v>
      </c>
      <c r="D286" s="292" t="s">
        <v>1208</v>
      </c>
      <c r="E286" s="293" t="s">
        <v>1368</v>
      </c>
      <c r="F286" s="294" t="s">
        <v>1441</v>
      </c>
      <c r="G286" s="293" t="s">
        <v>1360</v>
      </c>
      <c r="H286" s="370">
        <v>-294400000</v>
      </c>
      <c r="I286" s="370">
        <v>-8550000</v>
      </c>
      <c r="J286" s="295">
        <v>0</v>
      </c>
      <c r="K286" s="295">
        <v>0</v>
      </c>
      <c r="L286" s="296">
        <f t="shared" si="20"/>
        <v>-302950000</v>
      </c>
      <c r="N286" s="297">
        <v>0</v>
      </c>
      <c r="O286" s="295">
        <v>0</v>
      </c>
      <c r="P286" s="295">
        <v>0</v>
      </c>
      <c r="Q286" s="295">
        <v>0</v>
      </c>
      <c r="R286" s="295">
        <v>0</v>
      </c>
      <c r="S286" s="296">
        <v>0</v>
      </c>
      <c r="U286" s="298">
        <f t="shared" si="18"/>
        <v>-302950000</v>
      </c>
      <c r="Z286" s="305">
        <v>-180400000</v>
      </c>
      <c r="AB286" s="305">
        <f t="shared" si="19"/>
        <v>-122550000</v>
      </c>
    </row>
    <row r="287" spans="3:28" ht="18" customHeight="1">
      <c r="C287" s="6">
        <v>1</v>
      </c>
      <c r="D287" s="292" t="s">
        <v>1208</v>
      </c>
      <c r="E287" s="293" t="s">
        <v>1369</v>
      </c>
      <c r="F287" s="294" t="s">
        <v>1441</v>
      </c>
      <c r="G287" s="293" t="s">
        <v>1209</v>
      </c>
      <c r="H287" s="370">
        <v>-447986006</v>
      </c>
      <c r="I287" s="370">
        <v>0</v>
      </c>
      <c r="J287" s="295">
        <v>0</v>
      </c>
      <c r="K287" s="295">
        <v>0</v>
      </c>
      <c r="L287" s="296">
        <f t="shared" si="20"/>
        <v>-447986006</v>
      </c>
      <c r="N287" s="297">
        <v>0</v>
      </c>
      <c r="O287" s="295">
        <v>0</v>
      </c>
      <c r="P287" s="295">
        <v>0</v>
      </c>
      <c r="Q287" s="295">
        <v>0</v>
      </c>
      <c r="R287" s="295">
        <v>0</v>
      </c>
      <c r="S287" s="296">
        <v>0</v>
      </c>
      <c r="U287" s="298">
        <f t="shared" si="18"/>
        <v>-447986006</v>
      </c>
      <c r="Z287" s="305">
        <v>-351425491</v>
      </c>
      <c r="AB287" s="305">
        <f t="shared" si="19"/>
        <v>-96560515</v>
      </c>
    </row>
    <row r="288" spans="3:28" ht="18" customHeight="1">
      <c r="C288" s="6">
        <v>1</v>
      </c>
      <c r="D288" s="292" t="s">
        <v>1210</v>
      </c>
      <c r="E288" s="293" t="s">
        <v>1210</v>
      </c>
      <c r="F288" s="294"/>
      <c r="G288" s="293" t="s">
        <v>1211</v>
      </c>
      <c r="H288" s="370">
        <v>0</v>
      </c>
      <c r="I288" s="295">
        <v>0</v>
      </c>
      <c r="J288" s="295">
        <v>0</v>
      </c>
      <c r="K288" s="295">
        <v>0</v>
      </c>
      <c r="L288" s="296">
        <f t="shared" si="20"/>
        <v>0</v>
      </c>
      <c r="N288" s="297">
        <v>0</v>
      </c>
      <c r="O288" s="295">
        <v>0</v>
      </c>
      <c r="P288" s="295">
        <v>0</v>
      </c>
      <c r="Q288" s="295">
        <v>0</v>
      </c>
      <c r="R288" s="295">
        <v>0</v>
      </c>
      <c r="S288" s="296">
        <v>0</v>
      </c>
      <c r="U288" s="298">
        <f t="shared" si="18"/>
        <v>0</v>
      </c>
      <c r="Z288" s="305">
        <v>0</v>
      </c>
      <c r="AB288" s="305">
        <f t="shared" si="19"/>
        <v>0</v>
      </c>
    </row>
    <row r="289" spans="3:29" ht="18" customHeight="1">
      <c r="C289" s="6">
        <v>1</v>
      </c>
      <c r="D289" s="292" t="s">
        <v>1212</v>
      </c>
      <c r="E289" s="293" t="s">
        <v>1212</v>
      </c>
      <c r="F289" s="294"/>
      <c r="G289" s="293" t="s">
        <v>1213</v>
      </c>
      <c r="H289" s="370">
        <v>0</v>
      </c>
      <c r="I289" s="295">
        <v>0</v>
      </c>
      <c r="J289" s="295">
        <v>0</v>
      </c>
      <c r="K289" s="295">
        <v>0</v>
      </c>
      <c r="L289" s="296">
        <f t="shared" si="20"/>
        <v>0</v>
      </c>
      <c r="N289" s="297">
        <v>0</v>
      </c>
      <c r="O289" s="295">
        <v>0</v>
      </c>
      <c r="P289" s="295">
        <v>0</v>
      </c>
      <c r="Q289" s="295">
        <v>0</v>
      </c>
      <c r="R289" s="295">
        <v>0</v>
      </c>
      <c r="S289" s="296">
        <v>0</v>
      </c>
      <c r="U289" s="298">
        <f t="shared" si="18"/>
        <v>0</v>
      </c>
      <c r="Z289" s="305">
        <v>0</v>
      </c>
      <c r="AB289" s="305">
        <f t="shared" si="19"/>
        <v>0</v>
      </c>
    </row>
    <row r="290" spans="3:29" ht="18" customHeight="1">
      <c r="C290" s="6">
        <v>1</v>
      </c>
      <c r="D290" s="292" t="s">
        <v>1214</v>
      </c>
      <c r="E290" s="293" t="s">
        <v>1214</v>
      </c>
      <c r="F290" s="302" t="s">
        <v>1682</v>
      </c>
      <c r="G290" s="293" t="s">
        <v>1215</v>
      </c>
      <c r="H290" s="370">
        <v>0</v>
      </c>
      <c r="I290" s="295">
        <v>0</v>
      </c>
      <c r="J290" s="295">
        <v>0</v>
      </c>
      <c r="K290" s="295">
        <v>0</v>
      </c>
      <c r="L290" s="296">
        <f t="shared" si="20"/>
        <v>0</v>
      </c>
      <c r="N290" s="297">
        <v>0</v>
      </c>
      <c r="O290" s="295">
        <v>0</v>
      </c>
      <c r="P290" s="295">
        <v>0</v>
      </c>
      <c r="Q290" s="295">
        <v>0</v>
      </c>
      <c r="R290" s="295">
        <v>0</v>
      </c>
      <c r="S290" s="296">
        <v>0</v>
      </c>
      <c r="U290" s="298">
        <f t="shared" si="18"/>
        <v>0</v>
      </c>
      <c r="Z290" s="305">
        <v>0</v>
      </c>
      <c r="AB290" s="305">
        <f t="shared" si="19"/>
        <v>0</v>
      </c>
    </row>
    <row r="291" spans="3:29" ht="18" customHeight="1">
      <c r="C291" s="6">
        <v>1</v>
      </c>
      <c r="D291" s="292" t="s">
        <v>1216</v>
      </c>
      <c r="E291" s="293" t="s">
        <v>1216</v>
      </c>
      <c r="F291" s="294"/>
      <c r="G291" s="293" t="s">
        <v>1217</v>
      </c>
      <c r="H291" s="370">
        <v>0</v>
      </c>
      <c r="I291" s="295">
        <v>0</v>
      </c>
      <c r="J291" s="295">
        <v>0</v>
      </c>
      <c r="K291" s="295">
        <v>0</v>
      </c>
      <c r="L291" s="296">
        <f t="shared" si="20"/>
        <v>0</v>
      </c>
      <c r="N291" s="297">
        <v>0</v>
      </c>
      <c r="O291" s="295">
        <v>0</v>
      </c>
      <c r="P291" s="295">
        <v>0</v>
      </c>
      <c r="Q291" s="295">
        <v>0</v>
      </c>
      <c r="R291" s="295">
        <v>0</v>
      </c>
      <c r="S291" s="296">
        <v>0</v>
      </c>
      <c r="U291" s="298">
        <f t="shared" si="18"/>
        <v>0</v>
      </c>
      <c r="Z291" s="305">
        <v>0</v>
      </c>
      <c r="AB291" s="305">
        <f t="shared" si="19"/>
        <v>0</v>
      </c>
    </row>
    <row r="292" spans="3:29" ht="18" customHeight="1">
      <c r="C292" s="6">
        <v>1</v>
      </c>
      <c r="D292" s="292" t="s">
        <v>1218</v>
      </c>
      <c r="E292" s="293" t="s">
        <v>1218</v>
      </c>
      <c r="F292" s="294" t="s">
        <v>1473</v>
      </c>
      <c r="G292" s="293" t="s">
        <v>1219</v>
      </c>
      <c r="H292" s="370">
        <v>0</v>
      </c>
      <c r="I292" s="295">
        <v>0</v>
      </c>
      <c r="J292" s="295">
        <v>0</v>
      </c>
      <c r="K292" s="295">
        <v>0</v>
      </c>
      <c r="L292" s="296">
        <f t="shared" si="20"/>
        <v>0</v>
      </c>
      <c r="N292" s="297">
        <v>0</v>
      </c>
      <c r="O292" s="295">
        <v>0</v>
      </c>
      <c r="P292" s="295">
        <v>0</v>
      </c>
      <c r="Q292" s="295">
        <v>0</v>
      </c>
      <c r="R292" s="295">
        <v>0</v>
      </c>
      <c r="S292" s="296">
        <v>0</v>
      </c>
      <c r="U292" s="298">
        <f t="shared" si="18"/>
        <v>0</v>
      </c>
      <c r="Z292" s="305">
        <v>0</v>
      </c>
      <c r="AB292" s="305">
        <f t="shared" si="19"/>
        <v>0</v>
      </c>
    </row>
    <row r="293" spans="3:29" ht="18" customHeight="1">
      <c r="C293" s="6">
        <v>1</v>
      </c>
      <c r="D293" s="292" t="s">
        <v>1220</v>
      </c>
      <c r="E293" s="293" t="s">
        <v>1220</v>
      </c>
      <c r="F293" s="294"/>
      <c r="G293" s="293" t="s">
        <v>1221</v>
      </c>
      <c r="H293" s="370">
        <v>0</v>
      </c>
      <c r="I293" s="295">
        <v>0</v>
      </c>
      <c r="J293" s="295">
        <v>0</v>
      </c>
      <c r="K293" s="295">
        <v>0</v>
      </c>
      <c r="L293" s="296">
        <f t="shared" si="20"/>
        <v>0</v>
      </c>
      <c r="N293" s="297">
        <v>0</v>
      </c>
      <c r="O293" s="295">
        <v>0</v>
      </c>
      <c r="P293" s="295">
        <v>0</v>
      </c>
      <c r="Q293" s="295">
        <v>0</v>
      </c>
      <c r="R293" s="295">
        <v>0</v>
      </c>
      <c r="S293" s="296">
        <v>0</v>
      </c>
      <c r="U293" s="298">
        <f t="shared" si="18"/>
        <v>0</v>
      </c>
      <c r="Z293" s="305">
        <v>0</v>
      </c>
      <c r="AB293" s="305">
        <f t="shared" si="19"/>
        <v>0</v>
      </c>
    </row>
    <row r="294" spans="3:29" ht="18" customHeight="1">
      <c r="C294" s="6">
        <v>1</v>
      </c>
      <c r="D294" s="292" t="s">
        <v>1222</v>
      </c>
      <c r="E294" s="293" t="s">
        <v>1222</v>
      </c>
      <c r="F294" s="294"/>
      <c r="G294" s="293" t="s">
        <v>1223</v>
      </c>
      <c r="H294" s="370">
        <v>0</v>
      </c>
      <c r="I294" s="295">
        <v>0</v>
      </c>
      <c r="J294" s="295">
        <v>0</v>
      </c>
      <c r="K294" s="295">
        <v>0</v>
      </c>
      <c r="L294" s="296">
        <f t="shared" si="20"/>
        <v>0</v>
      </c>
      <c r="N294" s="297">
        <v>0</v>
      </c>
      <c r="O294" s="295">
        <v>0</v>
      </c>
      <c r="P294" s="295">
        <v>0</v>
      </c>
      <c r="Q294" s="295">
        <v>0</v>
      </c>
      <c r="R294" s="295">
        <v>0</v>
      </c>
      <c r="S294" s="296">
        <v>0</v>
      </c>
      <c r="U294" s="298">
        <f t="shared" si="18"/>
        <v>0</v>
      </c>
      <c r="Z294" s="305">
        <v>0</v>
      </c>
      <c r="AB294" s="305">
        <f t="shared" si="19"/>
        <v>0</v>
      </c>
    </row>
    <row r="295" spans="3:29" ht="18" customHeight="1">
      <c r="C295" s="6">
        <v>1</v>
      </c>
      <c r="D295" s="292" t="s">
        <v>1224</v>
      </c>
      <c r="E295" s="293" t="s">
        <v>1224</v>
      </c>
      <c r="F295" s="294"/>
      <c r="G295" s="293" t="s">
        <v>1225</v>
      </c>
      <c r="H295" s="370">
        <v>0</v>
      </c>
      <c r="I295" s="295">
        <v>0</v>
      </c>
      <c r="J295" s="295">
        <v>0</v>
      </c>
      <c r="K295" s="295">
        <v>0</v>
      </c>
      <c r="L295" s="296">
        <f t="shared" si="20"/>
        <v>0</v>
      </c>
      <c r="N295" s="297">
        <v>0</v>
      </c>
      <c r="O295" s="295">
        <v>0</v>
      </c>
      <c r="P295" s="295">
        <v>0</v>
      </c>
      <c r="Q295" s="295">
        <v>0</v>
      </c>
      <c r="R295" s="295">
        <v>0</v>
      </c>
      <c r="S295" s="296">
        <v>0</v>
      </c>
      <c r="U295" s="298">
        <f t="shared" si="18"/>
        <v>0</v>
      </c>
      <c r="Z295" s="305">
        <v>0</v>
      </c>
      <c r="AB295" s="305">
        <f t="shared" si="19"/>
        <v>0</v>
      </c>
    </row>
    <row r="296" spans="3:29" ht="18" customHeight="1">
      <c r="C296" s="6">
        <v>1</v>
      </c>
      <c r="D296" s="292" t="s">
        <v>1226</v>
      </c>
      <c r="E296" s="293" t="s">
        <v>1226</v>
      </c>
      <c r="F296" s="294"/>
      <c r="G296" s="293" t="s">
        <v>1227</v>
      </c>
      <c r="H296" s="370">
        <v>0</v>
      </c>
      <c r="I296" s="295">
        <v>0</v>
      </c>
      <c r="J296" s="295">
        <v>0</v>
      </c>
      <c r="K296" s="295">
        <v>0</v>
      </c>
      <c r="L296" s="296">
        <f t="shared" si="20"/>
        <v>0</v>
      </c>
      <c r="N296" s="297">
        <v>0</v>
      </c>
      <c r="O296" s="295">
        <v>0</v>
      </c>
      <c r="P296" s="295">
        <v>0</v>
      </c>
      <c r="Q296" s="295">
        <v>0</v>
      </c>
      <c r="R296" s="295">
        <v>0</v>
      </c>
      <c r="S296" s="296">
        <v>0</v>
      </c>
      <c r="U296" s="298">
        <f t="shared" si="18"/>
        <v>0</v>
      </c>
      <c r="Z296" s="305">
        <v>0</v>
      </c>
      <c r="AB296" s="305">
        <f t="shared" si="19"/>
        <v>0</v>
      </c>
    </row>
    <row r="297" spans="3:29" ht="18" customHeight="1">
      <c r="C297" s="6">
        <v>1</v>
      </c>
      <c r="D297" s="292" t="s">
        <v>1228</v>
      </c>
      <c r="E297" s="293" t="s">
        <v>1228</v>
      </c>
      <c r="F297" s="294"/>
      <c r="G297" s="293" t="s">
        <v>1229</v>
      </c>
      <c r="H297" s="370">
        <v>0</v>
      </c>
      <c r="I297" s="295">
        <v>0</v>
      </c>
      <c r="J297" s="295">
        <v>0</v>
      </c>
      <c r="K297" s="295">
        <v>0</v>
      </c>
      <c r="L297" s="296">
        <f t="shared" si="20"/>
        <v>0</v>
      </c>
      <c r="N297" s="297">
        <v>0</v>
      </c>
      <c r="O297" s="295">
        <v>0</v>
      </c>
      <c r="P297" s="295">
        <v>0</v>
      </c>
      <c r="Q297" s="295">
        <v>0</v>
      </c>
      <c r="R297" s="295">
        <v>0</v>
      </c>
      <c r="S297" s="296">
        <v>0</v>
      </c>
      <c r="U297" s="298">
        <f t="shared" si="18"/>
        <v>0</v>
      </c>
      <c r="Z297" s="305">
        <v>0</v>
      </c>
      <c r="AB297" s="305">
        <f t="shared" si="19"/>
        <v>0</v>
      </c>
    </row>
    <row r="298" spans="3:29" ht="18" customHeight="1">
      <c r="C298" s="6">
        <v>1</v>
      </c>
      <c r="D298" s="292" t="s">
        <v>1230</v>
      </c>
      <c r="E298" s="293" t="s">
        <v>1230</v>
      </c>
      <c r="F298" s="294"/>
      <c r="G298" s="293" t="s">
        <v>1231</v>
      </c>
      <c r="H298" s="370">
        <v>0</v>
      </c>
      <c r="I298" s="295">
        <v>0</v>
      </c>
      <c r="J298" s="295">
        <v>0</v>
      </c>
      <c r="K298" s="295">
        <v>0</v>
      </c>
      <c r="L298" s="296">
        <f t="shared" si="20"/>
        <v>0</v>
      </c>
      <c r="N298" s="297">
        <v>0</v>
      </c>
      <c r="O298" s="295">
        <v>0</v>
      </c>
      <c r="P298" s="295">
        <v>0</v>
      </c>
      <c r="Q298" s="295">
        <v>0</v>
      </c>
      <c r="R298" s="295">
        <v>0</v>
      </c>
      <c r="S298" s="296">
        <v>0</v>
      </c>
      <c r="U298" s="298">
        <f t="shared" si="18"/>
        <v>0</v>
      </c>
      <c r="Z298" s="305">
        <v>0</v>
      </c>
      <c r="AB298" s="305">
        <f t="shared" si="19"/>
        <v>0</v>
      </c>
    </row>
    <row r="299" spans="3:29" ht="18" customHeight="1">
      <c r="C299" s="6">
        <v>1</v>
      </c>
      <c r="D299" s="292" t="s">
        <v>1232</v>
      </c>
      <c r="E299" s="293" t="s">
        <v>1232</v>
      </c>
      <c r="F299" s="294" t="s">
        <v>1473</v>
      </c>
      <c r="G299" s="293" t="s">
        <v>1233</v>
      </c>
      <c r="H299" s="370">
        <v>0</v>
      </c>
      <c r="I299" s="295">
        <v>0</v>
      </c>
      <c r="J299" s="295">
        <v>0</v>
      </c>
      <c r="K299" s="295">
        <v>0</v>
      </c>
      <c r="L299" s="296">
        <f t="shared" si="20"/>
        <v>0</v>
      </c>
      <c r="N299" s="297">
        <v>0</v>
      </c>
      <c r="O299" s="295">
        <v>0</v>
      </c>
      <c r="P299" s="295">
        <v>0</v>
      </c>
      <c r="Q299" s="295">
        <v>0</v>
      </c>
      <c r="R299" s="295">
        <v>0</v>
      </c>
      <c r="S299" s="296">
        <v>0</v>
      </c>
      <c r="U299" s="298">
        <f t="shared" si="18"/>
        <v>0</v>
      </c>
      <c r="Z299" s="305">
        <v>0</v>
      </c>
      <c r="AB299" s="305">
        <f t="shared" si="19"/>
        <v>0</v>
      </c>
    </row>
    <row r="300" spans="3:29" ht="18" customHeight="1">
      <c r="C300" s="6">
        <v>1</v>
      </c>
      <c r="D300" s="285" t="s">
        <v>1234</v>
      </c>
      <c r="E300" s="286" t="s">
        <v>1234</v>
      </c>
      <c r="F300" s="287"/>
      <c r="G300" s="286" t="s">
        <v>1235</v>
      </c>
      <c r="H300" s="288">
        <f>SUM(H301,H323)</f>
        <v>68308786907</v>
      </c>
      <c r="I300" s="288">
        <f>SUM(I301,I323)</f>
        <v>1444625225</v>
      </c>
      <c r="J300" s="288">
        <f>SUM(J301,J323)</f>
        <v>-13335652</v>
      </c>
      <c r="K300" s="288">
        <f>SUM(K301,K323)</f>
        <v>-650908781</v>
      </c>
      <c r="L300" s="289">
        <f>SUM(L301,L323)</f>
        <v>69089167699</v>
      </c>
      <c r="N300" s="290">
        <v>0</v>
      </c>
      <c r="O300" s="288">
        <v>0</v>
      </c>
      <c r="P300" s="288">
        <v>-979275000</v>
      </c>
      <c r="Q300" s="288">
        <v>0</v>
      </c>
      <c r="R300" s="288">
        <v>0</v>
      </c>
      <c r="S300" s="289">
        <v>-979275000</v>
      </c>
      <c r="U300" s="291">
        <f>SUM(U301,U323)</f>
        <v>68109892699</v>
      </c>
      <c r="V300" s="6" t="b">
        <f>U300=U301+U323</f>
        <v>1</v>
      </c>
      <c r="Z300" s="291">
        <v>68424089259</v>
      </c>
      <c r="AA300" s="6" t="b">
        <f>Z300=Z301+Z323</f>
        <v>1</v>
      </c>
      <c r="AB300" s="291">
        <f t="shared" si="19"/>
        <v>-314196560</v>
      </c>
      <c r="AC300" s="6" t="b">
        <f>AB300=AB301+AB323</f>
        <v>1</v>
      </c>
    </row>
    <row r="301" spans="3:29" ht="18" customHeight="1">
      <c r="C301" s="6">
        <v>1</v>
      </c>
      <c r="D301" s="285" t="s">
        <v>1236</v>
      </c>
      <c r="E301" s="286" t="s">
        <v>1236</v>
      </c>
      <c r="F301" s="287"/>
      <c r="G301" s="286" t="s">
        <v>1237</v>
      </c>
      <c r="H301" s="288">
        <f>SUM(H302:H322)</f>
        <v>70000001417</v>
      </c>
      <c r="I301" s="288">
        <f>SUM(I302:I322)</f>
        <v>1500000000</v>
      </c>
      <c r="J301" s="288">
        <f>SUM(J302:J322)</f>
        <v>0</v>
      </c>
      <c r="K301" s="288">
        <f>SUM(K302:K322)</f>
        <v>0</v>
      </c>
      <c r="L301" s="289">
        <f>SUM(L302:L322)</f>
        <v>71500001417</v>
      </c>
      <c r="N301" s="290">
        <v>0</v>
      </c>
      <c r="O301" s="288">
        <v>0</v>
      </c>
      <c r="P301" s="288">
        <v>-1500000000</v>
      </c>
      <c r="Q301" s="288">
        <v>0</v>
      </c>
      <c r="R301" s="288">
        <v>0</v>
      </c>
      <c r="S301" s="289">
        <v>-1500000000</v>
      </c>
      <c r="U301" s="291">
        <f>SUM(U302:U322)</f>
        <v>70000001417</v>
      </c>
      <c r="Z301" s="291">
        <v>70000001417</v>
      </c>
      <c r="AB301" s="291">
        <f t="shared" si="19"/>
        <v>0</v>
      </c>
    </row>
    <row r="302" spans="3:29" ht="18" customHeight="1">
      <c r="C302" s="6">
        <v>1</v>
      </c>
      <c r="D302" s="292" t="s">
        <v>1238</v>
      </c>
      <c r="E302" s="293" t="s">
        <v>1238</v>
      </c>
      <c r="F302" s="294" t="s">
        <v>532</v>
      </c>
      <c r="G302" s="293" t="s">
        <v>1239</v>
      </c>
      <c r="H302" s="370">
        <v>0</v>
      </c>
      <c r="I302" s="295">
        <v>0</v>
      </c>
      <c r="J302" s="295">
        <v>0</v>
      </c>
      <c r="K302" s="295">
        <v>0</v>
      </c>
      <c r="L302" s="296">
        <f t="shared" ref="L302:L322" si="21">SUM(H302:K302)</f>
        <v>0</v>
      </c>
      <c r="N302" s="297">
        <v>0</v>
      </c>
      <c r="O302" s="295">
        <v>0</v>
      </c>
      <c r="P302" s="295">
        <v>0</v>
      </c>
      <c r="Q302" s="295">
        <v>0</v>
      </c>
      <c r="R302" s="295">
        <v>0</v>
      </c>
      <c r="S302" s="296">
        <v>0</v>
      </c>
      <c r="U302" s="298">
        <f t="shared" ref="U302:U322" si="22">ROUND(S302+L302,0)</f>
        <v>0</v>
      </c>
      <c r="Z302" s="305">
        <v>0</v>
      </c>
      <c r="AB302" s="305">
        <f t="shared" si="19"/>
        <v>0</v>
      </c>
    </row>
    <row r="303" spans="3:29" ht="18" customHeight="1">
      <c r="C303" s="6">
        <v>1</v>
      </c>
      <c r="D303" s="292" t="s">
        <v>1240</v>
      </c>
      <c r="E303" s="293" t="s">
        <v>1240</v>
      </c>
      <c r="F303" s="294" t="s">
        <v>2192</v>
      </c>
      <c r="G303" s="293" t="s">
        <v>1241</v>
      </c>
      <c r="H303" s="370">
        <v>70000001417</v>
      </c>
      <c r="I303" s="295">
        <v>0</v>
      </c>
      <c r="J303" s="295">
        <v>0</v>
      </c>
      <c r="K303" s="295">
        <v>0</v>
      </c>
      <c r="L303" s="296">
        <f t="shared" si="21"/>
        <v>70000001417</v>
      </c>
      <c r="N303" s="297">
        <v>0</v>
      </c>
      <c r="O303" s="295">
        <v>0</v>
      </c>
      <c r="P303" s="295">
        <v>0</v>
      </c>
      <c r="Q303" s="295">
        <v>0</v>
      </c>
      <c r="R303" s="295">
        <v>0</v>
      </c>
      <c r="S303" s="296">
        <v>0</v>
      </c>
      <c r="U303" s="298">
        <f t="shared" si="22"/>
        <v>70000001417</v>
      </c>
      <c r="Z303" s="305">
        <v>70000001417</v>
      </c>
      <c r="AB303" s="305">
        <f t="shared" si="19"/>
        <v>0</v>
      </c>
    </row>
    <row r="304" spans="3:29" ht="18" customHeight="1">
      <c r="C304" s="6">
        <v>1</v>
      </c>
      <c r="D304" s="292" t="s">
        <v>1242</v>
      </c>
      <c r="E304" s="293" t="s">
        <v>1242</v>
      </c>
      <c r="F304" s="294" t="s">
        <v>1243</v>
      </c>
      <c r="G304" s="293" t="s">
        <v>1243</v>
      </c>
      <c r="H304" s="370">
        <v>0</v>
      </c>
      <c r="I304" s="295">
        <v>1500000000</v>
      </c>
      <c r="J304" s="295">
        <v>0</v>
      </c>
      <c r="K304" s="295">
        <v>0</v>
      </c>
      <c r="L304" s="296">
        <f t="shared" si="21"/>
        <v>1500000000</v>
      </c>
      <c r="N304" s="297">
        <v>0</v>
      </c>
      <c r="O304" s="295">
        <v>0</v>
      </c>
      <c r="P304" s="295">
        <v>-1500000000</v>
      </c>
      <c r="Q304" s="295">
        <v>0</v>
      </c>
      <c r="R304" s="295">
        <v>0</v>
      </c>
      <c r="S304" s="296">
        <v>-1500000000</v>
      </c>
      <c r="U304" s="298">
        <f t="shared" si="22"/>
        <v>0</v>
      </c>
      <c r="W304" s="6" t="b">
        <f>U304=0</f>
        <v>1</v>
      </c>
      <c r="Z304" s="305">
        <v>0</v>
      </c>
      <c r="AB304" s="305">
        <f t="shared" si="19"/>
        <v>0</v>
      </c>
    </row>
    <row r="305" spans="3:28" ht="18" customHeight="1">
      <c r="C305" s="6">
        <v>1</v>
      </c>
      <c r="D305" s="292" t="s">
        <v>1244</v>
      </c>
      <c r="E305" s="293" t="s">
        <v>1244</v>
      </c>
      <c r="F305" s="294"/>
      <c r="G305" s="293" t="s">
        <v>1245</v>
      </c>
      <c r="H305" s="370">
        <v>0</v>
      </c>
      <c r="I305" s="295">
        <v>0</v>
      </c>
      <c r="J305" s="295">
        <v>0</v>
      </c>
      <c r="K305" s="295">
        <v>0</v>
      </c>
      <c r="L305" s="296">
        <f t="shared" si="21"/>
        <v>0</v>
      </c>
      <c r="N305" s="297">
        <v>0</v>
      </c>
      <c r="O305" s="295">
        <v>0</v>
      </c>
      <c r="P305" s="295">
        <v>0</v>
      </c>
      <c r="Q305" s="295">
        <v>0</v>
      </c>
      <c r="R305" s="295">
        <v>0</v>
      </c>
      <c r="S305" s="296">
        <v>0</v>
      </c>
      <c r="U305" s="298">
        <f t="shared" si="22"/>
        <v>0</v>
      </c>
      <c r="Z305" s="305">
        <v>0</v>
      </c>
      <c r="AB305" s="305">
        <f t="shared" si="19"/>
        <v>0</v>
      </c>
    </row>
    <row r="306" spans="3:28" ht="18" customHeight="1">
      <c r="C306" s="6">
        <v>1</v>
      </c>
      <c r="D306" s="292" t="s">
        <v>1246</v>
      </c>
      <c r="E306" s="293" t="s">
        <v>1246</v>
      </c>
      <c r="F306" s="294"/>
      <c r="G306" s="293" t="s">
        <v>1247</v>
      </c>
      <c r="H306" s="370">
        <v>0</v>
      </c>
      <c r="I306" s="295">
        <v>0</v>
      </c>
      <c r="J306" s="295">
        <v>0</v>
      </c>
      <c r="K306" s="295">
        <v>0</v>
      </c>
      <c r="L306" s="296">
        <f t="shared" si="21"/>
        <v>0</v>
      </c>
      <c r="N306" s="297">
        <v>0</v>
      </c>
      <c r="O306" s="295">
        <v>0</v>
      </c>
      <c r="P306" s="295">
        <v>0</v>
      </c>
      <c r="Q306" s="295">
        <v>0</v>
      </c>
      <c r="R306" s="295">
        <v>0</v>
      </c>
      <c r="S306" s="296">
        <v>0</v>
      </c>
      <c r="U306" s="298">
        <f t="shared" si="22"/>
        <v>0</v>
      </c>
      <c r="Z306" s="305">
        <v>0</v>
      </c>
      <c r="AB306" s="305">
        <f t="shared" si="19"/>
        <v>0</v>
      </c>
    </row>
    <row r="307" spans="3:28" ht="18" customHeight="1">
      <c r="C307" s="6">
        <v>1</v>
      </c>
      <c r="D307" s="292" t="s">
        <v>1248</v>
      </c>
      <c r="E307" s="293" t="s">
        <v>1248</v>
      </c>
      <c r="F307" s="294"/>
      <c r="G307" s="293" t="s">
        <v>1249</v>
      </c>
      <c r="H307" s="370">
        <v>0</v>
      </c>
      <c r="I307" s="295">
        <v>0</v>
      </c>
      <c r="J307" s="295">
        <v>0</v>
      </c>
      <c r="K307" s="295">
        <v>0</v>
      </c>
      <c r="L307" s="296">
        <f t="shared" si="21"/>
        <v>0</v>
      </c>
      <c r="N307" s="297">
        <v>0</v>
      </c>
      <c r="O307" s="295">
        <v>0</v>
      </c>
      <c r="P307" s="295">
        <v>0</v>
      </c>
      <c r="Q307" s="295">
        <v>0</v>
      </c>
      <c r="R307" s="295">
        <v>0</v>
      </c>
      <c r="S307" s="296">
        <v>0</v>
      </c>
      <c r="U307" s="298">
        <f t="shared" si="22"/>
        <v>0</v>
      </c>
      <c r="Z307" s="305">
        <v>0</v>
      </c>
      <c r="AB307" s="305">
        <f t="shared" si="19"/>
        <v>0</v>
      </c>
    </row>
    <row r="308" spans="3:28" ht="18" customHeight="1">
      <c r="C308" s="6">
        <v>1</v>
      </c>
      <c r="D308" s="292" t="s">
        <v>1250</v>
      </c>
      <c r="E308" s="293" t="s">
        <v>1250</v>
      </c>
      <c r="F308" s="294"/>
      <c r="G308" s="293" t="s">
        <v>1251</v>
      </c>
      <c r="H308" s="370">
        <v>0</v>
      </c>
      <c r="I308" s="295">
        <v>0</v>
      </c>
      <c r="J308" s="295">
        <v>0</v>
      </c>
      <c r="K308" s="295">
        <v>0</v>
      </c>
      <c r="L308" s="296">
        <f t="shared" si="21"/>
        <v>0</v>
      </c>
      <c r="N308" s="297">
        <v>0</v>
      </c>
      <c r="O308" s="295">
        <v>0</v>
      </c>
      <c r="P308" s="295">
        <v>0</v>
      </c>
      <c r="Q308" s="295">
        <v>0</v>
      </c>
      <c r="R308" s="295">
        <v>0</v>
      </c>
      <c r="S308" s="296">
        <v>0</v>
      </c>
      <c r="U308" s="298">
        <f t="shared" si="22"/>
        <v>0</v>
      </c>
      <c r="Z308" s="305">
        <v>0</v>
      </c>
      <c r="AB308" s="305">
        <f t="shared" si="19"/>
        <v>0</v>
      </c>
    </row>
    <row r="309" spans="3:28" ht="18" customHeight="1">
      <c r="C309" s="6">
        <v>1</v>
      </c>
      <c r="D309" s="292" t="s">
        <v>1252</v>
      </c>
      <c r="E309" s="293" t="s">
        <v>1252</v>
      </c>
      <c r="F309" s="294"/>
      <c r="G309" s="293" t="s">
        <v>1253</v>
      </c>
      <c r="H309" s="370">
        <v>0</v>
      </c>
      <c r="I309" s="295">
        <v>0</v>
      </c>
      <c r="J309" s="295">
        <v>0</v>
      </c>
      <c r="K309" s="295">
        <v>0</v>
      </c>
      <c r="L309" s="296">
        <f t="shared" si="21"/>
        <v>0</v>
      </c>
      <c r="N309" s="297">
        <v>0</v>
      </c>
      <c r="O309" s="295">
        <v>0</v>
      </c>
      <c r="P309" s="295">
        <v>0</v>
      </c>
      <c r="Q309" s="295">
        <v>0</v>
      </c>
      <c r="R309" s="295">
        <v>0</v>
      </c>
      <c r="S309" s="296">
        <v>0</v>
      </c>
      <c r="U309" s="298">
        <f t="shared" si="22"/>
        <v>0</v>
      </c>
      <c r="Z309" s="305">
        <v>0</v>
      </c>
      <c r="AB309" s="305">
        <f t="shared" si="19"/>
        <v>0</v>
      </c>
    </row>
    <row r="310" spans="3:28" ht="18" customHeight="1">
      <c r="C310" s="6">
        <v>1</v>
      </c>
      <c r="D310" s="292" t="s">
        <v>1254</v>
      </c>
      <c r="E310" s="293" t="s">
        <v>1254</v>
      </c>
      <c r="F310" s="294"/>
      <c r="G310" s="293" t="s">
        <v>1255</v>
      </c>
      <c r="H310" s="370">
        <v>0</v>
      </c>
      <c r="I310" s="295">
        <v>0</v>
      </c>
      <c r="J310" s="295">
        <v>0</v>
      </c>
      <c r="K310" s="295">
        <v>0</v>
      </c>
      <c r="L310" s="296">
        <f t="shared" si="21"/>
        <v>0</v>
      </c>
      <c r="N310" s="297">
        <v>0</v>
      </c>
      <c r="O310" s="295">
        <v>0</v>
      </c>
      <c r="P310" s="295">
        <v>0</v>
      </c>
      <c r="Q310" s="295">
        <v>0</v>
      </c>
      <c r="R310" s="295">
        <v>0</v>
      </c>
      <c r="S310" s="296">
        <v>0</v>
      </c>
      <c r="U310" s="298">
        <f t="shared" si="22"/>
        <v>0</v>
      </c>
      <c r="Z310" s="305">
        <v>0</v>
      </c>
      <c r="AB310" s="305">
        <f t="shared" si="19"/>
        <v>0</v>
      </c>
    </row>
    <row r="311" spans="3:28" ht="18" customHeight="1">
      <c r="C311" s="6">
        <v>1</v>
      </c>
      <c r="D311" s="292" t="s">
        <v>1256</v>
      </c>
      <c r="E311" s="293" t="s">
        <v>1256</v>
      </c>
      <c r="F311" s="294"/>
      <c r="G311" s="293" t="s">
        <v>1031</v>
      </c>
      <c r="H311" s="370">
        <v>0</v>
      </c>
      <c r="I311" s="295">
        <v>0</v>
      </c>
      <c r="J311" s="295">
        <v>0</v>
      </c>
      <c r="K311" s="295">
        <v>0</v>
      </c>
      <c r="L311" s="296">
        <f t="shared" si="21"/>
        <v>0</v>
      </c>
      <c r="N311" s="297">
        <v>0</v>
      </c>
      <c r="O311" s="295">
        <v>0</v>
      </c>
      <c r="P311" s="295">
        <v>0</v>
      </c>
      <c r="Q311" s="295">
        <v>0</v>
      </c>
      <c r="R311" s="295">
        <v>0</v>
      </c>
      <c r="S311" s="296">
        <v>0</v>
      </c>
      <c r="U311" s="298">
        <f t="shared" si="22"/>
        <v>0</v>
      </c>
      <c r="Z311" s="305">
        <v>0</v>
      </c>
      <c r="AB311" s="305">
        <f t="shared" si="19"/>
        <v>0</v>
      </c>
    </row>
    <row r="312" spans="3:28" ht="18" customHeight="1">
      <c r="C312" s="6">
        <v>1</v>
      </c>
      <c r="D312" s="292" t="s">
        <v>1257</v>
      </c>
      <c r="E312" s="293" t="s">
        <v>1257</v>
      </c>
      <c r="F312" s="294"/>
      <c r="G312" s="293" t="s">
        <v>1033</v>
      </c>
      <c r="H312" s="370">
        <v>0</v>
      </c>
      <c r="I312" s="295">
        <v>0</v>
      </c>
      <c r="J312" s="295">
        <v>0</v>
      </c>
      <c r="K312" s="295">
        <v>0</v>
      </c>
      <c r="L312" s="296">
        <f t="shared" si="21"/>
        <v>0</v>
      </c>
      <c r="N312" s="297">
        <v>0</v>
      </c>
      <c r="O312" s="295">
        <v>0</v>
      </c>
      <c r="P312" s="295">
        <v>0</v>
      </c>
      <c r="Q312" s="295">
        <v>0</v>
      </c>
      <c r="R312" s="295">
        <v>0</v>
      </c>
      <c r="S312" s="296">
        <v>0</v>
      </c>
      <c r="U312" s="298">
        <f t="shared" si="22"/>
        <v>0</v>
      </c>
      <c r="Z312" s="305">
        <v>0</v>
      </c>
      <c r="AB312" s="305">
        <f t="shared" si="19"/>
        <v>0</v>
      </c>
    </row>
    <row r="313" spans="3:28" ht="18" customHeight="1">
      <c r="C313" s="6">
        <v>1</v>
      </c>
      <c r="D313" s="292" t="s">
        <v>1258</v>
      </c>
      <c r="E313" s="293" t="s">
        <v>1258</v>
      </c>
      <c r="F313" s="294"/>
      <c r="G313" s="293" t="s">
        <v>1259</v>
      </c>
      <c r="H313" s="370">
        <v>0</v>
      </c>
      <c r="I313" s="295">
        <v>0</v>
      </c>
      <c r="J313" s="295">
        <v>0</v>
      </c>
      <c r="K313" s="295">
        <v>0</v>
      </c>
      <c r="L313" s="296">
        <f t="shared" si="21"/>
        <v>0</v>
      </c>
      <c r="N313" s="297">
        <v>0</v>
      </c>
      <c r="O313" s="295">
        <v>0</v>
      </c>
      <c r="P313" s="295">
        <v>0</v>
      </c>
      <c r="Q313" s="295">
        <v>0</v>
      </c>
      <c r="R313" s="295">
        <v>0</v>
      </c>
      <c r="S313" s="296">
        <v>0</v>
      </c>
      <c r="U313" s="298">
        <f t="shared" si="22"/>
        <v>0</v>
      </c>
      <c r="Z313" s="305">
        <v>0</v>
      </c>
      <c r="AB313" s="305">
        <f t="shared" si="19"/>
        <v>0</v>
      </c>
    </row>
    <row r="314" spans="3:28" ht="18" customHeight="1">
      <c r="C314" s="6">
        <v>1</v>
      </c>
      <c r="D314" s="292" t="s">
        <v>1260</v>
      </c>
      <c r="E314" s="293" t="s">
        <v>1260</v>
      </c>
      <c r="F314" s="294"/>
      <c r="G314" s="293" t="s">
        <v>1261</v>
      </c>
      <c r="H314" s="370">
        <v>0</v>
      </c>
      <c r="I314" s="295">
        <v>0</v>
      </c>
      <c r="J314" s="295">
        <v>0</v>
      </c>
      <c r="K314" s="295">
        <v>0</v>
      </c>
      <c r="L314" s="296">
        <f t="shared" si="21"/>
        <v>0</v>
      </c>
      <c r="N314" s="297">
        <v>0</v>
      </c>
      <c r="O314" s="295">
        <v>0</v>
      </c>
      <c r="P314" s="295">
        <v>0</v>
      </c>
      <c r="Q314" s="295">
        <v>0</v>
      </c>
      <c r="R314" s="295">
        <v>0</v>
      </c>
      <c r="S314" s="296">
        <v>0</v>
      </c>
      <c r="U314" s="298">
        <f t="shared" si="22"/>
        <v>0</v>
      </c>
      <c r="Z314" s="305">
        <v>0</v>
      </c>
      <c r="AB314" s="305">
        <f t="shared" si="19"/>
        <v>0</v>
      </c>
    </row>
    <row r="315" spans="3:28" ht="18" customHeight="1">
      <c r="C315" s="6">
        <v>1</v>
      </c>
      <c r="D315" s="292" t="s">
        <v>1262</v>
      </c>
      <c r="E315" s="293" t="s">
        <v>1262</v>
      </c>
      <c r="F315" s="294"/>
      <c r="G315" s="293" t="s">
        <v>1263</v>
      </c>
      <c r="H315" s="370">
        <v>0</v>
      </c>
      <c r="I315" s="295">
        <v>0</v>
      </c>
      <c r="J315" s="295">
        <v>0</v>
      </c>
      <c r="K315" s="295">
        <v>0</v>
      </c>
      <c r="L315" s="296">
        <f t="shared" si="21"/>
        <v>0</v>
      </c>
      <c r="N315" s="297">
        <v>0</v>
      </c>
      <c r="O315" s="295">
        <v>0</v>
      </c>
      <c r="P315" s="295">
        <v>0</v>
      </c>
      <c r="Q315" s="295">
        <v>0</v>
      </c>
      <c r="R315" s="295">
        <v>0</v>
      </c>
      <c r="S315" s="296">
        <v>0</v>
      </c>
      <c r="U315" s="298">
        <f t="shared" si="22"/>
        <v>0</v>
      </c>
      <c r="Z315" s="305">
        <v>0</v>
      </c>
      <c r="AB315" s="305">
        <f t="shared" si="19"/>
        <v>0</v>
      </c>
    </row>
    <row r="316" spans="3:28" ht="18" customHeight="1">
      <c r="C316" s="6">
        <v>1</v>
      </c>
      <c r="D316" s="292" t="s">
        <v>1264</v>
      </c>
      <c r="E316" s="293" t="s">
        <v>1264</v>
      </c>
      <c r="F316" s="294"/>
      <c r="G316" s="293" t="s">
        <v>1265</v>
      </c>
      <c r="H316" s="370">
        <v>0</v>
      </c>
      <c r="I316" s="295">
        <v>0</v>
      </c>
      <c r="J316" s="295">
        <v>0</v>
      </c>
      <c r="K316" s="295">
        <v>0</v>
      </c>
      <c r="L316" s="296">
        <f t="shared" si="21"/>
        <v>0</v>
      </c>
      <c r="N316" s="297">
        <v>0</v>
      </c>
      <c r="O316" s="295">
        <v>0</v>
      </c>
      <c r="P316" s="295">
        <v>0</v>
      </c>
      <c r="Q316" s="295">
        <v>0</v>
      </c>
      <c r="R316" s="295">
        <v>0</v>
      </c>
      <c r="S316" s="296">
        <v>0</v>
      </c>
      <c r="U316" s="298">
        <f t="shared" si="22"/>
        <v>0</v>
      </c>
      <c r="Z316" s="305">
        <v>0</v>
      </c>
      <c r="AB316" s="305">
        <f t="shared" si="19"/>
        <v>0</v>
      </c>
    </row>
    <row r="317" spans="3:28" ht="18" customHeight="1">
      <c r="C317" s="6">
        <v>1</v>
      </c>
      <c r="D317" s="292" t="s">
        <v>1266</v>
      </c>
      <c r="E317" s="293" t="s">
        <v>1266</v>
      </c>
      <c r="F317" s="294"/>
      <c r="G317" s="293" t="s">
        <v>1267</v>
      </c>
      <c r="H317" s="370">
        <v>0</v>
      </c>
      <c r="I317" s="295">
        <v>0</v>
      </c>
      <c r="J317" s="295">
        <v>0</v>
      </c>
      <c r="K317" s="295">
        <v>0</v>
      </c>
      <c r="L317" s="296">
        <f t="shared" si="21"/>
        <v>0</v>
      </c>
      <c r="N317" s="297">
        <v>0</v>
      </c>
      <c r="O317" s="295">
        <v>0</v>
      </c>
      <c r="P317" s="295">
        <v>0</v>
      </c>
      <c r="Q317" s="295">
        <v>0</v>
      </c>
      <c r="R317" s="295">
        <v>0</v>
      </c>
      <c r="S317" s="296">
        <v>0</v>
      </c>
      <c r="U317" s="298">
        <f t="shared" si="22"/>
        <v>0</v>
      </c>
      <c r="Z317" s="305">
        <v>0</v>
      </c>
      <c r="AB317" s="305">
        <f t="shared" si="19"/>
        <v>0</v>
      </c>
    </row>
    <row r="318" spans="3:28" ht="18" customHeight="1">
      <c r="C318" s="6">
        <v>1</v>
      </c>
      <c r="D318" s="292" t="s">
        <v>1268</v>
      </c>
      <c r="E318" s="293" t="s">
        <v>1268</v>
      </c>
      <c r="F318" s="294"/>
      <c r="G318" s="293" t="s">
        <v>1269</v>
      </c>
      <c r="H318" s="370">
        <v>0</v>
      </c>
      <c r="I318" s="295">
        <v>0</v>
      </c>
      <c r="J318" s="295">
        <v>0</v>
      </c>
      <c r="K318" s="295">
        <v>0</v>
      </c>
      <c r="L318" s="296">
        <f t="shared" si="21"/>
        <v>0</v>
      </c>
      <c r="N318" s="297">
        <v>0</v>
      </c>
      <c r="O318" s="295">
        <v>0</v>
      </c>
      <c r="P318" s="295">
        <v>0</v>
      </c>
      <c r="Q318" s="295">
        <v>0</v>
      </c>
      <c r="R318" s="295">
        <v>0</v>
      </c>
      <c r="S318" s="296">
        <v>0</v>
      </c>
      <c r="U318" s="298">
        <f t="shared" si="22"/>
        <v>0</v>
      </c>
      <c r="Z318" s="305">
        <v>0</v>
      </c>
      <c r="AB318" s="305">
        <f t="shared" si="19"/>
        <v>0</v>
      </c>
    </row>
    <row r="319" spans="3:28" ht="18" customHeight="1">
      <c r="C319" s="6">
        <v>1</v>
      </c>
      <c r="D319" s="292" t="s">
        <v>1270</v>
      </c>
      <c r="E319" s="293" t="s">
        <v>1270</v>
      </c>
      <c r="F319" s="294"/>
      <c r="G319" s="293" t="s">
        <v>1271</v>
      </c>
      <c r="H319" s="370">
        <v>0</v>
      </c>
      <c r="I319" s="295">
        <v>0</v>
      </c>
      <c r="J319" s="295">
        <v>0</v>
      </c>
      <c r="K319" s="295">
        <v>0</v>
      </c>
      <c r="L319" s="296">
        <f t="shared" si="21"/>
        <v>0</v>
      </c>
      <c r="N319" s="297">
        <v>0</v>
      </c>
      <c r="O319" s="295">
        <v>0</v>
      </c>
      <c r="P319" s="295">
        <v>0</v>
      </c>
      <c r="Q319" s="295">
        <v>0</v>
      </c>
      <c r="R319" s="295">
        <v>0</v>
      </c>
      <c r="S319" s="296">
        <v>0</v>
      </c>
      <c r="U319" s="298">
        <f t="shared" si="22"/>
        <v>0</v>
      </c>
      <c r="Z319" s="305">
        <v>0</v>
      </c>
      <c r="AB319" s="305">
        <f t="shared" si="19"/>
        <v>0</v>
      </c>
    </row>
    <row r="320" spans="3:28" ht="18" customHeight="1">
      <c r="C320" s="6">
        <v>1</v>
      </c>
      <c r="D320" s="292" t="s">
        <v>1272</v>
      </c>
      <c r="E320" s="293" t="s">
        <v>1272</v>
      </c>
      <c r="F320" s="294"/>
      <c r="G320" s="293" t="s">
        <v>1273</v>
      </c>
      <c r="H320" s="370">
        <v>0</v>
      </c>
      <c r="I320" s="295">
        <v>0</v>
      </c>
      <c r="J320" s="295">
        <v>0</v>
      </c>
      <c r="K320" s="295">
        <v>0</v>
      </c>
      <c r="L320" s="296">
        <f t="shared" si="21"/>
        <v>0</v>
      </c>
      <c r="N320" s="297">
        <v>0</v>
      </c>
      <c r="O320" s="295">
        <v>0</v>
      </c>
      <c r="P320" s="295">
        <v>0</v>
      </c>
      <c r="Q320" s="295">
        <v>0</v>
      </c>
      <c r="R320" s="295">
        <v>0</v>
      </c>
      <c r="S320" s="296">
        <v>0</v>
      </c>
      <c r="U320" s="298">
        <f t="shared" si="22"/>
        <v>0</v>
      </c>
      <c r="Z320" s="305">
        <v>0</v>
      </c>
      <c r="AB320" s="305">
        <f t="shared" si="19"/>
        <v>0</v>
      </c>
    </row>
    <row r="321" spans="3:29" ht="18" customHeight="1">
      <c r="C321" s="6">
        <v>1</v>
      </c>
      <c r="D321" s="292" t="s">
        <v>1274</v>
      </c>
      <c r="E321" s="293" t="s">
        <v>1274</v>
      </c>
      <c r="F321" s="294"/>
      <c r="G321" s="293" t="s">
        <v>1275</v>
      </c>
      <c r="H321" s="370">
        <v>0</v>
      </c>
      <c r="I321" s="295">
        <v>0</v>
      </c>
      <c r="J321" s="295">
        <v>0</v>
      </c>
      <c r="K321" s="295">
        <v>0</v>
      </c>
      <c r="L321" s="296">
        <f t="shared" si="21"/>
        <v>0</v>
      </c>
      <c r="N321" s="297">
        <v>0</v>
      </c>
      <c r="O321" s="295">
        <v>0</v>
      </c>
      <c r="P321" s="295">
        <v>0</v>
      </c>
      <c r="Q321" s="295">
        <v>0</v>
      </c>
      <c r="R321" s="295">
        <v>0</v>
      </c>
      <c r="S321" s="296">
        <v>0</v>
      </c>
      <c r="U321" s="298">
        <f t="shared" si="22"/>
        <v>0</v>
      </c>
      <c r="Z321" s="305">
        <v>0</v>
      </c>
      <c r="AB321" s="305">
        <f t="shared" si="19"/>
        <v>0</v>
      </c>
    </row>
    <row r="322" spans="3:29" ht="18" customHeight="1">
      <c r="C322" s="6">
        <v>1</v>
      </c>
      <c r="D322" s="292" t="s">
        <v>1276</v>
      </c>
      <c r="E322" s="293" t="s">
        <v>1276</v>
      </c>
      <c r="F322" s="294"/>
      <c r="G322" s="293" t="s">
        <v>1277</v>
      </c>
      <c r="H322" s="370">
        <v>0</v>
      </c>
      <c r="I322" s="295">
        <v>0</v>
      </c>
      <c r="J322" s="295">
        <v>0</v>
      </c>
      <c r="K322" s="295">
        <v>0</v>
      </c>
      <c r="L322" s="296">
        <f t="shared" si="21"/>
        <v>0</v>
      </c>
      <c r="N322" s="297">
        <v>0</v>
      </c>
      <c r="O322" s="295">
        <v>0</v>
      </c>
      <c r="P322" s="295">
        <v>0</v>
      </c>
      <c r="Q322" s="295">
        <v>0</v>
      </c>
      <c r="R322" s="295">
        <v>0</v>
      </c>
      <c r="S322" s="296">
        <v>0</v>
      </c>
      <c r="U322" s="298">
        <f t="shared" si="22"/>
        <v>0</v>
      </c>
      <c r="Z322" s="305">
        <v>0</v>
      </c>
      <c r="AB322" s="305">
        <f t="shared" si="19"/>
        <v>0</v>
      </c>
    </row>
    <row r="323" spans="3:29" ht="18" customHeight="1">
      <c r="C323" s="6">
        <v>1</v>
      </c>
      <c r="D323" s="285" t="s">
        <v>1278</v>
      </c>
      <c r="E323" s="286" t="s">
        <v>1278</v>
      </c>
      <c r="F323" s="287"/>
      <c r="G323" s="286" t="s">
        <v>1279</v>
      </c>
      <c r="H323" s="288">
        <f>SUM(H324:H342)</f>
        <v>-1691214510</v>
      </c>
      <c r="I323" s="288">
        <f>SUM(I324:I342)</f>
        <v>-55374775</v>
      </c>
      <c r="J323" s="288">
        <f>SUM(J324:J342)</f>
        <v>-13335652</v>
      </c>
      <c r="K323" s="288">
        <f>SUM(K324:K342)</f>
        <v>-650908781</v>
      </c>
      <c r="L323" s="289">
        <f>SUM(L324:L342)</f>
        <v>-2410833718</v>
      </c>
      <c r="N323" s="290">
        <v>0</v>
      </c>
      <c r="O323" s="288">
        <v>0</v>
      </c>
      <c r="P323" s="288">
        <v>520725000</v>
      </c>
      <c r="Q323" s="288">
        <v>0</v>
      </c>
      <c r="R323" s="288">
        <v>0</v>
      </c>
      <c r="S323" s="289">
        <v>520725000</v>
      </c>
      <c r="U323" s="291">
        <f>SUM(U324:U342)</f>
        <v>-1890108718</v>
      </c>
      <c r="V323" s="6" t="b">
        <f>U323=SUM(U324:U342)</f>
        <v>1</v>
      </c>
      <c r="Z323" s="291">
        <v>-1575912158</v>
      </c>
      <c r="AA323" s="6" t="b">
        <f>Z323=SUM(Z324:Z342)</f>
        <v>1</v>
      </c>
      <c r="AB323" s="291">
        <f t="shared" si="19"/>
        <v>-314196560</v>
      </c>
      <c r="AC323" s="6" t="b">
        <f>AB323=SUM(AB324:AB342)</f>
        <v>1</v>
      </c>
    </row>
    <row r="324" spans="3:29" ht="18" customHeight="1">
      <c r="C324" s="6">
        <v>1</v>
      </c>
      <c r="D324" s="292" t="s">
        <v>1280</v>
      </c>
      <c r="E324" s="293" t="s">
        <v>1280</v>
      </c>
      <c r="F324" s="294" t="s">
        <v>1281</v>
      </c>
      <c r="G324" s="293" t="s">
        <v>1281</v>
      </c>
      <c r="H324" s="370">
        <v>0</v>
      </c>
      <c r="I324" s="295">
        <v>0</v>
      </c>
      <c r="J324" s="295">
        <v>0</v>
      </c>
      <c r="K324" s="295">
        <v>-520725000</v>
      </c>
      <c r="L324" s="296">
        <f t="shared" ref="L324:L342" si="23">SUM(H324:K324)</f>
        <v>-520725000</v>
      </c>
      <c r="N324" s="297">
        <v>0</v>
      </c>
      <c r="O324" s="295">
        <v>0</v>
      </c>
      <c r="P324" s="295">
        <v>520725000</v>
      </c>
      <c r="Q324" s="295">
        <v>0</v>
      </c>
      <c r="R324" s="295">
        <v>0</v>
      </c>
      <c r="S324" s="296">
        <v>520725000</v>
      </c>
      <c r="U324" s="298">
        <f t="shared" ref="U324:U342" si="24">ROUND(S324+L324,0)</f>
        <v>0</v>
      </c>
      <c r="W324" s="7" t="b">
        <f>U324-H324=0</f>
        <v>1</v>
      </c>
      <c r="Z324" s="305">
        <v>0</v>
      </c>
      <c r="AB324" s="305">
        <f t="shared" si="19"/>
        <v>0</v>
      </c>
    </row>
    <row r="325" spans="3:29" ht="18" customHeight="1">
      <c r="C325" s="6">
        <v>1</v>
      </c>
      <c r="D325" s="292" t="s">
        <v>1282</v>
      </c>
      <c r="E325" s="293" t="s">
        <v>1282</v>
      </c>
      <c r="F325" s="294"/>
      <c r="G325" s="293" t="s">
        <v>1283</v>
      </c>
      <c r="H325" s="370">
        <v>0</v>
      </c>
      <c r="I325" s="295">
        <v>0</v>
      </c>
      <c r="J325" s="295">
        <v>0</v>
      </c>
      <c r="K325" s="295">
        <v>0</v>
      </c>
      <c r="L325" s="296">
        <f t="shared" si="23"/>
        <v>0</v>
      </c>
      <c r="N325" s="297">
        <v>0</v>
      </c>
      <c r="O325" s="295">
        <v>0</v>
      </c>
      <c r="P325" s="295">
        <v>0</v>
      </c>
      <c r="Q325" s="295">
        <v>0</v>
      </c>
      <c r="R325" s="295">
        <v>0</v>
      </c>
      <c r="S325" s="296">
        <v>0</v>
      </c>
      <c r="U325" s="298">
        <f t="shared" si="24"/>
        <v>0</v>
      </c>
      <c r="Z325" s="305">
        <v>0</v>
      </c>
      <c r="AB325" s="305">
        <f t="shared" si="19"/>
        <v>0</v>
      </c>
    </row>
    <row r="326" spans="3:29" ht="18" customHeight="1">
      <c r="C326" s="6">
        <v>1</v>
      </c>
      <c r="D326" s="292" t="s">
        <v>1284</v>
      </c>
      <c r="E326" s="293" t="s">
        <v>1284</v>
      </c>
      <c r="F326" s="294"/>
      <c r="G326" s="293" t="s">
        <v>1285</v>
      </c>
      <c r="H326" s="370">
        <v>0</v>
      </c>
      <c r="I326" s="295">
        <v>0</v>
      </c>
      <c r="J326" s="295">
        <v>0</v>
      </c>
      <c r="K326" s="295">
        <v>0</v>
      </c>
      <c r="L326" s="296">
        <f t="shared" si="23"/>
        <v>0</v>
      </c>
      <c r="N326" s="297">
        <v>0</v>
      </c>
      <c r="O326" s="295">
        <v>0</v>
      </c>
      <c r="P326" s="295">
        <v>0</v>
      </c>
      <c r="Q326" s="295">
        <v>0</v>
      </c>
      <c r="R326" s="295">
        <v>0</v>
      </c>
      <c r="S326" s="296">
        <v>0</v>
      </c>
      <c r="U326" s="298">
        <f t="shared" si="24"/>
        <v>0</v>
      </c>
      <c r="Z326" s="305">
        <v>0</v>
      </c>
      <c r="AB326" s="305">
        <f t="shared" si="19"/>
        <v>0</v>
      </c>
    </row>
    <row r="327" spans="3:29" ht="18" customHeight="1">
      <c r="C327" s="6">
        <v>1</v>
      </c>
      <c r="D327" s="292" t="s">
        <v>1286</v>
      </c>
      <c r="E327" s="293" t="s">
        <v>1286</v>
      </c>
      <c r="F327" s="294"/>
      <c r="G327" s="293" t="s">
        <v>1287</v>
      </c>
      <c r="H327" s="370">
        <v>0</v>
      </c>
      <c r="I327" s="295">
        <v>0</v>
      </c>
      <c r="J327" s="295">
        <v>0</v>
      </c>
      <c r="K327" s="295">
        <v>0</v>
      </c>
      <c r="L327" s="296">
        <f t="shared" si="23"/>
        <v>0</v>
      </c>
      <c r="N327" s="297">
        <v>0</v>
      </c>
      <c r="O327" s="295">
        <v>0</v>
      </c>
      <c r="P327" s="295">
        <v>0</v>
      </c>
      <c r="Q327" s="295">
        <v>0</v>
      </c>
      <c r="R327" s="295">
        <v>0</v>
      </c>
      <c r="S327" s="296">
        <v>0</v>
      </c>
      <c r="U327" s="298">
        <f t="shared" si="24"/>
        <v>0</v>
      </c>
      <c r="Z327" s="305">
        <v>0</v>
      </c>
      <c r="AB327" s="305">
        <f t="shared" si="19"/>
        <v>0</v>
      </c>
    </row>
    <row r="328" spans="3:29" ht="18" customHeight="1">
      <c r="C328" s="6">
        <v>1</v>
      </c>
      <c r="D328" s="292" t="s">
        <v>1288</v>
      </c>
      <c r="E328" s="293" t="s">
        <v>1288</v>
      </c>
      <c r="F328" s="294"/>
      <c r="G328" s="293" t="s">
        <v>1289</v>
      </c>
      <c r="H328" s="370">
        <v>0</v>
      </c>
      <c r="I328" s="295">
        <v>0</v>
      </c>
      <c r="J328" s="295">
        <v>0</v>
      </c>
      <c r="K328" s="295">
        <v>0</v>
      </c>
      <c r="L328" s="296">
        <f t="shared" si="23"/>
        <v>0</v>
      </c>
      <c r="N328" s="297">
        <v>0</v>
      </c>
      <c r="O328" s="295">
        <v>0</v>
      </c>
      <c r="P328" s="295">
        <v>0</v>
      </c>
      <c r="Q328" s="295">
        <v>0</v>
      </c>
      <c r="R328" s="295">
        <v>0</v>
      </c>
      <c r="S328" s="296">
        <v>0</v>
      </c>
      <c r="U328" s="298">
        <f t="shared" si="24"/>
        <v>0</v>
      </c>
      <c r="Z328" s="305">
        <v>0</v>
      </c>
      <c r="AB328" s="305">
        <f t="shared" ref="AB328:AB349" si="25">U328-Z328</f>
        <v>0</v>
      </c>
    </row>
    <row r="329" spans="3:29" ht="18" customHeight="1">
      <c r="C329" s="6">
        <v>1</v>
      </c>
      <c r="D329" s="292" t="s">
        <v>1290</v>
      </c>
      <c r="E329" s="293" t="s">
        <v>1290</v>
      </c>
      <c r="F329" s="294"/>
      <c r="G329" s="293" t="s">
        <v>1291</v>
      </c>
      <c r="H329" s="370">
        <v>0</v>
      </c>
      <c r="I329" s="295">
        <v>0</v>
      </c>
      <c r="J329" s="295">
        <v>0</v>
      </c>
      <c r="K329" s="295">
        <v>0</v>
      </c>
      <c r="L329" s="296">
        <f t="shared" si="23"/>
        <v>0</v>
      </c>
      <c r="N329" s="297">
        <v>0</v>
      </c>
      <c r="O329" s="295">
        <v>0</v>
      </c>
      <c r="P329" s="295">
        <v>0</v>
      </c>
      <c r="Q329" s="295">
        <v>0</v>
      </c>
      <c r="R329" s="295">
        <v>0</v>
      </c>
      <c r="S329" s="296">
        <v>0</v>
      </c>
      <c r="U329" s="298">
        <f t="shared" si="24"/>
        <v>0</v>
      </c>
      <c r="Z329" s="305">
        <v>0</v>
      </c>
      <c r="AB329" s="305">
        <f t="shared" si="25"/>
        <v>0</v>
      </c>
    </row>
    <row r="330" spans="3:29" ht="18" customHeight="1">
      <c r="C330" s="6">
        <v>1</v>
      </c>
      <c r="D330" s="292" t="s">
        <v>1292</v>
      </c>
      <c r="E330" s="293" t="s">
        <v>1292</v>
      </c>
      <c r="F330" s="294"/>
      <c r="G330" s="293" t="s">
        <v>1140</v>
      </c>
      <c r="H330" s="370">
        <v>0</v>
      </c>
      <c r="I330" s="295">
        <v>0</v>
      </c>
      <c r="J330" s="295">
        <v>0</v>
      </c>
      <c r="K330" s="295">
        <v>0</v>
      </c>
      <c r="L330" s="296">
        <f t="shared" si="23"/>
        <v>0</v>
      </c>
      <c r="N330" s="297">
        <v>0</v>
      </c>
      <c r="O330" s="295">
        <v>0</v>
      </c>
      <c r="P330" s="295">
        <v>0</v>
      </c>
      <c r="Q330" s="295">
        <v>0</v>
      </c>
      <c r="R330" s="295">
        <v>0</v>
      </c>
      <c r="S330" s="296">
        <v>0</v>
      </c>
      <c r="U330" s="298">
        <f t="shared" si="24"/>
        <v>0</v>
      </c>
      <c r="Z330" s="305">
        <v>0</v>
      </c>
      <c r="AB330" s="305">
        <f t="shared" si="25"/>
        <v>0</v>
      </c>
    </row>
    <row r="331" spans="3:29" ht="18" customHeight="1">
      <c r="C331" s="6">
        <v>1</v>
      </c>
      <c r="D331" s="292" t="s">
        <v>1293</v>
      </c>
      <c r="E331" s="293" t="s">
        <v>1370</v>
      </c>
      <c r="F331" s="294"/>
      <c r="G331" s="293" t="s">
        <v>1372</v>
      </c>
      <c r="H331" s="370">
        <v>0</v>
      </c>
      <c r="I331" s="295">
        <v>0</v>
      </c>
      <c r="J331" s="295">
        <v>0</v>
      </c>
      <c r="K331" s="295">
        <v>0</v>
      </c>
      <c r="L331" s="296">
        <f t="shared" si="23"/>
        <v>0</v>
      </c>
      <c r="N331" s="297">
        <v>0</v>
      </c>
      <c r="O331" s="295">
        <v>0</v>
      </c>
      <c r="P331" s="295">
        <v>0</v>
      </c>
      <c r="Q331" s="295">
        <v>0</v>
      </c>
      <c r="R331" s="295">
        <v>0</v>
      </c>
      <c r="S331" s="296">
        <v>0</v>
      </c>
      <c r="U331" s="298">
        <f t="shared" si="24"/>
        <v>0</v>
      </c>
      <c r="Z331" s="305">
        <v>0</v>
      </c>
      <c r="AB331" s="305">
        <f t="shared" si="25"/>
        <v>0</v>
      </c>
    </row>
    <row r="332" spans="3:29" ht="18" customHeight="1">
      <c r="C332" s="6">
        <v>1</v>
      </c>
      <c r="D332" s="292" t="s">
        <v>1293</v>
      </c>
      <c r="E332" s="293" t="s">
        <v>1371</v>
      </c>
      <c r="F332" s="294"/>
      <c r="G332" s="293" t="s">
        <v>1373</v>
      </c>
      <c r="H332" s="370">
        <v>0</v>
      </c>
      <c r="I332" s="295">
        <v>0</v>
      </c>
      <c r="J332" s="295">
        <v>0</v>
      </c>
      <c r="K332" s="295">
        <v>0</v>
      </c>
      <c r="L332" s="296">
        <f t="shared" si="23"/>
        <v>0</v>
      </c>
      <c r="N332" s="297">
        <v>0</v>
      </c>
      <c r="O332" s="295">
        <v>0</v>
      </c>
      <c r="P332" s="295">
        <v>0</v>
      </c>
      <c r="Q332" s="295">
        <v>0</v>
      </c>
      <c r="R332" s="295">
        <v>0</v>
      </c>
      <c r="S332" s="296">
        <v>0</v>
      </c>
      <c r="U332" s="298">
        <f t="shared" si="24"/>
        <v>0</v>
      </c>
      <c r="Z332" s="305">
        <v>0</v>
      </c>
      <c r="AB332" s="305">
        <f t="shared" si="25"/>
        <v>0</v>
      </c>
    </row>
    <row r="333" spans="3:29" ht="18" customHeight="1">
      <c r="C333" s="6">
        <v>1</v>
      </c>
      <c r="D333" s="292" t="s">
        <v>1294</v>
      </c>
      <c r="E333" s="293" t="s">
        <v>1294</v>
      </c>
      <c r="F333" s="294"/>
      <c r="G333" s="293" t="s">
        <v>1295</v>
      </c>
      <c r="H333" s="370">
        <v>0</v>
      </c>
      <c r="I333" s="295">
        <v>0</v>
      </c>
      <c r="J333" s="295">
        <v>0</v>
      </c>
      <c r="K333" s="295">
        <v>0</v>
      </c>
      <c r="L333" s="296">
        <f t="shared" si="23"/>
        <v>0</v>
      </c>
      <c r="N333" s="297">
        <v>0</v>
      </c>
      <c r="O333" s="295">
        <v>0</v>
      </c>
      <c r="P333" s="295">
        <v>0</v>
      </c>
      <c r="Q333" s="295">
        <v>0</v>
      </c>
      <c r="R333" s="295">
        <v>0</v>
      </c>
      <c r="S333" s="296">
        <v>0</v>
      </c>
      <c r="U333" s="298">
        <f t="shared" si="24"/>
        <v>0</v>
      </c>
      <c r="Z333" s="305">
        <v>0</v>
      </c>
      <c r="AB333" s="305">
        <f t="shared" si="25"/>
        <v>0</v>
      </c>
    </row>
    <row r="334" spans="3:29" ht="18" customHeight="1">
      <c r="C334" s="6">
        <v>1</v>
      </c>
      <c r="D334" s="292" t="s">
        <v>1296</v>
      </c>
      <c r="E334" s="293" t="s">
        <v>1296</v>
      </c>
      <c r="F334" s="294"/>
      <c r="G334" s="293" t="s">
        <v>1297</v>
      </c>
      <c r="H334" s="370">
        <v>0</v>
      </c>
      <c r="I334" s="295">
        <v>0</v>
      </c>
      <c r="J334" s="295">
        <v>0</v>
      </c>
      <c r="K334" s="295">
        <v>0</v>
      </c>
      <c r="L334" s="296">
        <f t="shared" si="23"/>
        <v>0</v>
      </c>
      <c r="N334" s="297">
        <v>0</v>
      </c>
      <c r="O334" s="295">
        <v>0</v>
      </c>
      <c r="P334" s="295">
        <v>0</v>
      </c>
      <c r="Q334" s="295">
        <v>0</v>
      </c>
      <c r="R334" s="295">
        <v>0</v>
      </c>
      <c r="S334" s="296">
        <v>0</v>
      </c>
      <c r="U334" s="298">
        <f t="shared" si="24"/>
        <v>0</v>
      </c>
      <c r="Z334" s="305">
        <v>0</v>
      </c>
      <c r="AB334" s="305">
        <f t="shared" si="25"/>
        <v>0</v>
      </c>
    </row>
    <row r="335" spans="3:29" ht="18" customHeight="1">
      <c r="C335" s="6">
        <v>1</v>
      </c>
      <c r="D335" s="292" t="s">
        <v>1298</v>
      </c>
      <c r="E335" s="293" t="s">
        <v>1298</v>
      </c>
      <c r="F335" s="294"/>
      <c r="G335" s="293" t="s">
        <v>1299</v>
      </c>
      <c r="H335" s="370">
        <v>0</v>
      </c>
      <c r="I335" s="295">
        <v>0</v>
      </c>
      <c r="J335" s="295">
        <v>0</v>
      </c>
      <c r="K335" s="295">
        <v>0</v>
      </c>
      <c r="L335" s="296">
        <f t="shared" si="23"/>
        <v>0</v>
      </c>
      <c r="N335" s="297">
        <v>0</v>
      </c>
      <c r="O335" s="295">
        <v>0</v>
      </c>
      <c r="P335" s="295">
        <v>0</v>
      </c>
      <c r="Q335" s="295">
        <v>0</v>
      </c>
      <c r="R335" s="295">
        <v>0</v>
      </c>
      <c r="S335" s="296">
        <v>0</v>
      </c>
      <c r="U335" s="298">
        <f t="shared" si="24"/>
        <v>0</v>
      </c>
      <c r="Z335" s="305">
        <v>0</v>
      </c>
      <c r="AB335" s="305">
        <f t="shared" si="25"/>
        <v>0</v>
      </c>
    </row>
    <row r="336" spans="3:29" ht="18" customHeight="1">
      <c r="C336" s="6">
        <v>1</v>
      </c>
      <c r="D336" s="292" t="s">
        <v>1300</v>
      </c>
      <c r="E336" s="293" t="s">
        <v>1300</v>
      </c>
      <c r="F336" s="294"/>
      <c r="G336" s="293" t="s">
        <v>1301</v>
      </c>
      <c r="H336" s="370">
        <v>0</v>
      </c>
      <c r="I336" s="295">
        <v>0</v>
      </c>
      <c r="J336" s="295">
        <v>0</v>
      </c>
      <c r="K336" s="295">
        <v>0</v>
      </c>
      <c r="L336" s="296">
        <f t="shared" si="23"/>
        <v>0</v>
      </c>
      <c r="N336" s="297">
        <v>0</v>
      </c>
      <c r="O336" s="295">
        <v>0</v>
      </c>
      <c r="P336" s="295">
        <v>0</v>
      </c>
      <c r="Q336" s="295">
        <v>0</v>
      </c>
      <c r="R336" s="295">
        <v>0</v>
      </c>
      <c r="S336" s="296">
        <v>0</v>
      </c>
      <c r="U336" s="298">
        <f t="shared" si="24"/>
        <v>0</v>
      </c>
      <c r="Z336" s="305">
        <v>0</v>
      </c>
      <c r="AB336" s="305">
        <f t="shared" si="25"/>
        <v>0</v>
      </c>
    </row>
    <row r="337" spans="3:29" ht="18" customHeight="1">
      <c r="C337" s="6">
        <v>1</v>
      </c>
      <c r="D337" s="292" t="s">
        <v>1302</v>
      </c>
      <c r="E337" s="293" t="s">
        <v>1302</v>
      </c>
      <c r="F337" s="294"/>
      <c r="G337" s="293" t="s">
        <v>1303</v>
      </c>
      <c r="H337" s="370">
        <v>0</v>
      </c>
      <c r="I337" s="295">
        <v>0</v>
      </c>
      <c r="J337" s="295">
        <v>0</v>
      </c>
      <c r="K337" s="295">
        <v>0</v>
      </c>
      <c r="L337" s="296">
        <f t="shared" si="23"/>
        <v>0</v>
      </c>
      <c r="N337" s="297">
        <v>0</v>
      </c>
      <c r="O337" s="295">
        <v>0</v>
      </c>
      <c r="P337" s="295">
        <v>0</v>
      </c>
      <c r="Q337" s="295">
        <v>0</v>
      </c>
      <c r="R337" s="295">
        <v>0</v>
      </c>
      <c r="S337" s="296">
        <v>0</v>
      </c>
      <c r="U337" s="298">
        <f t="shared" si="24"/>
        <v>0</v>
      </c>
      <c r="Z337" s="305">
        <v>0</v>
      </c>
      <c r="AB337" s="305">
        <f t="shared" si="25"/>
        <v>0</v>
      </c>
    </row>
    <row r="338" spans="3:29" ht="18" customHeight="1">
      <c r="C338" s="6">
        <v>1</v>
      </c>
      <c r="D338" s="292" t="s">
        <v>1304</v>
      </c>
      <c r="E338" s="293" t="s">
        <v>1304</v>
      </c>
      <c r="F338" s="294"/>
      <c r="G338" s="293" t="s">
        <v>1305</v>
      </c>
      <c r="H338" s="370">
        <v>0</v>
      </c>
      <c r="I338" s="295">
        <v>0</v>
      </c>
      <c r="J338" s="295">
        <v>0</v>
      </c>
      <c r="K338" s="295">
        <v>0</v>
      </c>
      <c r="L338" s="296">
        <f t="shared" si="23"/>
        <v>0</v>
      </c>
      <c r="N338" s="297">
        <v>0</v>
      </c>
      <c r="O338" s="295">
        <v>0</v>
      </c>
      <c r="P338" s="295">
        <v>0</v>
      </c>
      <c r="Q338" s="295">
        <v>0</v>
      </c>
      <c r="R338" s="295">
        <v>0</v>
      </c>
      <c r="S338" s="296">
        <v>0</v>
      </c>
      <c r="U338" s="298">
        <f t="shared" si="24"/>
        <v>0</v>
      </c>
      <c r="Z338" s="305">
        <v>0</v>
      </c>
      <c r="AB338" s="305">
        <f t="shared" si="25"/>
        <v>0</v>
      </c>
    </row>
    <row r="339" spans="3:29" ht="18" customHeight="1">
      <c r="C339" s="6">
        <v>1</v>
      </c>
      <c r="D339" s="292" t="s">
        <v>1306</v>
      </c>
      <c r="E339" s="293" t="s">
        <v>1306</v>
      </c>
      <c r="F339" s="294" t="s">
        <v>1680</v>
      </c>
      <c r="G339" s="293" t="s">
        <v>1307</v>
      </c>
      <c r="H339" s="370">
        <v>-1691214510</v>
      </c>
      <c r="I339" s="295">
        <v>-55374775</v>
      </c>
      <c r="J339" s="295">
        <v>-13335652</v>
      </c>
      <c r="K339" s="295">
        <v>-130183781</v>
      </c>
      <c r="L339" s="296">
        <f t="shared" si="23"/>
        <v>-1890108718</v>
      </c>
      <c r="N339" s="297">
        <v>0</v>
      </c>
      <c r="O339" s="295">
        <v>0</v>
      </c>
      <c r="P339" s="295">
        <v>0</v>
      </c>
      <c r="Q339" s="295">
        <v>0</v>
      </c>
      <c r="R339" s="295">
        <v>0</v>
      </c>
      <c r="S339" s="296">
        <v>0</v>
      </c>
      <c r="U339" s="298">
        <f t="shared" si="24"/>
        <v>-1890108718</v>
      </c>
      <c r="Z339" s="305">
        <v>-1575912158</v>
      </c>
      <c r="AB339" s="305">
        <f t="shared" si="25"/>
        <v>-314196560</v>
      </c>
    </row>
    <row r="340" spans="3:29" ht="18" customHeight="1">
      <c r="C340" s="6">
        <v>1</v>
      </c>
      <c r="D340" s="292" t="s">
        <v>1308</v>
      </c>
      <c r="E340" s="293" t="s">
        <v>1308</v>
      </c>
      <c r="F340" s="294"/>
      <c r="G340" s="293" t="s">
        <v>1309</v>
      </c>
      <c r="H340" s="370">
        <v>0</v>
      </c>
      <c r="I340" s="295">
        <v>0</v>
      </c>
      <c r="J340" s="295">
        <v>0</v>
      </c>
      <c r="K340" s="295">
        <v>0</v>
      </c>
      <c r="L340" s="296">
        <f t="shared" si="23"/>
        <v>0</v>
      </c>
      <c r="N340" s="297">
        <v>0</v>
      </c>
      <c r="O340" s="295">
        <v>0</v>
      </c>
      <c r="P340" s="295">
        <v>0</v>
      </c>
      <c r="Q340" s="295">
        <v>0</v>
      </c>
      <c r="R340" s="295">
        <v>0</v>
      </c>
      <c r="S340" s="296">
        <v>0</v>
      </c>
      <c r="U340" s="298">
        <f t="shared" si="24"/>
        <v>0</v>
      </c>
      <c r="Z340" s="305">
        <v>0</v>
      </c>
      <c r="AB340" s="305">
        <f t="shared" si="25"/>
        <v>0</v>
      </c>
    </row>
    <row r="341" spans="3:29" ht="18" customHeight="1">
      <c r="C341" s="6">
        <v>1</v>
      </c>
      <c r="D341" s="292" t="s">
        <v>1310</v>
      </c>
      <c r="E341" s="293" t="s">
        <v>1310</v>
      </c>
      <c r="F341" s="294"/>
      <c r="G341" s="293" t="s">
        <v>1311</v>
      </c>
      <c r="H341" s="370">
        <v>0</v>
      </c>
      <c r="I341" s="295">
        <v>0</v>
      </c>
      <c r="J341" s="295">
        <v>0</v>
      </c>
      <c r="K341" s="295">
        <v>0</v>
      </c>
      <c r="L341" s="296">
        <f t="shared" si="23"/>
        <v>0</v>
      </c>
      <c r="N341" s="297">
        <v>0</v>
      </c>
      <c r="O341" s="295">
        <v>0</v>
      </c>
      <c r="P341" s="295">
        <v>0</v>
      </c>
      <c r="Q341" s="295">
        <v>0</v>
      </c>
      <c r="R341" s="295">
        <v>0</v>
      </c>
      <c r="S341" s="296">
        <v>0</v>
      </c>
      <c r="U341" s="298">
        <f t="shared" si="24"/>
        <v>0</v>
      </c>
      <c r="Z341" s="305">
        <v>0</v>
      </c>
      <c r="AB341" s="305">
        <f t="shared" si="25"/>
        <v>0</v>
      </c>
    </row>
    <row r="342" spans="3:29" ht="18" customHeight="1">
      <c r="C342" s="6">
        <v>1</v>
      </c>
      <c r="D342" s="292" t="s">
        <v>1312</v>
      </c>
      <c r="E342" s="293" t="s">
        <v>1312</v>
      </c>
      <c r="F342" s="294" t="s">
        <v>1313</v>
      </c>
      <c r="G342" s="293" t="s">
        <v>1313</v>
      </c>
      <c r="H342" s="370">
        <v>0</v>
      </c>
      <c r="I342" s="295">
        <v>0</v>
      </c>
      <c r="J342" s="295">
        <v>0</v>
      </c>
      <c r="K342" s="295">
        <v>0</v>
      </c>
      <c r="L342" s="296">
        <f t="shared" si="23"/>
        <v>0</v>
      </c>
      <c r="N342" s="297">
        <v>0</v>
      </c>
      <c r="O342" s="295">
        <v>0</v>
      </c>
      <c r="P342" s="295">
        <v>0</v>
      </c>
      <c r="Q342" s="295">
        <v>0</v>
      </c>
      <c r="R342" s="295">
        <v>0</v>
      </c>
      <c r="S342" s="296">
        <v>0</v>
      </c>
      <c r="U342" s="298">
        <f t="shared" si="24"/>
        <v>0</v>
      </c>
      <c r="W342" s="33" t="s">
        <v>1674</v>
      </c>
      <c r="Z342" s="305">
        <v>0</v>
      </c>
      <c r="AB342" s="305">
        <f t="shared" si="25"/>
        <v>0</v>
      </c>
    </row>
    <row r="343" spans="3:29" ht="18" customHeight="1">
      <c r="C343" s="6">
        <v>1</v>
      </c>
      <c r="D343" s="285" t="s">
        <v>1314</v>
      </c>
      <c r="E343" s="286" t="s">
        <v>1314</v>
      </c>
      <c r="F343" s="287"/>
      <c r="G343" s="286" t="s">
        <v>1315</v>
      </c>
      <c r="H343" s="288">
        <f t="shared" ref="H343:L344" si="26">H344</f>
        <v>1167315387</v>
      </c>
      <c r="I343" s="288">
        <f t="shared" si="26"/>
        <v>0</v>
      </c>
      <c r="J343" s="288">
        <f t="shared" si="26"/>
        <v>1473025</v>
      </c>
      <c r="K343" s="288">
        <f t="shared" si="26"/>
        <v>-78484476</v>
      </c>
      <c r="L343" s="289">
        <f t="shared" si="26"/>
        <v>1090303936</v>
      </c>
      <c r="N343" s="290">
        <v>0</v>
      </c>
      <c r="O343" s="288">
        <v>0</v>
      </c>
      <c r="P343" s="288">
        <v>6546771.8484999985</v>
      </c>
      <c r="Q343" s="288">
        <v>0</v>
      </c>
      <c r="R343" s="288">
        <v>0</v>
      </c>
      <c r="S343" s="289">
        <v>6546771.8484999985</v>
      </c>
      <c r="U343" s="291">
        <f>U344</f>
        <v>1096850708</v>
      </c>
      <c r="Z343" s="291">
        <v>939179799</v>
      </c>
      <c r="AB343" s="291">
        <f t="shared" si="25"/>
        <v>157670909</v>
      </c>
    </row>
    <row r="344" spans="3:29" ht="18" customHeight="1">
      <c r="C344" s="6">
        <v>1</v>
      </c>
      <c r="D344" s="285" t="s">
        <v>1316</v>
      </c>
      <c r="E344" s="286" t="s">
        <v>1316</v>
      </c>
      <c r="F344" s="287"/>
      <c r="G344" s="286" t="s">
        <v>1315</v>
      </c>
      <c r="H344" s="288">
        <f t="shared" si="26"/>
        <v>1167315387</v>
      </c>
      <c r="I344" s="288">
        <f t="shared" si="26"/>
        <v>0</v>
      </c>
      <c r="J344" s="288">
        <f t="shared" si="26"/>
        <v>1473025</v>
      </c>
      <c r="K344" s="288">
        <f t="shared" si="26"/>
        <v>-78484476</v>
      </c>
      <c r="L344" s="289">
        <f t="shared" si="26"/>
        <v>1090303936</v>
      </c>
      <c r="N344" s="290">
        <v>0</v>
      </c>
      <c r="O344" s="288">
        <v>0</v>
      </c>
      <c r="P344" s="288">
        <v>6546771.8484999985</v>
      </c>
      <c r="Q344" s="288">
        <v>0</v>
      </c>
      <c r="R344" s="288">
        <v>0</v>
      </c>
      <c r="S344" s="289">
        <v>6546771.8484999985</v>
      </c>
      <c r="U344" s="291">
        <f>U345</f>
        <v>1096850708</v>
      </c>
      <c r="Z344" s="291">
        <v>939179799</v>
      </c>
      <c r="AB344" s="291">
        <f t="shared" si="25"/>
        <v>157670909</v>
      </c>
    </row>
    <row r="345" spans="3:29" ht="18" customHeight="1">
      <c r="C345" s="6">
        <v>1</v>
      </c>
      <c r="D345" s="292" t="s">
        <v>1317</v>
      </c>
      <c r="E345" s="293" t="s">
        <v>1317</v>
      </c>
      <c r="F345" s="294"/>
      <c r="G345" s="293" t="s">
        <v>1318</v>
      </c>
      <c r="H345" s="370">
        <v>1167315387</v>
      </c>
      <c r="I345" s="295">
        <v>0</v>
      </c>
      <c r="J345" s="295">
        <v>1473025</v>
      </c>
      <c r="K345" s="295">
        <v>-78484476</v>
      </c>
      <c r="L345" s="296">
        <f>SUM(H345:K345)</f>
        <v>1090303936</v>
      </c>
      <c r="N345" s="297">
        <v>0</v>
      </c>
      <c r="O345" s="295">
        <v>0</v>
      </c>
      <c r="P345" s="295">
        <v>6546771.8484999985</v>
      </c>
      <c r="Q345" s="295">
        <v>0</v>
      </c>
      <c r="R345" s="295">
        <v>0</v>
      </c>
      <c r="S345" s="296">
        <v>6546771.8484999985</v>
      </c>
      <c r="U345" s="298">
        <f>ROUND(S345+L345,0)</f>
        <v>1096850708</v>
      </c>
      <c r="Z345" s="305">
        <v>939179799</v>
      </c>
      <c r="AB345" s="305">
        <f t="shared" si="25"/>
        <v>157670909</v>
      </c>
    </row>
    <row r="346" spans="3:29" ht="18" customHeight="1">
      <c r="C346" s="6">
        <v>1</v>
      </c>
      <c r="D346" s="285" t="s">
        <v>1319</v>
      </c>
      <c r="E346" s="286" t="s">
        <v>1319</v>
      </c>
      <c r="F346" s="287"/>
      <c r="G346" s="286" t="s">
        <v>1320</v>
      </c>
      <c r="H346" s="288">
        <f t="shared" ref="H346:L347" si="27">H347</f>
        <v>0</v>
      </c>
      <c r="I346" s="288">
        <f t="shared" si="27"/>
        <v>0</v>
      </c>
      <c r="J346" s="288">
        <f t="shared" si="27"/>
        <v>0</v>
      </c>
      <c r="K346" s="288">
        <f t="shared" si="27"/>
        <v>0</v>
      </c>
      <c r="L346" s="289">
        <f t="shared" si="27"/>
        <v>0</v>
      </c>
      <c r="N346" s="290">
        <v>0</v>
      </c>
      <c r="O346" s="288">
        <v>0</v>
      </c>
      <c r="P346" s="288">
        <v>0</v>
      </c>
      <c r="Q346" s="288">
        <v>0</v>
      </c>
      <c r="R346" s="288">
        <v>0</v>
      </c>
      <c r="S346" s="289">
        <v>0</v>
      </c>
      <c r="U346" s="291">
        <f>U347</f>
        <v>0</v>
      </c>
      <c r="Z346" s="291">
        <v>0</v>
      </c>
      <c r="AB346" s="291">
        <f t="shared" si="25"/>
        <v>0</v>
      </c>
    </row>
    <row r="347" spans="3:29" ht="18" customHeight="1">
      <c r="C347" s="6">
        <v>1</v>
      </c>
      <c r="D347" s="285" t="s">
        <v>1321</v>
      </c>
      <c r="E347" s="286" t="s">
        <v>1321</v>
      </c>
      <c r="F347" s="287"/>
      <c r="G347" s="286" t="s">
        <v>1320</v>
      </c>
      <c r="H347" s="288">
        <f t="shared" si="27"/>
        <v>0</v>
      </c>
      <c r="I347" s="288">
        <f t="shared" si="27"/>
        <v>0</v>
      </c>
      <c r="J347" s="288">
        <f t="shared" si="27"/>
        <v>0</v>
      </c>
      <c r="K347" s="288">
        <f t="shared" si="27"/>
        <v>0</v>
      </c>
      <c r="L347" s="289">
        <f t="shared" si="27"/>
        <v>0</v>
      </c>
      <c r="N347" s="290">
        <v>0</v>
      </c>
      <c r="O347" s="288">
        <v>0</v>
      </c>
      <c r="P347" s="288">
        <v>0</v>
      </c>
      <c r="Q347" s="288">
        <v>0</v>
      </c>
      <c r="R347" s="288">
        <v>0</v>
      </c>
      <c r="S347" s="289">
        <v>0</v>
      </c>
      <c r="U347" s="291">
        <f>U348</f>
        <v>0</v>
      </c>
      <c r="Z347" s="291">
        <v>0</v>
      </c>
      <c r="AB347" s="291">
        <f t="shared" si="25"/>
        <v>0</v>
      </c>
    </row>
    <row r="348" spans="3:29" ht="18" customHeight="1">
      <c r="C348" s="6">
        <v>1</v>
      </c>
      <c r="D348" s="292" t="s">
        <v>1322</v>
      </c>
      <c r="E348" s="293" t="s">
        <v>1322</v>
      </c>
      <c r="F348" s="294"/>
      <c r="G348" s="293" t="s">
        <v>1323</v>
      </c>
      <c r="H348" s="370">
        <v>0</v>
      </c>
      <c r="I348" s="295">
        <v>0</v>
      </c>
      <c r="J348" s="295">
        <v>0</v>
      </c>
      <c r="K348" s="295">
        <v>0</v>
      </c>
      <c r="L348" s="296">
        <f>SUM(H348:K348)</f>
        <v>0</v>
      </c>
      <c r="N348" s="297">
        <v>0</v>
      </c>
      <c r="O348" s="295">
        <v>0</v>
      </c>
      <c r="P348" s="295">
        <v>0</v>
      </c>
      <c r="Q348" s="295">
        <v>0</v>
      </c>
      <c r="R348" s="295">
        <v>0</v>
      </c>
      <c r="S348" s="296">
        <v>0</v>
      </c>
      <c r="U348" s="305">
        <f>ROUND(S348+L348,0)</f>
        <v>0</v>
      </c>
      <c r="Z348" s="305">
        <v>0</v>
      </c>
      <c r="AB348" s="305">
        <f t="shared" si="25"/>
        <v>0</v>
      </c>
    </row>
    <row r="349" spans="3:29" ht="18" customHeight="1">
      <c r="C349" s="6">
        <v>1</v>
      </c>
      <c r="D349" s="285" t="s">
        <v>1324</v>
      </c>
      <c r="E349" s="286" t="s">
        <v>1324</v>
      </c>
      <c r="F349" s="287"/>
      <c r="G349" s="286" t="s">
        <v>1325</v>
      </c>
      <c r="H349" s="288">
        <f>SUM(H346,H343,H300,H181,H7)</f>
        <v>35500676293</v>
      </c>
      <c r="I349" s="288">
        <f>SUM(I346,I343,I300,I181,I7)</f>
        <v>238171608</v>
      </c>
      <c r="J349" s="288">
        <f>SUM(J346,J343,J300,J181,J7)</f>
        <v>7016527</v>
      </c>
      <c r="K349" s="288">
        <f>SUM(K346,K343,K300,K181,K7)</f>
        <v>-1018633969</v>
      </c>
      <c r="L349" s="289">
        <f>SUM(L346,L343,L300,L181,L7)</f>
        <v>34727230459</v>
      </c>
      <c r="N349" s="290">
        <v>20206929</v>
      </c>
      <c r="O349" s="288">
        <v>0</v>
      </c>
      <c r="P349" s="288">
        <v>1.4901161193847656E-8</v>
      </c>
      <c r="Q349" s="288">
        <v>0</v>
      </c>
      <c r="R349" s="288">
        <v>0</v>
      </c>
      <c r="S349" s="289">
        <v>20206929.000000015</v>
      </c>
      <c r="U349" s="291">
        <f>SUM(U346,U343,U300,U181,U7)</f>
        <v>34747437388</v>
      </c>
      <c r="V349" s="6" t="b">
        <f>U349=U300+U181+U7+U345</f>
        <v>1</v>
      </c>
      <c r="Z349" s="291">
        <v>35266774835</v>
      </c>
      <c r="AA349" s="6" t="b">
        <f>Z349=Z300+Z181+Z7+Z345</f>
        <v>1</v>
      </c>
      <c r="AB349" s="291">
        <f t="shared" si="25"/>
        <v>-519337447</v>
      </c>
      <c r="AC349" s="6" t="b">
        <f>AB349=AB300+AB181+AB7+AB345</f>
        <v>1</v>
      </c>
    </row>
    <row r="350" spans="3:29" ht="18" customHeight="1">
      <c r="C350" s="6">
        <v>1</v>
      </c>
      <c r="D350" s="285" t="s">
        <v>1326</v>
      </c>
      <c r="E350" s="286" t="s">
        <v>1326</v>
      </c>
      <c r="F350" s="287"/>
      <c r="G350" s="286" t="s">
        <v>1327</v>
      </c>
      <c r="H350" s="288">
        <f t="shared" ref="H350:L351" si="28">H351</f>
        <v>93366762419</v>
      </c>
      <c r="I350" s="288">
        <f t="shared" si="28"/>
        <v>20206929</v>
      </c>
      <c r="J350" s="288">
        <f t="shared" si="28"/>
        <v>15528652</v>
      </c>
      <c r="K350" s="288">
        <f t="shared" si="28"/>
        <v>3888916061</v>
      </c>
      <c r="L350" s="289">
        <f t="shared" si="28"/>
        <v>97291414061</v>
      </c>
      <c r="N350" s="290">
        <v>-20206929</v>
      </c>
      <c r="O350" s="288">
        <v>0</v>
      </c>
      <c r="P350" s="288">
        <v>0</v>
      </c>
      <c r="Q350" s="288">
        <v>0</v>
      </c>
      <c r="R350" s="288">
        <v>0</v>
      </c>
      <c r="S350" s="289">
        <v>-20206929</v>
      </c>
      <c r="U350" s="291">
        <f>U351</f>
        <v>97271207132</v>
      </c>
      <c r="Z350" s="291">
        <v>97271207132</v>
      </c>
      <c r="AB350" s="291">
        <f>Z355</f>
        <v>132537981967</v>
      </c>
    </row>
    <row r="351" spans="3:29" ht="18" customHeight="1">
      <c r="C351" s="6">
        <v>1</v>
      </c>
      <c r="D351" s="285" t="s">
        <v>1328</v>
      </c>
      <c r="E351" s="286" t="s">
        <v>1328</v>
      </c>
      <c r="F351" s="287"/>
      <c r="G351" s="286" t="s">
        <v>1327</v>
      </c>
      <c r="H351" s="288">
        <f t="shared" si="28"/>
        <v>93366762419</v>
      </c>
      <c r="I351" s="288">
        <f t="shared" si="28"/>
        <v>20206929</v>
      </c>
      <c r="J351" s="288">
        <f t="shared" si="28"/>
        <v>15528652</v>
      </c>
      <c r="K351" s="288">
        <f t="shared" si="28"/>
        <v>3888916061</v>
      </c>
      <c r="L351" s="289">
        <f t="shared" si="28"/>
        <v>97291414061</v>
      </c>
      <c r="N351" s="290">
        <v>-20206929</v>
      </c>
      <c r="O351" s="288">
        <v>0</v>
      </c>
      <c r="P351" s="288">
        <v>0</v>
      </c>
      <c r="Q351" s="288">
        <v>0</v>
      </c>
      <c r="R351" s="288">
        <v>0</v>
      </c>
      <c r="S351" s="289">
        <v>-20206929</v>
      </c>
      <c r="U351" s="291">
        <f>U352</f>
        <v>97271207132</v>
      </c>
      <c r="Z351" s="291">
        <v>97271207132</v>
      </c>
      <c r="AB351" s="291">
        <f>AB350</f>
        <v>132537981967</v>
      </c>
    </row>
    <row r="352" spans="3:29" ht="18" customHeight="1">
      <c r="C352" s="6">
        <v>1</v>
      </c>
      <c r="D352" s="292" t="s">
        <v>1329</v>
      </c>
      <c r="E352" s="293" t="s">
        <v>1329</v>
      </c>
      <c r="F352" s="294"/>
      <c r="G352" s="293" t="s">
        <v>1330</v>
      </c>
      <c r="H352" s="370">
        <v>93366762419</v>
      </c>
      <c r="I352" s="295">
        <v>20206929</v>
      </c>
      <c r="J352" s="295">
        <v>15528652</v>
      </c>
      <c r="K352" s="295">
        <v>3888916061</v>
      </c>
      <c r="L352" s="296">
        <f>SUM(H352:K352)</f>
        <v>97291414061</v>
      </c>
      <c r="N352" s="297">
        <v>-20206929</v>
      </c>
      <c r="O352" s="295">
        <v>0</v>
      </c>
      <c r="P352" s="295">
        <v>0</v>
      </c>
      <c r="Q352" s="295">
        <v>0</v>
      </c>
      <c r="R352" s="295">
        <v>0</v>
      </c>
      <c r="S352" s="296">
        <v>-20206929</v>
      </c>
      <c r="U352" s="305">
        <f>S352+L352</f>
        <v>97271207132</v>
      </c>
      <c r="W352" s="6" t="b">
        <f>'BS(공)'!K8='CF.1_2개월(단순차감)'!U352</f>
        <v>1</v>
      </c>
      <c r="Z352" s="305">
        <v>97271207132</v>
      </c>
      <c r="AB352" s="305">
        <f>AB351</f>
        <v>132537981967</v>
      </c>
    </row>
    <row r="353" spans="3:29" ht="18" customHeight="1">
      <c r="C353" s="6">
        <v>1</v>
      </c>
      <c r="D353" s="285" t="s">
        <v>1331</v>
      </c>
      <c r="E353" s="286" t="s">
        <v>1331</v>
      </c>
      <c r="F353" s="287"/>
      <c r="G353" s="286" t="s">
        <v>1332</v>
      </c>
      <c r="H353" s="288">
        <f t="shared" ref="H353:L354" si="29">H354</f>
        <v>128867438712</v>
      </c>
      <c r="I353" s="288">
        <f t="shared" si="29"/>
        <v>258378537</v>
      </c>
      <c r="J353" s="288">
        <f t="shared" si="29"/>
        <v>22545179</v>
      </c>
      <c r="K353" s="288">
        <f t="shared" si="29"/>
        <v>2870282092</v>
      </c>
      <c r="L353" s="289">
        <f t="shared" si="29"/>
        <v>132018644520</v>
      </c>
      <c r="N353" s="290">
        <v>0</v>
      </c>
      <c r="O353" s="288">
        <v>0</v>
      </c>
      <c r="P353" s="288">
        <v>0</v>
      </c>
      <c r="Q353" s="288">
        <v>0</v>
      </c>
      <c r="R353" s="288">
        <v>0</v>
      </c>
      <c r="S353" s="289">
        <v>0</v>
      </c>
      <c r="U353" s="291">
        <f>U354</f>
        <v>132018644520</v>
      </c>
      <c r="Z353" s="291">
        <v>132537981967</v>
      </c>
      <c r="AB353" s="291">
        <f>AB349+AB350</f>
        <v>132018644520</v>
      </c>
    </row>
    <row r="354" spans="3:29" ht="18" customHeight="1">
      <c r="C354" s="6">
        <v>1</v>
      </c>
      <c r="D354" s="285" t="s">
        <v>1333</v>
      </c>
      <c r="E354" s="286" t="s">
        <v>1333</v>
      </c>
      <c r="F354" s="287"/>
      <c r="G354" s="286" t="s">
        <v>1332</v>
      </c>
      <c r="H354" s="288">
        <f t="shared" si="29"/>
        <v>128867438712</v>
      </c>
      <c r="I354" s="288">
        <f t="shared" si="29"/>
        <v>258378537</v>
      </c>
      <c r="J354" s="288">
        <f t="shared" si="29"/>
        <v>22545179</v>
      </c>
      <c r="K354" s="288">
        <f t="shared" si="29"/>
        <v>2870282092</v>
      </c>
      <c r="L354" s="289">
        <f t="shared" si="29"/>
        <v>132018644520</v>
      </c>
      <c r="N354" s="290">
        <v>0</v>
      </c>
      <c r="O354" s="288">
        <v>0</v>
      </c>
      <c r="P354" s="288">
        <v>0</v>
      </c>
      <c r="Q354" s="288">
        <v>0</v>
      </c>
      <c r="R354" s="288">
        <v>0</v>
      </c>
      <c r="S354" s="289">
        <v>0</v>
      </c>
      <c r="U354" s="291">
        <f>U355</f>
        <v>132018644520</v>
      </c>
      <c r="Z354" s="291">
        <v>132537981967</v>
      </c>
      <c r="AB354" s="291">
        <f>AB353</f>
        <v>132018644520</v>
      </c>
    </row>
    <row r="355" spans="3:29" ht="18" customHeight="1">
      <c r="C355" s="6">
        <v>1</v>
      </c>
      <c r="D355" s="292" t="s">
        <v>1334</v>
      </c>
      <c r="E355" s="293" t="s">
        <v>1334</v>
      </c>
      <c r="F355" s="294"/>
      <c r="G355" s="293" t="s">
        <v>1335</v>
      </c>
      <c r="H355" s="370">
        <v>128867438712</v>
      </c>
      <c r="I355" s="295">
        <v>258378537</v>
      </c>
      <c r="J355" s="295">
        <v>22545179</v>
      </c>
      <c r="K355" s="295">
        <v>2870282092</v>
      </c>
      <c r="L355" s="296">
        <f>SUM(H355:K355)</f>
        <v>132018644520</v>
      </c>
      <c r="N355" s="297">
        <v>0</v>
      </c>
      <c r="O355" s="295">
        <v>0</v>
      </c>
      <c r="P355" s="295">
        <v>0</v>
      </c>
      <c r="Q355" s="295">
        <v>0</v>
      </c>
      <c r="R355" s="295">
        <v>0</v>
      </c>
      <c r="S355" s="296">
        <v>0</v>
      </c>
      <c r="U355" s="305">
        <f>S355+L355</f>
        <v>132018644520</v>
      </c>
      <c r="W355" s="7" t="b">
        <f>T_BS!X8-U355=0</f>
        <v>0</v>
      </c>
      <c r="Z355" s="305">
        <v>132537981967</v>
      </c>
      <c r="AB355" s="305">
        <f>AB354</f>
        <v>132018644520</v>
      </c>
      <c r="AC355" s="6" t="b">
        <f>AB355=U355</f>
        <v>1</v>
      </c>
    </row>
    <row r="356" spans="3:29" ht="18" customHeight="1">
      <c r="C356" s="6">
        <v>1</v>
      </c>
      <c r="D356" s="285" t="s">
        <v>1336</v>
      </c>
      <c r="E356" s="286" t="s">
        <v>1336</v>
      </c>
      <c r="F356" s="287"/>
      <c r="G356" s="286" t="s">
        <v>1337</v>
      </c>
      <c r="H356" s="288">
        <f t="shared" ref="H356:K357" si="30">H357</f>
        <v>0</v>
      </c>
      <c r="I356" s="288">
        <f t="shared" si="30"/>
        <v>0</v>
      </c>
      <c r="J356" s="288">
        <f t="shared" si="30"/>
        <v>0</v>
      </c>
      <c r="K356" s="288">
        <f t="shared" si="30"/>
        <v>0</v>
      </c>
      <c r="L356" s="289">
        <f>L357</f>
        <v>0</v>
      </c>
      <c r="N356" s="290"/>
      <c r="O356" s="288"/>
      <c r="P356" s="288"/>
      <c r="Q356" s="288"/>
      <c r="R356" s="288"/>
      <c r="S356" s="289"/>
      <c r="U356" s="291"/>
    </row>
    <row r="357" spans="3:29" ht="18" customHeight="1">
      <c r="C357" s="6">
        <v>1</v>
      </c>
      <c r="D357" s="285" t="s">
        <v>1338</v>
      </c>
      <c r="E357" s="286" t="s">
        <v>1338</v>
      </c>
      <c r="F357" s="287"/>
      <c r="G357" s="286" t="s">
        <v>1337</v>
      </c>
      <c r="H357" s="288">
        <f t="shared" si="30"/>
        <v>0</v>
      </c>
      <c r="I357" s="288">
        <f t="shared" si="30"/>
        <v>0</v>
      </c>
      <c r="J357" s="288">
        <f t="shared" si="30"/>
        <v>0</v>
      </c>
      <c r="K357" s="288">
        <f t="shared" si="30"/>
        <v>0</v>
      </c>
      <c r="L357" s="289">
        <f>L358</f>
        <v>0</v>
      </c>
      <c r="N357" s="290"/>
      <c r="O357" s="288"/>
      <c r="P357" s="288"/>
      <c r="Q357" s="288"/>
      <c r="R357" s="288"/>
      <c r="S357" s="289"/>
      <c r="U357" s="291"/>
    </row>
    <row r="358" spans="3:29" ht="18" customHeight="1" thickBot="1">
      <c r="C358" s="6">
        <v>1</v>
      </c>
      <c r="D358" s="306" t="s">
        <v>1339</v>
      </c>
      <c r="E358" s="307" t="s">
        <v>1339</v>
      </c>
      <c r="F358" s="308"/>
      <c r="G358" s="307" t="s">
        <v>1340</v>
      </c>
      <c r="H358" s="459">
        <v>0</v>
      </c>
      <c r="I358" s="309">
        <v>0</v>
      </c>
      <c r="J358" s="309">
        <v>0</v>
      </c>
      <c r="K358" s="309">
        <v>0</v>
      </c>
      <c r="L358" s="309">
        <f>L355-L352-L349</f>
        <v>0</v>
      </c>
      <c r="M358" s="17"/>
      <c r="N358" s="310"/>
      <c r="O358" s="311"/>
      <c r="P358" s="311">
        <v>0</v>
      </c>
      <c r="Q358" s="311">
        <v>0</v>
      </c>
      <c r="R358" s="311">
        <v>0</v>
      </c>
      <c r="S358" s="312">
        <v>0</v>
      </c>
      <c r="U358" s="313">
        <f>S358+L358</f>
        <v>0</v>
      </c>
    </row>
    <row r="359" spans="3:29" ht="18" customHeight="1" thickBot="1"/>
    <row r="360" spans="3:29" ht="18" customHeight="1">
      <c r="D360" s="206"/>
      <c r="E360" s="207"/>
      <c r="F360" s="314"/>
      <c r="G360" s="207" t="s">
        <v>1387</v>
      </c>
      <c r="H360" s="315">
        <f t="shared" ref="H360:U360" si="31">H7</f>
        <v>2776289498</v>
      </c>
      <c r="I360" s="315">
        <f t="shared" si="31"/>
        <v>-1062858162</v>
      </c>
      <c r="J360" s="315">
        <f t="shared" si="31"/>
        <v>18879154</v>
      </c>
      <c r="K360" s="315">
        <f t="shared" si="31"/>
        <v>680949926</v>
      </c>
      <c r="L360" s="315">
        <f t="shared" si="31"/>
        <v>2413260416</v>
      </c>
      <c r="M360" s="315">
        <f t="shared" si="31"/>
        <v>0</v>
      </c>
      <c r="N360" s="315">
        <v>0</v>
      </c>
      <c r="O360" s="315">
        <v>0</v>
      </c>
      <c r="P360" s="315">
        <v>-141771.84849999845</v>
      </c>
      <c r="Q360" s="315">
        <v>0</v>
      </c>
      <c r="R360" s="315">
        <v>-20000000</v>
      </c>
      <c r="S360" s="315">
        <v>-20141771.848499998</v>
      </c>
      <c r="T360" s="315">
        <f t="shared" si="31"/>
        <v>0</v>
      </c>
      <c r="U360" s="316">
        <f t="shared" si="31"/>
        <v>2393118644</v>
      </c>
    </row>
    <row r="361" spans="3:29" ht="18" customHeight="1">
      <c r="D361" s="208"/>
      <c r="G361" s="6" t="s">
        <v>1388</v>
      </c>
      <c r="H361" s="279">
        <f t="shared" ref="H361:M361" si="32">H181</f>
        <v>-36751715499</v>
      </c>
      <c r="I361" s="279">
        <f t="shared" si="32"/>
        <v>-143595455</v>
      </c>
      <c r="J361" s="279">
        <f t="shared" si="32"/>
        <v>0</v>
      </c>
      <c r="K361" s="279">
        <f t="shared" si="32"/>
        <v>-970190638</v>
      </c>
      <c r="L361" s="279">
        <f t="shared" si="32"/>
        <v>-37865501592</v>
      </c>
      <c r="M361" s="279">
        <f t="shared" si="32"/>
        <v>0</v>
      </c>
      <c r="N361" s="279">
        <v>20206929</v>
      </c>
      <c r="O361" s="279">
        <v>0</v>
      </c>
      <c r="P361" s="279">
        <v>972870000</v>
      </c>
      <c r="Q361" s="279">
        <v>0</v>
      </c>
      <c r="R361" s="279">
        <v>20000000</v>
      </c>
      <c r="S361" s="279">
        <v>1013076929</v>
      </c>
      <c r="T361" s="279">
        <f>T181</f>
        <v>0</v>
      </c>
      <c r="U361" s="317">
        <f>U181</f>
        <v>-36852424663</v>
      </c>
    </row>
    <row r="362" spans="3:29" ht="18" customHeight="1" thickBot="1">
      <c r="D362" s="209"/>
      <c r="E362" s="210"/>
      <c r="F362" s="318"/>
      <c r="G362" s="210" t="s">
        <v>1389</v>
      </c>
      <c r="H362" s="319">
        <f t="shared" ref="H362:M362" si="33">H300</f>
        <v>68308786907</v>
      </c>
      <c r="I362" s="319">
        <f t="shared" si="33"/>
        <v>1444625225</v>
      </c>
      <c r="J362" s="319">
        <f t="shared" si="33"/>
        <v>-13335652</v>
      </c>
      <c r="K362" s="319">
        <f t="shared" si="33"/>
        <v>-650908781</v>
      </c>
      <c r="L362" s="319">
        <f t="shared" si="33"/>
        <v>69089167699</v>
      </c>
      <c r="M362" s="319">
        <f t="shared" si="33"/>
        <v>0</v>
      </c>
      <c r="N362" s="319">
        <v>0</v>
      </c>
      <c r="O362" s="319">
        <v>0</v>
      </c>
      <c r="P362" s="319">
        <v>-979275000</v>
      </c>
      <c r="Q362" s="319">
        <v>0</v>
      </c>
      <c r="R362" s="319">
        <v>0</v>
      </c>
      <c r="S362" s="319">
        <v>-979275000</v>
      </c>
      <c r="T362" s="319">
        <f>T300</f>
        <v>0</v>
      </c>
      <c r="U362" s="320">
        <f>U300</f>
        <v>68109892699</v>
      </c>
    </row>
    <row r="364" spans="3:29" ht="18" customHeight="1" thickBot="1"/>
    <row r="365" spans="3:29" ht="17.25" customHeight="1">
      <c r="D365" s="206"/>
      <c r="E365" s="207"/>
      <c r="F365" s="314"/>
      <c r="G365" s="207" t="s">
        <v>302</v>
      </c>
      <c r="H365" s="315">
        <f>H14-SUM(T_IS!H69)</f>
        <v>-421310189</v>
      </c>
      <c r="I365" s="315">
        <f>I14-SUM(T_IS!I69)</f>
        <v>0</v>
      </c>
      <c r="J365" s="315">
        <f>J14-SUM(T_IS!J69)</f>
        <v>0</v>
      </c>
      <c r="K365" s="315">
        <f>K14-SUM(T_IS!K69)</f>
        <v>0</v>
      </c>
      <c r="L365" s="315">
        <f>L14-SUM(T_IS!L69)</f>
        <v>-421310189</v>
      </c>
      <c r="M365" s="207"/>
      <c r="N365" s="315"/>
      <c r="O365" s="315"/>
      <c r="P365" s="315"/>
      <c r="Q365" s="315"/>
      <c r="R365" s="315"/>
      <c r="S365" s="315"/>
      <c r="T365" s="207"/>
      <c r="U365" s="316">
        <f>U14-T_IS!X69</f>
        <v>-421310189</v>
      </c>
    </row>
    <row r="366" spans="3:29" ht="17.25" customHeight="1">
      <c r="D366" s="208"/>
      <c r="E366" s="6" t="s">
        <v>2204</v>
      </c>
      <c r="F366" s="374">
        <v>528196397</v>
      </c>
      <c r="G366" s="188" t="s">
        <v>488</v>
      </c>
      <c r="H366" s="279">
        <f>H11-(SUM(T_IS!H47:H52))-F366</f>
        <v>498072795</v>
      </c>
      <c r="I366" s="279">
        <f>I11-SUM(T_IS!I47:I52)</f>
        <v>-99972996</v>
      </c>
      <c r="J366" s="462">
        <f>J11-SUM(T_IS!J47:J52)</f>
        <v>1196104</v>
      </c>
      <c r="K366" s="279">
        <f>K11-SUM(T_IS!K47:K52)</f>
        <v>55226829</v>
      </c>
      <c r="L366" s="279">
        <f>L11-SUM(T_IS!L47:L52)-F366</f>
        <v>454522732</v>
      </c>
      <c r="U366" s="317"/>
    </row>
    <row r="367" spans="3:29" ht="18" customHeight="1">
      <c r="D367" s="208"/>
      <c r="G367" s="183" t="s">
        <v>386</v>
      </c>
      <c r="H367" s="279">
        <f>H12-T_IS!H53</f>
        <v>854076923</v>
      </c>
      <c r="I367" s="279">
        <f>I12-T_IS!I53</f>
        <v>-1241332</v>
      </c>
      <c r="J367" s="279">
        <f>J12-T_IS!J53</f>
        <v>0</v>
      </c>
      <c r="K367" s="279">
        <f>K12-T_IS!K53</f>
        <v>3250379</v>
      </c>
      <c r="L367" s="279">
        <f>L12-T_IS!L53</f>
        <v>856085970</v>
      </c>
      <c r="U367" s="317"/>
    </row>
    <row r="368" spans="3:29" ht="18" customHeight="1">
      <c r="D368" s="208"/>
      <c r="G368" s="6" t="s">
        <v>683</v>
      </c>
      <c r="H368" s="279">
        <f>H15-SUM(T_IS!H95:H96)</f>
        <v>-158183641</v>
      </c>
      <c r="I368" s="279">
        <f>I15-SUM(T_IS!I95:I96)</f>
        <v>0</v>
      </c>
      <c r="J368" s="279">
        <f>J15-SUM(T_IS!J95:J96)</f>
        <v>0</v>
      </c>
      <c r="K368" s="279">
        <f>K15-SUM(T_IS!K95:K96)</f>
        <v>0</v>
      </c>
      <c r="L368" s="279">
        <f>L15-SUM(T_IS!L95:L96)</f>
        <v>-158183641</v>
      </c>
      <c r="M368" s="279"/>
      <c r="U368" s="317">
        <f>U15-SUM(T_IS!X95:X96)</f>
        <v>-158183641</v>
      </c>
    </row>
    <row r="369" spans="4:21" ht="18" customHeight="1">
      <c r="D369" s="208"/>
      <c r="G369" s="6" t="s">
        <v>707</v>
      </c>
      <c r="H369" s="279">
        <f>H17-SUM(T_IS!H97)</f>
        <v>-2394018200</v>
      </c>
      <c r="I369" s="279">
        <f>I17-SUM(T_IS!I97)</f>
        <v>0</v>
      </c>
      <c r="J369" s="279">
        <f>J17-SUM(T_IS!J97)</f>
        <v>0</v>
      </c>
      <c r="K369" s="279">
        <f>K17-SUM(T_IS!K97)</f>
        <v>0</v>
      </c>
      <c r="L369" s="279">
        <f>L17-SUM(T_IS!L97)</f>
        <v>-2394018200</v>
      </c>
      <c r="M369" s="279"/>
      <c r="U369" s="317">
        <f>U17-T_IS!X97</f>
        <v>-2394018200</v>
      </c>
    </row>
    <row r="370" spans="4:21" ht="18" customHeight="1">
      <c r="D370" s="208"/>
      <c r="G370" s="6" t="s">
        <v>687</v>
      </c>
      <c r="H370" s="279">
        <f>H29-SUM(T_IS!H109)</f>
        <v>0</v>
      </c>
      <c r="I370" s="279">
        <f>I29-SUM(T_IS!I109)</f>
        <v>0</v>
      </c>
      <c r="J370" s="279">
        <f>J29-SUM(T_IS!J109)</f>
        <v>0</v>
      </c>
      <c r="K370" s="279">
        <f>K29-SUM(T_IS!K109)</f>
        <v>0</v>
      </c>
      <c r="L370" s="279">
        <f>L29-SUM(T_IS!L109)</f>
        <v>0</v>
      </c>
      <c r="U370" s="317">
        <f>U29-T_IS!X109</f>
        <v>0</v>
      </c>
    </row>
    <row r="371" spans="4:21" ht="18" customHeight="1">
      <c r="D371" s="208"/>
      <c r="G371" s="6" t="s">
        <v>481</v>
      </c>
      <c r="H371" s="279">
        <f>H32-T_IS!H116</f>
        <v>0</v>
      </c>
      <c r="I371" s="279">
        <f>I32-T_IS!I116</f>
        <v>0</v>
      </c>
      <c r="J371" s="279">
        <f>J32-T_IS!J116</f>
        <v>0</v>
      </c>
      <c r="K371" s="279">
        <f>K32-T_IS!K116</f>
        <v>0</v>
      </c>
      <c r="L371" s="279">
        <f>L32-T_IS!L116</f>
        <v>0</v>
      </c>
      <c r="U371" s="317">
        <f>U32-T_IS!X116</f>
        <v>0</v>
      </c>
    </row>
    <row r="372" spans="4:21" ht="18" customHeight="1">
      <c r="D372" s="208"/>
      <c r="G372" s="6" t="s">
        <v>686</v>
      </c>
      <c r="H372" s="279">
        <f>H33-T_IS!H108</f>
        <v>342736573</v>
      </c>
      <c r="I372" s="279">
        <f>I33-T_IS!I108</f>
        <v>0</v>
      </c>
      <c r="J372" s="279">
        <f>J33-T_IS!J108</f>
        <v>0</v>
      </c>
      <c r="K372" s="279">
        <f>K33-T_IS!K108</f>
        <v>0</v>
      </c>
      <c r="L372" s="279">
        <f>L33-T_IS!L108</f>
        <v>342736573</v>
      </c>
      <c r="U372" s="317">
        <f>U33-T_IS!X108</f>
        <v>342736573</v>
      </c>
    </row>
    <row r="373" spans="4:21" ht="18" customHeight="1">
      <c r="D373" s="208"/>
      <c r="G373" s="6" t="s">
        <v>681</v>
      </c>
      <c r="H373" s="279">
        <f>H61-SUM(T_IS!H88:H91)</f>
        <v>100760664</v>
      </c>
      <c r="I373" s="279">
        <f>I61-SUM(T_IS!I88:I91)</f>
        <v>-6997900</v>
      </c>
      <c r="J373" s="279">
        <f>J61-SUM(T_IS!J88:J91)</f>
        <v>825491</v>
      </c>
      <c r="K373" s="279">
        <f>K61-SUM(T_IS!K88:K91)</f>
        <v>3847510</v>
      </c>
      <c r="L373" s="279">
        <f>L61-SUM(T_IS!L88:L91)</f>
        <v>98435765</v>
      </c>
      <c r="U373" s="317">
        <f>U61-SUM(T_IS!X88:X91)</f>
        <v>98148111</v>
      </c>
    </row>
    <row r="374" spans="4:21" ht="18" customHeight="1">
      <c r="D374" s="208"/>
      <c r="G374" s="6" t="s">
        <v>380</v>
      </c>
      <c r="H374" s="279">
        <f>H62-SUM(T_IS!H126)</f>
        <v>-54164468</v>
      </c>
      <c r="I374" s="279">
        <f>I62-SUM(T_IS!I126)</f>
        <v>0</v>
      </c>
      <c r="J374" s="279">
        <f>J62-SUM(T_IS!J126)</f>
        <v>0</v>
      </c>
      <c r="K374" s="279">
        <f>K62-SUM(T_IS!K126)</f>
        <v>-2868071</v>
      </c>
      <c r="L374" s="279">
        <f>L62-SUM(T_IS!L126)</f>
        <v>-57032539</v>
      </c>
      <c r="U374" s="317">
        <f>U62-SUM(T_IS!X126)</f>
        <v>-57032539</v>
      </c>
    </row>
    <row r="375" spans="4:21" ht="18" customHeight="1">
      <c r="D375" s="208"/>
      <c r="G375" s="6" t="s">
        <v>673</v>
      </c>
      <c r="H375" s="279">
        <f>H110+SUM(T_IS!H77:H78)</f>
        <v>1308868143</v>
      </c>
      <c r="I375" s="279">
        <f>I110+SUM(T_IS!I77:I78)</f>
        <v>3090654</v>
      </c>
      <c r="J375" s="279">
        <f>J110+SUM(T_IS!J77:J78)</f>
        <v>194612</v>
      </c>
      <c r="K375" s="279">
        <f>K110+SUM(T_IS!K77:K78)</f>
        <v>14037634</v>
      </c>
      <c r="L375" s="279">
        <f>L110+SUM(T_IS!L77:L78)</f>
        <v>1326191043</v>
      </c>
      <c r="U375" s="317">
        <f>U110+SUM(T_IS!X77:X78)</f>
        <v>1326478697</v>
      </c>
    </row>
    <row r="376" spans="4:21" ht="18" customHeight="1">
      <c r="D376" s="208"/>
      <c r="G376" s="6" t="s">
        <v>675</v>
      </c>
      <c r="H376" s="279">
        <f>H75+SUM(T_IS!H82:H83)</f>
        <v>40222252</v>
      </c>
      <c r="I376" s="279">
        <f>I75+SUM(T_IS!I82:I83)</f>
        <v>0</v>
      </c>
      <c r="J376" s="279">
        <f>J75+SUM(T_IS!J82:J83)</f>
        <v>0</v>
      </c>
      <c r="K376" s="279">
        <f>K75+SUM(T_IS!K82:K83)</f>
        <v>0</v>
      </c>
      <c r="L376" s="279">
        <f>L75+SUM(T_IS!L82:L83)</f>
        <v>40222252</v>
      </c>
      <c r="U376" s="317">
        <f>U75+SUM(T_IS!X82:X83)</f>
        <v>40222252</v>
      </c>
    </row>
    <row r="377" spans="4:21" ht="18" customHeight="1">
      <c r="D377" s="208"/>
      <c r="G377" s="6" t="s">
        <v>808</v>
      </c>
      <c r="H377" s="279">
        <f>H115+SUM(T_IS!H86)</f>
        <v>3510625687</v>
      </c>
      <c r="I377" s="279">
        <f>I115+SUM(T_IS!I86)</f>
        <v>0</v>
      </c>
      <c r="J377" s="279">
        <f>J115+SUM(T_IS!J86)</f>
        <v>0</v>
      </c>
      <c r="K377" s="279">
        <f>K115+SUM(T_IS!K86)</f>
        <v>0</v>
      </c>
      <c r="L377" s="279">
        <f>L115+SUM(T_IS!L86)</f>
        <v>3510625687</v>
      </c>
      <c r="U377" s="317">
        <f>U115+SUM(T_IS!X86)</f>
        <v>3510625687</v>
      </c>
    </row>
    <row r="378" spans="4:21" ht="18" customHeight="1">
      <c r="D378" s="208"/>
      <c r="G378" s="6" t="s">
        <v>810</v>
      </c>
      <c r="H378" s="279">
        <f>H114+T_IS!H84</f>
        <v>-770071633</v>
      </c>
      <c r="I378" s="279">
        <f>I114+T_IS!I84</f>
        <v>0</v>
      </c>
      <c r="J378" s="279">
        <f>J114+T_IS!J84</f>
        <v>0</v>
      </c>
      <c r="K378" s="279">
        <f>K114+T_IS!K84</f>
        <v>0</v>
      </c>
      <c r="L378" s="279">
        <f>L114+T_IS!L84</f>
        <v>-770071633</v>
      </c>
      <c r="U378" s="317">
        <f>U114+T_IS!X84</f>
        <v>-770071633</v>
      </c>
    </row>
    <row r="379" spans="4:21" ht="18" customHeight="1">
      <c r="D379" s="208"/>
      <c r="G379" s="6" t="s">
        <v>816</v>
      </c>
      <c r="H379" s="279">
        <f>H80+T_IS!H119</f>
        <v>0</v>
      </c>
      <c r="I379" s="279">
        <f>I80+T_IS!I119</f>
        <v>0</v>
      </c>
      <c r="J379" s="279">
        <f>J80+T_IS!J119</f>
        <v>0</v>
      </c>
      <c r="K379" s="279">
        <f>K80+T_IS!K119</f>
        <v>0</v>
      </c>
      <c r="L379" s="279">
        <f>L80+T_IS!L119</f>
        <v>0</v>
      </c>
      <c r="U379" s="317">
        <f>U80+T_IS!X119</f>
        <v>1413694186</v>
      </c>
    </row>
    <row r="380" spans="4:21" ht="18" customHeight="1">
      <c r="D380" s="208"/>
      <c r="G380" s="6" t="s">
        <v>678</v>
      </c>
      <c r="H380" s="279">
        <f>H89+T_IS!H102</f>
        <v>59575954</v>
      </c>
      <c r="I380" s="279">
        <f>I89+T_IS!I102</f>
        <v>0</v>
      </c>
      <c r="J380" s="279">
        <f>J89+T_IS!J102</f>
        <v>0</v>
      </c>
      <c r="K380" s="279">
        <f>K89+T_IS!K102</f>
        <v>292187</v>
      </c>
      <c r="L380" s="279">
        <f>L89+T_IS!L102</f>
        <v>59868141</v>
      </c>
      <c r="U380" s="317">
        <f>U89+T_IS!X102</f>
        <v>59868141</v>
      </c>
    </row>
    <row r="381" spans="4:21" ht="18" customHeight="1" thickBot="1">
      <c r="D381" s="209"/>
      <c r="E381" s="210"/>
      <c r="F381" s="318"/>
      <c r="G381" s="210" t="s">
        <v>679</v>
      </c>
      <c r="H381" s="319">
        <f>H91+T_IS!H103</f>
        <v>0</v>
      </c>
      <c r="I381" s="319">
        <f>I91+T_IS!I103</f>
        <v>0</v>
      </c>
      <c r="J381" s="319">
        <f>J91+T_IS!J103</f>
        <v>0</v>
      </c>
      <c r="K381" s="319">
        <f>K91+T_IS!K103</f>
        <v>0</v>
      </c>
      <c r="L381" s="319">
        <f>L91+T_IS!L103</f>
        <v>0</v>
      </c>
      <c r="M381" s="210"/>
      <c r="N381" s="319"/>
      <c r="O381" s="319"/>
      <c r="P381" s="319"/>
      <c r="Q381" s="319"/>
      <c r="R381" s="319"/>
      <c r="S381" s="319"/>
      <c r="T381" s="210"/>
      <c r="U381" s="320">
        <f>U91+T_IS!X103</f>
        <v>0</v>
      </c>
    </row>
    <row r="384" spans="4:21" ht="18" customHeight="1">
      <c r="J384" s="279">
        <f>J375/2</f>
        <v>97306</v>
      </c>
    </row>
  </sheetData>
  <autoFilter ref="D6:U358"/>
  <phoneticPr fontId="2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2060"/>
  </sheetPr>
  <dimension ref="D3:L121"/>
  <sheetViews>
    <sheetView showGridLines="0" zoomScale="80" zoomScaleNormal="80" workbookViewId="0">
      <pane xSplit="5" ySplit="4" topLeftCell="F5" activePane="bottomRight" state="frozen"/>
      <selection activeCell="J13" sqref="J13"/>
      <selection pane="topRight" activeCell="J13" sqref="J13"/>
      <selection pane="bottomLeft" activeCell="J13" sqref="J13"/>
      <selection pane="bottomRight" activeCell="L19" sqref="L19"/>
    </sheetView>
  </sheetViews>
  <sheetFormatPr defaultColWidth="8.75" defaultRowHeight="18" customHeight="1"/>
  <cols>
    <col min="1" max="3" width="2.375" style="498" customWidth="1"/>
    <col min="4" max="5" width="17.375" style="498" customWidth="1"/>
    <col min="6" max="9" width="20.625" style="498" customWidth="1"/>
    <col min="10" max="10" width="18.875" style="498" customWidth="1"/>
    <col min="11" max="11" width="29.875" style="498" bestFit="1" customWidth="1"/>
    <col min="12" max="12" width="15.5" style="498" bestFit="1" customWidth="1"/>
    <col min="13" max="16384" width="8.75" style="498"/>
  </cols>
  <sheetData>
    <row r="3" spans="4:9" s="494" customFormat="1" ht="18" customHeight="1" thickBot="1">
      <c r="D3" s="494" t="s">
        <v>528</v>
      </c>
      <c r="H3" s="495"/>
      <c r="I3" s="495"/>
    </row>
    <row r="4" spans="4:9" ht="38.450000000000003" customHeight="1">
      <c r="D4" s="496" t="s">
        <v>16</v>
      </c>
      <c r="E4" s="497" t="s">
        <v>19</v>
      </c>
      <c r="F4" s="497" t="s">
        <v>15</v>
      </c>
      <c r="G4" s="497" t="s">
        <v>2079</v>
      </c>
      <c r="H4" s="497" t="s">
        <v>2588</v>
      </c>
      <c r="I4" s="497" t="s">
        <v>2586</v>
      </c>
    </row>
    <row r="5" spans="4:9" ht="18" customHeight="1">
      <c r="D5" s="499"/>
      <c r="E5" s="500" t="s">
        <v>14</v>
      </c>
      <c r="F5" s="500">
        <f>SUM(F6,F26)</f>
        <v>127569385233</v>
      </c>
      <c r="G5" s="500">
        <f>SUM(G6,G26)</f>
        <v>984114994</v>
      </c>
      <c r="H5" s="500">
        <f>SUM(H6,H26)</f>
        <v>-440243972</v>
      </c>
      <c r="I5" s="501">
        <f>SUM(I6,I26)</f>
        <v>3776655186</v>
      </c>
    </row>
    <row r="6" spans="4:9" ht="18" customHeight="1">
      <c r="D6" s="502"/>
      <c r="E6" s="503" t="s">
        <v>11</v>
      </c>
      <c r="F6" s="503">
        <f>SUM(F7,F9,F13,F22)</f>
        <v>127569385233</v>
      </c>
      <c r="G6" s="503">
        <f>SUM(G7,G9,G13,G22)</f>
        <v>984114994</v>
      </c>
      <c r="H6" s="503">
        <f>SUM(H7,H9,H13,H22)</f>
        <v>-440243972</v>
      </c>
      <c r="I6" s="504">
        <f>SUM(I7,I9,I13,I22)</f>
        <v>3776655186</v>
      </c>
    </row>
    <row r="7" spans="4:9" ht="18" customHeight="1">
      <c r="D7" s="505"/>
      <c r="E7" s="506" t="s">
        <v>10</v>
      </c>
      <c r="F7" s="506">
        <f>F8</f>
        <v>28429923500</v>
      </c>
      <c r="G7" s="506">
        <f>G8</f>
        <v>11666500</v>
      </c>
      <c r="H7" s="506">
        <f>H8</f>
        <v>37013277500</v>
      </c>
      <c r="I7" s="507">
        <f>I8</f>
        <v>511470000</v>
      </c>
    </row>
    <row r="8" spans="4:9" ht="18" customHeight="1">
      <c r="D8" s="508">
        <v>310100</v>
      </c>
      <c r="E8" s="509" t="s">
        <v>190</v>
      </c>
      <c r="F8" s="509">
        <f>T_BS!H231</f>
        <v>28429923500</v>
      </c>
      <c r="G8" s="509">
        <f>T_BS!I231</f>
        <v>11666500</v>
      </c>
      <c r="H8" s="509">
        <f>T_BS!J231</f>
        <v>37013277500</v>
      </c>
      <c r="I8" s="510">
        <f>T_BS!K231</f>
        <v>511470000</v>
      </c>
    </row>
    <row r="9" spans="4:9" ht="18" customHeight="1">
      <c r="D9" s="505"/>
      <c r="E9" s="506" t="s">
        <v>12</v>
      </c>
      <c r="F9" s="506">
        <f>SUM(F10:F12)</f>
        <v>60260612904</v>
      </c>
      <c r="G9" s="506">
        <f>SUM(G10:G12)</f>
        <v>1992475900</v>
      </c>
      <c r="H9" s="506">
        <f>SUM(H10:H12)</f>
        <v>0</v>
      </c>
      <c r="I9" s="507">
        <f>SUM(I10:I12)</f>
        <v>0</v>
      </c>
    </row>
    <row r="10" spans="4:9" ht="18" customHeight="1">
      <c r="D10" s="508">
        <v>320100</v>
      </c>
      <c r="E10" s="509" t="s">
        <v>191</v>
      </c>
      <c r="F10" s="509">
        <f>T_BS!H233</f>
        <v>59065212344</v>
      </c>
      <c r="G10" s="509">
        <f>T_BS!I233</f>
        <v>1992475900</v>
      </c>
      <c r="H10" s="509">
        <f>T_BS!J233</f>
        <v>0</v>
      </c>
      <c r="I10" s="510">
        <f>T_BS!K233</f>
        <v>0</v>
      </c>
    </row>
    <row r="11" spans="4:9" ht="18" customHeight="1">
      <c r="D11" s="508">
        <v>320500</v>
      </c>
      <c r="E11" s="509" t="s">
        <v>192</v>
      </c>
      <c r="F11" s="509">
        <f>T_BS!H234</f>
        <v>0</v>
      </c>
      <c r="G11" s="509">
        <f>T_BS!I234</f>
        <v>0</v>
      </c>
      <c r="H11" s="509">
        <f>T_BS!J234</f>
        <v>0</v>
      </c>
      <c r="I11" s="510">
        <f>T_BS!K234</f>
        <v>0</v>
      </c>
    </row>
    <row r="12" spans="4:9" ht="18" customHeight="1">
      <c r="D12" s="508">
        <v>320300</v>
      </c>
      <c r="E12" s="509" t="s">
        <v>193</v>
      </c>
      <c r="F12" s="509">
        <f>T_BS!H235</f>
        <v>1195400560</v>
      </c>
      <c r="G12" s="509">
        <f>T_BS!I235</f>
        <v>0</v>
      </c>
      <c r="H12" s="509">
        <f>T_BS!J235</f>
        <v>0</v>
      </c>
      <c r="I12" s="510">
        <f>T_BS!K235</f>
        <v>0</v>
      </c>
    </row>
    <row r="13" spans="4:9" ht="18" customHeight="1">
      <c r="D13" s="505"/>
      <c r="E13" s="506" t="s">
        <v>194</v>
      </c>
      <c r="F13" s="506">
        <f>SUM(F14:F21)</f>
        <v>-7947245257</v>
      </c>
      <c r="G13" s="506">
        <f>SUM(G14:G21)</f>
        <v>0</v>
      </c>
      <c r="H13" s="506">
        <f>SUM(H14:H21)</f>
        <v>899241343</v>
      </c>
      <c r="I13" s="507">
        <f>SUM(I14:I21)</f>
        <v>-1036019680</v>
      </c>
    </row>
    <row r="14" spans="4:9" ht="18" customHeight="1">
      <c r="D14" s="508">
        <v>350300</v>
      </c>
      <c r="E14" s="509" t="s">
        <v>195</v>
      </c>
      <c r="F14" s="509">
        <f>T_BS!H237</f>
        <v>0</v>
      </c>
      <c r="G14" s="509">
        <f>T_BS!I237</f>
        <v>0</v>
      </c>
      <c r="H14" s="509">
        <f>T_BS!J237</f>
        <v>0</v>
      </c>
      <c r="I14" s="510">
        <f>T_BS!K237</f>
        <v>0</v>
      </c>
    </row>
    <row r="15" spans="4:9" ht="18" customHeight="1">
      <c r="D15" s="508">
        <v>350350</v>
      </c>
      <c r="E15" s="509" t="s">
        <v>196</v>
      </c>
      <c r="F15" s="509">
        <f>T_BS!H238</f>
        <v>-1293810742</v>
      </c>
      <c r="G15" s="509">
        <f>T_BS!I238</f>
        <v>0</v>
      </c>
      <c r="H15" s="509">
        <f>T_BS!J238</f>
        <v>0</v>
      </c>
      <c r="I15" s="510">
        <f>T_BS!K238</f>
        <v>0</v>
      </c>
    </row>
    <row r="16" spans="4:9" ht="18" customHeight="1">
      <c r="D16" s="508" t="s">
        <v>226</v>
      </c>
      <c r="E16" s="509" t="s">
        <v>225</v>
      </c>
      <c r="F16" s="509">
        <f>T_BS!H239</f>
        <v>0</v>
      </c>
      <c r="G16" s="509">
        <f>T_BS!I239</f>
        <v>0</v>
      </c>
      <c r="H16" s="509">
        <f>T_BS!J239</f>
        <v>0</v>
      </c>
      <c r="I16" s="510">
        <f>T_BS!K239</f>
        <v>0</v>
      </c>
    </row>
    <row r="17" spans="4:9" ht="18" customHeight="1">
      <c r="D17" s="508">
        <v>350400</v>
      </c>
      <c r="E17" s="509" t="s">
        <v>197</v>
      </c>
      <c r="F17" s="509">
        <f>T_BS!H240</f>
        <v>1066837445</v>
      </c>
      <c r="G17" s="509">
        <f>T_BS!I240</f>
        <v>0</v>
      </c>
      <c r="H17" s="509">
        <f>T_BS!J240</f>
        <v>0</v>
      </c>
      <c r="I17" s="510">
        <f>T_BS!K240</f>
        <v>0</v>
      </c>
    </row>
    <row r="18" spans="4:9" ht="18" customHeight="1">
      <c r="D18" s="508">
        <v>350210</v>
      </c>
      <c r="E18" s="509" t="s">
        <v>198</v>
      </c>
      <c r="F18" s="509">
        <f>T_BS!H241</f>
        <v>-7720271960</v>
      </c>
      <c r="G18" s="509">
        <f>T_BS!I241</f>
        <v>0</v>
      </c>
      <c r="H18" s="509">
        <f>T_BS!J241</f>
        <v>0</v>
      </c>
      <c r="I18" s="510">
        <f>T_BS!K241</f>
        <v>-778091133</v>
      </c>
    </row>
    <row r="19" spans="4:9" ht="18" customHeight="1">
      <c r="D19" s="508" t="s">
        <v>199</v>
      </c>
      <c r="E19" s="509" t="s">
        <v>200</v>
      </c>
      <c r="F19" s="509">
        <f>T_BS!H242</f>
        <v>0</v>
      </c>
      <c r="G19" s="509">
        <f>T_BS!I242</f>
        <v>0</v>
      </c>
      <c r="H19" s="509">
        <f>T_BS!J242</f>
        <v>0</v>
      </c>
      <c r="I19" s="510">
        <f>T_BS!K242</f>
        <v>0</v>
      </c>
    </row>
    <row r="20" spans="4:9" ht="18" customHeight="1">
      <c r="D20" s="508" t="s">
        <v>201</v>
      </c>
      <c r="E20" s="509" t="s">
        <v>202</v>
      </c>
      <c r="F20" s="509">
        <f>T_BS!H243</f>
        <v>0</v>
      </c>
      <c r="G20" s="509">
        <f>T_BS!I243</f>
        <v>0</v>
      </c>
      <c r="H20" s="509">
        <f>T_BS!J243</f>
        <v>0</v>
      </c>
      <c r="I20" s="510">
        <f>T_BS!K243</f>
        <v>0</v>
      </c>
    </row>
    <row r="21" spans="4:9" ht="18" customHeight="1">
      <c r="D21" s="508" t="s">
        <v>203</v>
      </c>
      <c r="E21" s="509" t="s">
        <v>204</v>
      </c>
      <c r="F21" s="509">
        <f>T_BS!H244</f>
        <v>0</v>
      </c>
      <c r="G21" s="509">
        <f>T_BS!I244</f>
        <v>0</v>
      </c>
      <c r="H21" s="509">
        <f>T_BS!J244</f>
        <v>899241343</v>
      </c>
      <c r="I21" s="510">
        <f>T_BS!K244</f>
        <v>-257928547</v>
      </c>
    </row>
    <row r="22" spans="4:9" ht="18" customHeight="1">
      <c r="D22" s="505"/>
      <c r="E22" s="506" t="s">
        <v>13</v>
      </c>
      <c r="F22" s="506">
        <f>SUM(F23:F25)</f>
        <v>46826094086</v>
      </c>
      <c r="G22" s="506">
        <f>SUM(G23:G25)</f>
        <v>-1020027406</v>
      </c>
      <c r="H22" s="506">
        <f>SUM(H23:H25)</f>
        <v>-38352762815</v>
      </c>
      <c r="I22" s="507">
        <f>SUM(I23:I25)</f>
        <v>4301204866</v>
      </c>
    </row>
    <row r="23" spans="4:9" ht="18" customHeight="1">
      <c r="D23" s="508">
        <v>350951</v>
      </c>
      <c r="E23" s="509" t="s">
        <v>205</v>
      </c>
      <c r="F23" s="509">
        <f>T_BS!H247</f>
        <v>1212634443</v>
      </c>
      <c r="G23" s="509">
        <f>T_BS!I247</f>
        <v>0</v>
      </c>
      <c r="H23" s="509">
        <f>T_BS!J247</f>
        <v>0</v>
      </c>
      <c r="I23" s="510">
        <f>T_BS!K247</f>
        <v>0</v>
      </c>
    </row>
    <row r="24" spans="4:9" ht="18" customHeight="1">
      <c r="D24" s="508" t="s">
        <v>206</v>
      </c>
      <c r="E24" s="509" t="s">
        <v>207</v>
      </c>
      <c r="F24" s="509">
        <f>T_BS!H248</f>
        <v>0</v>
      </c>
      <c r="G24" s="509">
        <f>T_BS!I248</f>
        <v>-1005025891</v>
      </c>
      <c r="H24" s="509">
        <f>T_BS!J248</f>
        <v>-38587039942</v>
      </c>
      <c r="I24" s="510">
        <f>T_BS!K248</f>
        <v>3058983333</v>
      </c>
    </row>
    <row r="25" spans="4:9" ht="18" customHeight="1">
      <c r="D25" s="508" t="s">
        <v>208</v>
      </c>
      <c r="E25" s="509" t="s">
        <v>209</v>
      </c>
      <c r="F25" s="509">
        <f>T_BS!H249</f>
        <v>45613459643</v>
      </c>
      <c r="G25" s="509">
        <f>T_BS!I249</f>
        <v>-15001515</v>
      </c>
      <c r="H25" s="509">
        <f>T_BS!J249</f>
        <v>234277127</v>
      </c>
      <c r="I25" s="510">
        <f>T_BS!K249</f>
        <v>1242221533</v>
      </c>
    </row>
    <row r="26" spans="4:9" ht="18" customHeight="1">
      <c r="D26" s="502"/>
      <c r="E26" s="503" t="s">
        <v>210</v>
      </c>
      <c r="F26" s="503">
        <f>F27</f>
        <v>0</v>
      </c>
      <c r="G26" s="503"/>
      <c r="H26" s="503">
        <f>H27</f>
        <v>0</v>
      </c>
      <c r="I26" s="504">
        <f>I27</f>
        <v>0</v>
      </c>
    </row>
    <row r="27" spans="4:9" ht="18" customHeight="1" thickBot="1">
      <c r="D27" s="511" t="s">
        <v>492</v>
      </c>
      <c r="E27" s="512" t="s">
        <v>210</v>
      </c>
      <c r="F27" s="513">
        <f>T_BS!H251</f>
        <v>0</v>
      </c>
      <c r="G27" s="513"/>
      <c r="H27" s="513">
        <f>T_BS!J251</f>
        <v>0</v>
      </c>
      <c r="I27" s="514">
        <f>T_BS!K251</f>
        <v>0</v>
      </c>
    </row>
    <row r="28" spans="4:9" s="494" customFormat="1" ht="18" customHeight="1">
      <c r="F28" s="494" t="b">
        <f>F5=T_BS!H228</f>
        <v>1</v>
      </c>
      <c r="G28" s="494" t="b">
        <f>G5=T_BS!I228</f>
        <v>1</v>
      </c>
      <c r="H28" s="494" t="b">
        <f>H5=T_BS!J228</f>
        <v>1</v>
      </c>
      <c r="I28" s="494" t="b">
        <f>I5=T_BS!K228</f>
        <v>1</v>
      </c>
    </row>
    <row r="30" spans="4:9" ht="18" customHeight="1" thickBot="1">
      <c r="D30" s="498" t="s">
        <v>529</v>
      </c>
    </row>
    <row r="31" spans="4:9" ht="33" customHeight="1">
      <c r="D31" s="515" t="s">
        <v>16</v>
      </c>
      <c r="E31" s="516" t="s">
        <v>19</v>
      </c>
      <c r="F31" s="516" t="s">
        <v>15</v>
      </c>
      <c r="G31" s="516" t="s">
        <v>2189</v>
      </c>
      <c r="H31" s="516" t="s">
        <v>2587</v>
      </c>
      <c r="I31" s="517" t="s">
        <v>2585</v>
      </c>
    </row>
    <row r="32" spans="4:9" ht="18" customHeight="1">
      <c r="D32" s="499"/>
      <c r="E32" s="500" t="s">
        <v>14</v>
      </c>
      <c r="F32" s="500">
        <v>80788610856</v>
      </c>
      <c r="G32" s="500">
        <v>-1000833491</v>
      </c>
      <c r="H32" s="500">
        <v>-596550565</v>
      </c>
      <c r="I32" s="501">
        <v>2753929053</v>
      </c>
    </row>
    <row r="33" spans="4:9" ht="18" customHeight="1">
      <c r="D33" s="502"/>
      <c r="E33" s="503" t="s">
        <v>11</v>
      </c>
      <c r="F33" s="503">
        <v>80788610856</v>
      </c>
      <c r="G33" s="503">
        <v>-1000833491</v>
      </c>
      <c r="H33" s="503">
        <v>-596550565</v>
      </c>
      <c r="I33" s="504">
        <v>2753929053</v>
      </c>
    </row>
    <row r="34" spans="4:9" ht="18" customHeight="1">
      <c r="D34" s="505"/>
      <c r="E34" s="506" t="s">
        <v>10</v>
      </c>
      <c r="F34" s="506">
        <v>28429923500</v>
      </c>
      <c r="G34" s="506">
        <v>5000000</v>
      </c>
      <c r="H34" s="506">
        <v>37013277500</v>
      </c>
      <c r="I34" s="507">
        <v>511470000</v>
      </c>
    </row>
    <row r="35" spans="4:9" ht="18" customHeight="1">
      <c r="D35" s="508">
        <v>310100</v>
      </c>
      <c r="E35" s="509" t="s">
        <v>190</v>
      </c>
      <c r="F35" s="509">
        <v>28429923500</v>
      </c>
      <c r="G35" s="509">
        <v>5000000</v>
      </c>
      <c r="H35" s="509">
        <v>37013277500</v>
      </c>
      <c r="I35" s="510">
        <v>511470000</v>
      </c>
    </row>
    <row r="36" spans="4:9" ht="18" customHeight="1">
      <c r="D36" s="505"/>
      <c r="E36" s="506" t="s">
        <v>12</v>
      </c>
      <c r="F36" s="506">
        <v>178862777624</v>
      </c>
      <c r="G36" s="506">
        <v>-807600</v>
      </c>
      <c r="H36" s="506">
        <v>0</v>
      </c>
      <c r="I36" s="507">
        <v>0</v>
      </c>
    </row>
    <row r="37" spans="4:9" ht="18" customHeight="1">
      <c r="D37" s="508">
        <v>320100</v>
      </c>
      <c r="E37" s="509" t="s">
        <v>191</v>
      </c>
      <c r="F37" s="509">
        <v>177997002186</v>
      </c>
      <c r="G37" s="509">
        <v>-807600</v>
      </c>
      <c r="H37" s="509">
        <v>0</v>
      </c>
      <c r="I37" s="510">
        <v>0</v>
      </c>
    </row>
    <row r="38" spans="4:9" ht="18" customHeight="1">
      <c r="D38" s="508">
        <v>320500</v>
      </c>
      <c r="E38" s="509" t="s">
        <v>192</v>
      </c>
      <c r="F38" s="509">
        <v>0</v>
      </c>
      <c r="G38" s="509">
        <v>0</v>
      </c>
      <c r="H38" s="509">
        <v>0</v>
      </c>
      <c r="I38" s="510">
        <v>0</v>
      </c>
    </row>
    <row r="39" spans="4:9" ht="18" customHeight="1">
      <c r="D39" s="508">
        <v>320300</v>
      </c>
      <c r="E39" s="509" t="s">
        <v>193</v>
      </c>
      <c r="F39" s="509">
        <v>865775438</v>
      </c>
      <c r="G39" s="509">
        <v>0</v>
      </c>
      <c r="H39" s="509">
        <v>0</v>
      </c>
      <c r="I39" s="510">
        <v>0</v>
      </c>
    </row>
    <row r="40" spans="4:9" ht="18" customHeight="1">
      <c r="D40" s="505"/>
      <c r="E40" s="506" t="s">
        <v>194</v>
      </c>
      <c r="F40" s="506">
        <v>-7572300426</v>
      </c>
      <c r="G40" s="506">
        <v>0</v>
      </c>
      <c r="H40" s="506">
        <v>977211877</v>
      </c>
      <c r="I40" s="507">
        <v>-816524280</v>
      </c>
    </row>
    <row r="41" spans="4:9" ht="18" customHeight="1">
      <c r="D41" s="508">
        <v>350300</v>
      </c>
      <c r="E41" s="509" t="s">
        <v>195</v>
      </c>
      <c r="F41" s="509">
        <v>-4240000</v>
      </c>
      <c r="G41" s="509">
        <v>0</v>
      </c>
      <c r="H41" s="509">
        <v>0</v>
      </c>
      <c r="I41" s="510">
        <v>0</v>
      </c>
    </row>
    <row r="42" spans="4:9" ht="18" customHeight="1">
      <c r="D42" s="508">
        <v>350350</v>
      </c>
      <c r="E42" s="509" t="s">
        <v>196</v>
      </c>
      <c r="F42" s="509">
        <v>-1292039719</v>
      </c>
      <c r="G42" s="509">
        <v>0</v>
      </c>
      <c r="H42" s="509">
        <v>0</v>
      </c>
      <c r="I42" s="510">
        <v>0</v>
      </c>
    </row>
    <row r="43" spans="4:9" ht="18" customHeight="1">
      <c r="D43" s="508" t="s">
        <v>226</v>
      </c>
      <c r="E43" s="509" t="s">
        <v>225</v>
      </c>
      <c r="F43" s="509">
        <v>0</v>
      </c>
      <c r="G43" s="509">
        <v>0</v>
      </c>
      <c r="H43" s="509">
        <v>0</v>
      </c>
      <c r="I43" s="510">
        <v>0</v>
      </c>
    </row>
    <row r="44" spans="4:9" ht="18" customHeight="1">
      <c r="D44" s="508">
        <v>350400</v>
      </c>
      <c r="E44" s="509" t="s">
        <v>197</v>
      </c>
      <c r="F44" s="509">
        <v>1444251253</v>
      </c>
      <c r="G44" s="509">
        <v>0</v>
      </c>
      <c r="H44" s="509">
        <v>0</v>
      </c>
      <c r="I44" s="510">
        <v>0</v>
      </c>
    </row>
    <row r="45" spans="4:9" ht="18" customHeight="1">
      <c r="D45" s="508">
        <v>350210</v>
      </c>
      <c r="E45" s="509" t="s">
        <v>198</v>
      </c>
      <c r="F45" s="509">
        <v>-7720271960</v>
      </c>
      <c r="G45" s="509">
        <v>0</v>
      </c>
      <c r="H45" s="509">
        <v>0</v>
      </c>
      <c r="I45" s="510">
        <v>-778091133</v>
      </c>
    </row>
    <row r="46" spans="4:9" ht="18" customHeight="1">
      <c r="D46" s="508" t="s">
        <v>199</v>
      </c>
      <c r="E46" s="509" t="s">
        <v>200</v>
      </c>
      <c r="F46" s="509">
        <v>0</v>
      </c>
      <c r="G46" s="509">
        <v>0</v>
      </c>
      <c r="H46" s="509">
        <v>0</v>
      </c>
      <c r="I46" s="510">
        <v>0</v>
      </c>
    </row>
    <row r="47" spans="4:9" ht="18" customHeight="1">
      <c r="D47" s="508" t="s">
        <v>201</v>
      </c>
      <c r="E47" s="509" t="s">
        <v>202</v>
      </c>
      <c r="F47" s="509">
        <v>0</v>
      </c>
      <c r="G47" s="509">
        <v>0</v>
      </c>
      <c r="H47" s="509">
        <v>0</v>
      </c>
      <c r="I47" s="510">
        <v>0</v>
      </c>
    </row>
    <row r="48" spans="4:9" ht="18" customHeight="1">
      <c r="D48" s="508" t="s">
        <v>203</v>
      </c>
      <c r="E48" s="509" t="s">
        <v>204</v>
      </c>
      <c r="F48" s="509">
        <v>0</v>
      </c>
      <c r="G48" s="509">
        <v>0</v>
      </c>
      <c r="H48" s="509">
        <v>977211877</v>
      </c>
      <c r="I48" s="510">
        <v>-38433147</v>
      </c>
    </row>
    <row r="49" spans="4:9" ht="18" customHeight="1">
      <c r="D49" s="505"/>
      <c r="E49" s="506" t="s">
        <v>13</v>
      </c>
      <c r="F49" s="506">
        <v>-118931789842</v>
      </c>
      <c r="G49" s="506">
        <v>-1005025891</v>
      </c>
      <c r="H49" s="506">
        <v>-38587039942</v>
      </c>
      <c r="I49" s="507">
        <v>3058983333</v>
      </c>
    </row>
    <row r="50" spans="4:9" ht="18" customHeight="1">
      <c r="D50" s="508">
        <v>350951</v>
      </c>
      <c r="E50" s="509" t="s">
        <v>205</v>
      </c>
      <c r="F50" s="509">
        <v>-1140444443</v>
      </c>
      <c r="G50" s="509">
        <v>0</v>
      </c>
      <c r="H50" s="509">
        <v>0</v>
      </c>
      <c r="I50" s="510">
        <v>0</v>
      </c>
    </row>
    <row r="51" spans="4:9" ht="18" customHeight="1">
      <c r="D51" s="508" t="s">
        <v>206</v>
      </c>
      <c r="E51" s="509" t="s">
        <v>207</v>
      </c>
      <c r="F51" s="509">
        <v>-101891092076</v>
      </c>
      <c r="G51" s="509">
        <v>31277483</v>
      </c>
      <c r="H51" s="509">
        <v>-38269317159</v>
      </c>
      <c r="I51" s="510">
        <v>3625530956</v>
      </c>
    </row>
    <row r="52" spans="4:9" ht="18" customHeight="1">
      <c r="D52" s="508" t="s">
        <v>208</v>
      </c>
      <c r="E52" s="509" t="s">
        <v>209</v>
      </c>
      <c r="F52" s="509">
        <v>-15900253323</v>
      </c>
      <c r="G52" s="509">
        <v>-1036303374</v>
      </c>
      <c r="H52" s="509">
        <v>-317722783</v>
      </c>
      <c r="I52" s="510">
        <v>-566547623</v>
      </c>
    </row>
    <row r="53" spans="4:9" ht="18" customHeight="1">
      <c r="D53" s="502"/>
      <c r="E53" s="503" t="s">
        <v>210</v>
      </c>
      <c r="F53" s="503">
        <v>0</v>
      </c>
      <c r="G53" s="503"/>
      <c r="H53" s="503">
        <v>0</v>
      </c>
      <c r="I53" s="504">
        <v>0</v>
      </c>
    </row>
    <row r="54" spans="4:9" ht="18" customHeight="1" thickBot="1">
      <c r="D54" s="511" t="s">
        <v>492</v>
      </c>
      <c r="E54" s="512" t="s">
        <v>210</v>
      </c>
      <c r="F54" s="513">
        <v>0</v>
      </c>
      <c r="G54" s="513"/>
      <c r="H54" s="513">
        <v>0</v>
      </c>
      <c r="I54" s="514">
        <v>0</v>
      </c>
    </row>
    <row r="56" spans="4:9" s="519" customFormat="1" ht="18" customHeight="1" thickBot="1">
      <c r="D56" s="518" t="s">
        <v>531</v>
      </c>
    </row>
    <row r="57" spans="4:9" ht="36.6" customHeight="1">
      <c r="D57" s="515" t="s">
        <v>16</v>
      </c>
      <c r="E57" s="516" t="s">
        <v>19</v>
      </c>
      <c r="F57" s="516" t="s">
        <v>15</v>
      </c>
      <c r="G57" s="516" t="s">
        <v>2189</v>
      </c>
      <c r="H57" s="516" t="s">
        <v>2587</v>
      </c>
      <c r="I57" s="517" t="s">
        <v>2585</v>
      </c>
    </row>
    <row r="58" spans="4:9" ht="18" customHeight="1">
      <c r="D58" s="499"/>
      <c r="E58" s="500" t="s">
        <v>14</v>
      </c>
      <c r="F58" s="500">
        <f>SUM(F59,F79)</f>
        <v>46780774377</v>
      </c>
      <c r="G58" s="500">
        <f>SUM(G59,G79)</f>
        <v>1984948485</v>
      </c>
      <c r="H58" s="500">
        <f>SUM(H59,H79)</f>
        <v>156306593</v>
      </c>
      <c r="I58" s="501">
        <f>SUM(I59,I79)</f>
        <v>1022726133</v>
      </c>
    </row>
    <row r="59" spans="4:9" ht="18" customHeight="1">
      <c r="D59" s="502"/>
      <c r="E59" s="503" t="s">
        <v>11</v>
      </c>
      <c r="F59" s="503">
        <f>SUM(F60,F62,F66,F75)</f>
        <v>46780774377</v>
      </c>
      <c r="G59" s="503">
        <f>SUM(G60,G62,G66,G75)</f>
        <v>1984948485</v>
      </c>
      <c r="H59" s="503">
        <f>SUM(H60,H62,H66,H75)</f>
        <v>156306593</v>
      </c>
      <c r="I59" s="504">
        <f>SUM(I60,I62,I66,I75)</f>
        <v>1022726133</v>
      </c>
    </row>
    <row r="60" spans="4:9" ht="18" customHeight="1">
      <c r="D60" s="505"/>
      <c r="E60" s="506" t="s">
        <v>10</v>
      </c>
      <c r="F60" s="506">
        <f>F61</f>
        <v>0</v>
      </c>
      <c r="G60" s="506">
        <f>G61</f>
        <v>6666500</v>
      </c>
      <c r="H60" s="506">
        <f>H61</f>
        <v>0</v>
      </c>
      <c r="I60" s="507">
        <f>I61</f>
        <v>0</v>
      </c>
    </row>
    <row r="61" spans="4:9" ht="18" customHeight="1">
      <c r="D61" s="508">
        <v>310100</v>
      </c>
      <c r="E61" s="509" t="s">
        <v>190</v>
      </c>
      <c r="F61" s="509">
        <f>F8-F35</f>
        <v>0</v>
      </c>
      <c r="G61" s="509">
        <f>G8-G35</f>
        <v>6666500</v>
      </c>
      <c r="H61" s="509">
        <f>H8-H35</f>
        <v>0</v>
      </c>
      <c r="I61" s="510">
        <f>I8-I35</f>
        <v>0</v>
      </c>
    </row>
    <row r="62" spans="4:9" ht="18" customHeight="1">
      <c r="D62" s="505"/>
      <c r="E62" s="506" t="s">
        <v>12</v>
      </c>
      <c r="F62" s="506">
        <f>SUM(F63:F65)</f>
        <v>-118602164720</v>
      </c>
      <c r="G62" s="506">
        <f>SUM(G63:G65)</f>
        <v>1993283500</v>
      </c>
      <c r="H62" s="506">
        <f>SUM(H63:H65)</f>
        <v>0</v>
      </c>
      <c r="I62" s="507">
        <f>SUM(I63:I65)</f>
        <v>0</v>
      </c>
    </row>
    <row r="63" spans="4:9" ht="18" customHeight="1">
      <c r="D63" s="508">
        <v>320100</v>
      </c>
      <c r="E63" s="509" t="s">
        <v>191</v>
      </c>
      <c r="F63" s="509">
        <f t="shared" ref="F63:I65" si="0">F10-F37</f>
        <v>-118931789842</v>
      </c>
      <c r="G63" s="509">
        <f>G10-G37</f>
        <v>1993283500</v>
      </c>
      <c r="H63" s="509">
        <f t="shared" si="0"/>
        <v>0</v>
      </c>
      <c r="I63" s="510">
        <f t="shared" si="0"/>
        <v>0</v>
      </c>
    </row>
    <row r="64" spans="4:9" ht="18" customHeight="1">
      <c r="D64" s="508">
        <v>320500</v>
      </c>
      <c r="E64" s="509" t="s">
        <v>192</v>
      </c>
      <c r="F64" s="509">
        <f t="shared" si="0"/>
        <v>0</v>
      </c>
      <c r="G64" s="509">
        <f>G11-G38</f>
        <v>0</v>
      </c>
      <c r="H64" s="509">
        <f t="shared" si="0"/>
        <v>0</v>
      </c>
      <c r="I64" s="510">
        <f t="shared" si="0"/>
        <v>0</v>
      </c>
    </row>
    <row r="65" spans="4:9" ht="18" customHeight="1">
      <c r="D65" s="508">
        <v>320300</v>
      </c>
      <c r="E65" s="509" t="s">
        <v>193</v>
      </c>
      <c r="F65" s="509">
        <f t="shared" si="0"/>
        <v>329625122</v>
      </c>
      <c r="G65" s="509">
        <f>G12-G39</f>
        <v>0</v>
      </c>
      <c r="H65" s="509">
        <f t="shared" si="0"/>
        <v>0</v>
      </c>
      <c r="I65" s="510">
        <f t="shared" si="0"/>
        <v>0</v>
      </c>
    </row>
    <row r="66" spans="4:9" ht="18" customHeight="1">
      <c r="D66" s="505"/>
      <c r="E66" s="506" t="s">
        <v>194</v>
      </c>
      <c r="F66" s="506">
        <f>SUM(F67:F74)</f>
        <v>-374944831</v>
      </c>
      <c r="G66" s="506">
        <f>SUM(G67:G74)</f>
        <v>0</v>
      </c>
      <c r="H66" s="506">
        <f>SUM(H67:H74)</f>
        <v>-77970534</v>
      </c>
      <c r="I66" s="507">
        <f>SUM(I67:I74)</f>
        <v>-219495400</v>
      </c>
    </row>
    <row r="67" spans="4:9" ht="18" customHeight="1">
      <c r="D67" s="508">
        <v>350300</v>
      </c>
      <c r="E67" s="509" t="s">
        <v>195</v>
      </c>
      <c r="F67" s="509">
        <f t="shared" ref="F67:I74" si="1">F14-F41</f>
        <v>4240000</v>
      </c>
      <c r="G67" s="509">
        <f t="shared" ref="G67:G74" si="2">G14-G41</f>
        <v>0</v>
      </c>
      <c r="H67" s="509">
        <f t="shared" si="1"/>
        <v>0</v>
      </c>
      <c r="I67" s="510">
        <f t="shared" si="1"/>
        <v>0</v>
      </c>
    </row>
    <row r="68" spans="4:9" ht="18" customHeight="1">
      <c r="D68" s="508">
        <v>350350</v>
      </c>
      <c r="E68" s="509" t="s">
        <v>196</v>
      </c>
      <c r="F68" s="509">
        <f t="shared" si="1"/>
        <v>-1771023</v>
      </c>
      <c r="G68" s="509">
        <f t="shared" si="2"/>
        <v>0</v>
      </c>
      <c r="H68" s="509">
        <f t="shared" si="1"/>
        <v>0</v>
      </c>
      <c r="I68" s="510">
        <f t="shared" si="1"/>
        <v>0</v>
      </c>
    </row>
    <row r="69" spans="4:9" ht="18" customHeight="1">
      <c r="D69" s="508" t="s">
        <v>226</v>
      </c>
      <c r="E69" s="509" t="s">
        <v>225</v>
      </c>
      <c r="F69" s="509">
        <f t="shared" si="1"/>
        <v>0</v>
      </c>
      <c r="G69" s="509">
        <f t="shared" si="2"/>
        <v>0</v>
      </c>
      <c r="H69" s="509">
        <f t="shared" si="1"/>
        <v>0</v>
      </c>
      <c r="I69" s="510">
        <f t="shared" si="1"/>
        <v>0</v>
      </c>
    </row>
    <row r="70" spans="4:9" ht="18" customHeight="1">
      <c r="D70" s="508">
        <v>350400</v>
      </c>
      <c r="E70" s="509" t="s">
        <v>197</v>
      </c>
      <c r="F70" s="509">
        <f t="shared" si="1"/>
        <v>-377413808</v>
      </c>
      <c r="G70" s="509">
        <f t="shared" si="2"/>
        <v>0</v>
      </c>
      <c r="H70" s="509">
        <f t="shared" si="1"/>
        <v>0</v>
      </c>
      <c r="I70" s="510">
        <f t="shared" si="1"/>
        <v>0</v>
      </c>
    </row>
    <row r="71" spans="4:9" ht="18" customHeight="1">
      <c r="D71" s="508">
        <v>350210</v>
      </c>
      <c r="E71" s="509" t="s">
        <v>198</v>
      </c>
      <c r="F71" s="509">
        <f t="shared" si="1"/>
        <v>0</v>
      </c>
      <c r="G71" s="509">
        <f t="shared" si="2"/>
        <v>0</v>
      </c>
      <c r="H71" s="509">
        <f t="shared" si="1"/>
        <v>0</v>
      </c>
      <c r="I71" s="510">
        <f t="shared" si="1"/>
        <v>0</v>
      </c>
    </row>
    <row r="72" spans="4:9" ht="18" customHeight="1">
      <c r="D72" s="508" t="s">
        <v>199</v>
      </c>
      <c r="E72" s="509" t="s">
        <v>200</v>
      </c>
      <c r="F72" s="509">
        <f t="shared" si="1"/>
        <v>0</v>
      </c>
      <c r="G72" s="509">
        <f t="shared" si="2"/>
        <v>0</v>
      </c>
      <c r="H72" s="509">
        <f t="shared" si="1"/>
        <v>0</v>
      </c>
      <c r="I72" s="510">
        <f t="shared" si="1"/>
        <v>0</v>
      </c>
    </row>
    <row r="73" spans="4:9" ht="18" customHeight="1">
      <c r="D73" s="508" t="s">
        <v>201</v>
      </c>
      <c r="E73" s="509" t="s">
        <v>202</v>
      </c>
      <c r="F73" s="509">
        <f t="shared" si="1"/>
        <v>0</v>
      </c>
      <c r="G73" s="509">
        <f t="shared" si="2"/>
        <v>0</v>
      </c>
      <c r="H73" s="509">
        <f t="shared" si="1"/>
        <v>0</v>
      </c>
      <c r="I73" s="510">
        <f t="shared" si="1"/>
        <v>0</v>
      </c>
    </row>
    <row r="74" spans="4:9" ht="18" customHeight="1">
      <c r="D74" s="508" t="s">
        <v>203</v>
      </c>
      <c r="E74" s="509" t="s">
        <v>204</v>
      </c>
      <c r="F74" s="509">
        <f t="shared" si="1"/>
        <v>0</v>
      </c>
      <c r="G74" s="509">
        <f t="shared" si="2"/>
        <v>0</v>
      </c>
      <c r="H74" s="509">
        <f>H21-H48</f>
        <v>-77970534</v>
      </c>
      <c r="I74" s="510">
        <f t="shared" si="1"/>
        <v>-219495400</v>
      </c>
    </row>
    <row r="75" spans="4:9" ht="18" customHeight="1">
      <c r="D75" s="505"/>
      <c r="E75" s="506" t="s">
        <v>13</v>
      </c>
      <c r="F75" s="506">
        <f>SUM(F76:F78)</f>
        <v>165757883928</v>
      </c>
      <c r="G75" s="506">
        <f>SUM(G76:G78)</f>
        <v>-15001515</v>
      </c>
      <c r="H75" s="506">
        <f>SUM(H76:H78)</f>
        <v>234277127</v>
      </c>
      <c r="I75" s="507">
        <f>SUM(I76:I78)</f>
        <v>1242221533</v>
      </c>
    </row>
    <row r="76" spans="4:9" ht="18" customHeight="1">
      <c r="D76" s="508">
        <v>350951</v>
      </c>
      <c r="E76" s="509" t="s">
        <v>205</v>
      </c>
      <c r="F76" s="509">
        <f>F23-F50</f>
        <v>2353078886</v>
      </c>
      <c r="G76" s="509">
        <f>G23-G50</f>
        <v>0</v>
      </c>
      <c r="H76" s="509">
        <f>H23-H50</f>
        <v>0</v>
      </c>
      <c r="I76" s="510">
        <f>I23-I50</f>
        <v>0</v>
      </c>
    </row>
    <row r="77" spans="4:9" ht="18" customHeight="1">
      <c r="D77" s="508" t="s">
        <v>206</v>
      </c>
      <c r="E77" s="509" t="s">
        <v>207</v>
      </c>
      <c r="F77" s="509">
        <f>F24-F51-F52</f>
        <v>117791345399</v>
      </c>
      <c r="G77" s="509">
        <f>G24-G51-G52</f>
        <v>0</v>
      </c>
      <c r="H77" s="509">
        <f>H24-H51-H52</f>
        <v>0</v>
      </c>
      <c r="I77" s="510">
        <f>I24-I51-I52</f>
        <v>0</v>
      </c>
    </row>
    <row r="78" spans="4:9" ht="18" customHeight="1">
      <c r="D78" s="508" t="s">
        <v>208</v>
      </c>
      <c r="E78" s="509" t="s">
        <v>209</v>
      </c>
      <c r="F78" s="509">
        <f>F25</f>
        <v>45613459643</v>
      </c>
      <c r="G78" s="509">
        <f>G25</f>
        <v>-15001515</v>
      </c>
      <c r="H78" s="509">
        <f>H25</f>
        <v>234277127</v>
      </c>
      <c r="I78" s="510">
        <f>I25</f>
        <v>1242221533</v>
      </c>
    </row>
    <row r="79" spans="4:9" ht="18" customHeight="1">
      <c r="D79" s="502"/>
      <c r="E79" s="503" t="s">
        <v>210</v>
      </c>
      <c r="F79" s="503">
        <f>F80</f>
        <v>0</v>
      </c>
      <c r="G79" s="503">
        <f>G80</f>
        <v>0</v>
      </c>
      <c r="H79" s="503">
        <f>H80</f>
        <v>0</v>
      </c>
      <c r="I79" s="504">
        <f>I80</f>
        <v>0</v>
      </c>
    </row>
    <row r="80" spans="4:9" ht="18" customHeight="1" thickBot="1">
      <c r="D80" s="511" t="s">
        <v>492</v>
      </c>
      <c r="E80" s="512" t="s">
        <v>210</v>
      </c>
      <c r="F80" s="513">
        <f>F27-F54</f>
        <v>0</v>
      </c>
      <c r="G80" s="513">
        <f>G27-G54</f>
        <v>0</v>
      </c>
      <c r="H80" s="513">
        <f>H27-H54</f>
        <v>0</v>
      </c>
      <c r="I80" s="514">
        <f>I27-I54</f>
        <v>0</v>
      </c>
    </row>
    <row r="82" spans="4:9" ht="18" customHeight="1">
      <c r="D82" s="494" t="s">
        <v>1602</v>
      </c>
    </row>
    <row r="83" spans="4:9" ht="18" customHeight="1" thickBot="1">
      <c r="D83" s="494"/>
    </row>
    <row r="84" spans="4:9" ht="38.450000000000003" customHeight="1">
      <c r="D84" s="516"/>
      <c r="E84" s="516"/>
      <c r="F84" s="516" t="s">
        <v>15</v>
      </c>
      <c r="G84" s="516" t="s">
        <v>2189</v>
      </c>
      <c r="H84" s="516" t="s">
        <v>2587</v>
      </c>
      <c r="I84" s="517" t="s">
        <v>2585</v>
      </c>
    </row>
    <row r="85" spans="4:9" s="494" customFormat="1" ht="18" customHeight="1">
      <c r="D85" s="520" t="s">
        <v>10</v>
      </c>
      <c r="E85" s="520"/>
      <c r="F85" s="520"/>
      <c r="G85" s="520"/>
      <c r="H85" s="520"/>
      <c r="I85" s="520"/>
    </row>
    <row r="86" spans="4:9" ht="18" customHeight="1">
      <c r="E86" s="498" t="s">
        <v>532</v>
      </c>
      <c r="F86" s="498">
        <v>0</v>
      </c>
      <c r="H86" s="498">
        <v>0</v>
      </c>
      <c r="I86" s="498">
        <v>0</v>
      </c>
    </row>
    <row r="87" spans="4:9" ht="18" customHeight="1">
      <c r="E87" s="498" t="s">
        <v>1606</v>
      </c>
      <c r="F87" s="498">
        <f>F61</f>
        <v>0</v>
      </c>
      <c r="H87" s="498">
        <v>0</v>
      </c>
      <c r="I87" s="498">
        <v>0</v>
      </c>
    </row>
    <row r="88" spans="4:9" ht="18" customHeight="1">
      <c r="E88" s="498" t="s">
        <v>1689</v>
      </c>
      <c r="F88" s="498">
        <v>0</v>
      </c>
      <c r="H88" s="498">
        <v>0</v>
      </c>
      <c r="I88" s="498">
        <v>0</v>
      </c>
    </row>
    <row r="89" spans="4:9" ht="18" customHeight="1">
      <c r="E89" s="498" t="s">
        <v>2271</v>
      </c>
      <c r="G89" s="498">
        <f>G61</f>
        <v>6666500</v>
      </c>
    </row>
    <row r="90" spans="4:9" ht="18" customHeight="1" thickBot="1">
      <c r="D90" s="521"/>
      <c r="E90" s="521"/>
      <c r="F90" s="521">
        <f>SUM(F86:F89)</f>
        <v>0</v>
      </c>
      <c r="G90" s="521">
        <f>SUM(G86:G89)</f>
        <v>6666500</v>
      </c>
      <c r="H90" s="521">
        <f>SUM(H86:H89)</f>
        <v>0</v>
      </c>
      <c r="I90" s="521">
        <f>SUM(I86:I89)</f>
        <v>0</v>
      </c>
    </row>
    <row r="91" spans="4:9" ht="18" customHeight="1" thickTop="1">
      <c r="F91" s="498" t="b">
        <f>F90=F60</f>
        <v>1</v>
      </c>
      <c r="G91" s="498" t="b">
        <f>G90=G60</f>
        <v>1</v>
      </c>
      <c r="H91" s="498" t="b">
        <f>H90=H60</f>
        <v>1</v>
      </c>
      <c r="I91" s="498" t="b">
        <f>I90=I60</f>
        <v>1</v>
      </c>
    </row>
    <row r="92" spans="4:9" s="494" customFormat="1" ht="18" customHeight="1">
      <c r="D92" s="520" t="s">
        <v>12</v>
      </c>
      <c r="E92" s="520"/>
      <c r="F92" s="520"/>
      <c r="G92" s="520"/>
      <c r="H92" s="520"/>
      <c r="I92" s="520"/>
    </row>
    <row r="93" spans="4:9" ht="18" customHeight="1">
      <c r="E93" s="498" t="s">
        <v>532</v>
      </c>
      <c r="F93" s="498">
        <v>0</v>
      </c>
      <c r="H93" s="498">
        <v>0</v>
      </c>
      <c r="I93" s="498">
        <v>0</v>
      </c>
    </row>
    <row r="94" spans="4:9" ht="18" customHeight="1">
      <c r="E94" s="498" t="s">
        <v>1606</v>
      </c>
      <c r="F94" s="498">
        <v>0</v>
      </c>
    </row>
    <row r="95" spans="4:9" s="1941" customFormat="1" ht="18" customHeight="1">
      <c r="E95" s="1941" t="s">
        <v>2827</v>
      </c>
      <c r="F95" s="1941">
        <f>F63</f>
        <v>-118931789842</v>
      </c>
    </row>
    <row r="96" spans="4:9" ht="18" customHeight="1">
      <c r="E96" s="498" t="s">
        <v>1604</v>
      </c>
      <c r="F96" s="498">
        <f>F65</f>
        <v>329625122</v>
      </c>
      <c r="H96" s="498">
        <v>0</v>
      </c>
      <c r="I96" s="498">
        <v>0</v>
      </c>
    </row>
    <row r="97" spans="4:12" ht="18" customHeight="1">
      <c r="E97" s="498" t="s">
        <v>1605</v>
      </c>
      <c r="F97" s="498">
        <v>0</v>
      </c>
      <c r="H97" s="498">
        <v>0</v>
      </c>
      <c r="I97" s="498">
        <v>0</v>
      </c>
    </row>
    <row r="98" spans="4:12" ht="18" customHeight="1">
      <c r="E98" s="498" t="s">
        <v>537</v>
      </c>
      <c r="F98" s="498">
        <v>0</v>
      </c>
      <c r="H98" s="498">
        <v>0</v>
      </c>
      <c r="I98" s="498">
        <v>0</v>
      </c>
    </row>
    <row r="99" spans="4:12" ht="18" customHeight="1">
      <c r="E99" s="498" t="s">
        <v>2271</v>
      </c>
      <c r="G99" s="498">
        <f>G63</f>
        <v>1993283500</v>
      </c>
    </row>
    <row r="100" spans="4:12" s="494" customFormat="1" ht="18" customHeight="1" thickBot="1">
      <c r="D100" s="522"/>
      <c r="E100" s="522"/>
      <c r="F100" s="522">
        <f>SUM(F93:F99)</f>
        <v>-118602164720</v>
      </c>
      <c r="G100" s="522">
        <f>SUM(G93:G99)</f>
        <v>1993283500</v>
      </c>
      <c r="H100" s="522">
        <f>SUM(H93:H99)</f>
        <v>0</v>
      </c>
      <c r="I100" s="522">
        <f>SUM(I93:I99)</f>
        <v>0</v>
      </c>
    </row>
    <row r="101" spans="4:12" ht="18" customHeight="1" thickTop="1">
      <c r="F101" s="498" t="b">
        <f>F100=F62</f>
        <v>1</v>
      </c>
      <c r="G101" s="498" t="b">
        <f>G100=G62</f>
        <v>1</v>
      </c>
      <c r="H101" s="498" t="b">
        <f>H100=H62</f>
        <v>1</v>
      </c>
      <c r="I101" s="498" t="b">
        <f>I100=I62</f>
        <v>1</v>
      </c>
    </row>
    <row r="102" spans="4:12" s="494" customFormat="1" ht="18" customHeight="1">
      <c r="D102" s="520" t="s">
        <v>194</v>
      </c>
      <c r="E102" s="520"/>
      <c r="F102" s="520"/>
      <c r="G102" s="520"/>
      <c r="H102" s="520"/>
      <c r="I102" s="520"/>
    </row>
    <row r="103" spans="4:12" ht="18" customHeight="1">
      <c r="E103" s="498" t="s">
        <v>758</v>
      </c>
      <c r="F103" s="498">
        <f>F70</f>
        <v>-377413808</v>
      </c>
    </row>
    <row r="104" spans="4:12" ht="18" customHeight="1">
      <c r="E104" s="498" t="s">
        <v>1603</v>
      </c>
    </row>
    <row r="105" spans="4:12" ht="18" customHeight="1">
      <c r="E105" s="498" t="s">
        <v>1604</v>
      </c>
    </row>
    <row r="106" spans="4:12" ht="18" customHeight="1">
      <c r="E106" s="498" t="s">
        <v>1605</v>
      </c>
    </row>
    <row r="107" spans="4:12" ht="18" customHeight="1">
      <c r="E107" s="498" t="s">
        <v>1607</v>
      </c>
      <c r="F107" s="498">
        <v>0</v>
      </c>
    </row>
    <row r="108" spans="4:12" ht="18" customHeight="1">
      <c r="E108" s="498" t="s">
        <v>1608</v>
      </c>
      <c r="F108" s="498">
        <f>F74</f>
        <v>0</v>
      </c>
      <c r="H108" s="498">
        <f>H74</f>
        <v>-77970534</v>
      </c>
      <c r="I108" s="498">
        <f>I74</f>
        <v>-219495400</v>
      </c>
    </row>
    <row r="109" spans="4:12" ht="18" customHeight="1" thickBot="1">
      <c r="D109" s="521"/>
      <c r="E109" s="521"/>
      <c r="F109" s="521">
        <f>SUM(F103:F108)</f>
        <v>-377413808</v>
      </c>
      <c r="G109" s="521"/>
      <c r="H109" s="521">
        <f>SUM(H103:H108)</f>
        <v>-77970534</v>
      </c>
      <c r="I109" s="521">
        <f>SUM(I103:I108)</f>
        <v>-219495400</v>
      </c>
    </row>
    <row r="110" spans="4:12" ht="18" customHeight="1" thickTop="1">
      <c r="F110" s="498" t="b">
        <f>F109=F66</f>
        <v>0</v>
      </c>
      <c r="G110" s="498" t="b">
        <f>G109=G66</f>
        <v>1</v>
      </c>
      <c r="H110" s="498" t="b">
        <f>H109=H66</f>
        <v>1</v>
      </c>
      <c r="I110" s="498" t="b">
        <f>I109=I66</f>
        <v>1</v>
      </c>
      <c r="K110" s="1883" t="s">
        <v>2810</v>
      </c>
      <c r="L110" s="1364"/>
    </row>
    <row r="111" spans="4:12" s="494" customFormat="1" ht="18" customHeight="1">
      <c r="D111" s="520" t="s">
        <v>13</v>
      </c>
      <c r="E111" s="520"/>
      <c r="F111" s="520"/>
      <c r="G111" s="520"/>
      <c r="H111" s="520"/>
      <c r="I111" s="520"/>
      <c r="K111" s="1884" t="s">
        <v>2774</v>
      </c>
      <c r="L111" s="1892">
        <v>-1140444443</v>
      </c>
    </row>
    <row r="112" spans="4:12" ht="18" customHeight="1" thickBot="1">
      <c r="E112" s="498" t="s">
        <v>1609</v>
      </c>
      <c r="F112" s="498">
        <f>SUM(T_IS!H128)</f>
        <v>45613459643</v>
      </c>
      <c r="G112" s="498">
        <f>G78</f>
        <v>-15001515</v>
      </c>
      <c r="H112" s="498">
        <f>SUM(T_IS!J128)</f>
        <v>234277127</v>
      </c>
      <c r="I112" s="498">
        <f>SUM(T_IS!K128)</f>
        <v>1242221533</v>
      </c>
      <c r="K112" s="1885" t="s">
        <v>2775</v>
      </c>
      <c r="L112" s="1893">
        <v>-117791345399</v>
      </c>
    </row>
    <row r="113" spans="4:12" ht="18" customHeight="1" thickTop="1">
      <c r="E113" s="498" t="s">
        <v>1610</v>
      </c>
      <c r="F113" s="498">
        <v>0</v>
      </c>
      <c r="H113" s="498">
        <v>0</v>
      </c>
      <c r="I113" s="498">
        <v>0</v>
      </c>
      <c r="K113" s="1886" t="s">
        <v>2776</v>
      </c>
      <c r="L113" s="1894">
        <v>-118931789842</v>
      </c>
    </row>
    <row r="114" spans="4:12" ht="18" customHeight="1">
      <c r="E114" s="498" t="s">
        <v>1611</v>
      </c>
      <c r="F114" s="498">
        <f>F76</f>
        <v>2353078886</v>
      </c>
      <c r="H114" s="498">
        <v>0</v>
      </c>
      <c r="I114" s="498">
        <v>0</v>
      </c>
    </row>
    <row r="115" spans="4:12" ht="18" customHeight="1">
      <c r="E115" s="498" t="s">
        <v>1612</v>
      </c>
      <c r="F115" s="498">
        <v>0</v>
      </c>
      <c r="H115" s="498">
        <v>0</v>
      </c>
      <c r="I115" s="498">
        <v>0</v>
      </c>
    </row>
    <row r="116" spans="4:12" s="1941" customFormat="1" ht="18" customHeight="1">
      <c r="E116" s="1941" t="s">
        <v>2827</v>
      </c>
      <c r="F116" s="1941">
        <f>-L112</f>
        <v>117791345399</v>
      </c>
    </row>
    <row r="117" spans="4:12" ht="18" customHeight="1">
      <c r="D117" s="509"/>
      <c r="E117" s="509" t="s">
        <v>1689</v>
      </c>
      <c r="F117" s="509">
        <v>0</v>
      </c>
      <c r="G117" s="509"/>
      <c r="H117" s="509">
        <v>0</v>
      </c>
      <c r="I117" s="509">
        <v>0</v>
      </c>
    </row>
    <row r="118" spans="4:12" ht="18" customHeight="1">
      <c r="D118" s="509"/>
      <c r="E118" s="509" t="s">
        <v>2271</v>
      </c>
      <c r="F118" s="509"/>
      <c r="G118" s="509">
        <f>G77</f>
        <v>0</v>
      </c>
      <c r="H118" s="509"/>
      <c r="I118" s="509"/>
    </row>
    <row r="119" spans="4:12" s="494" customFormat="1" ht="18" customHeight="1" thickBot="1">
      <c r="F119" s="494">
        <f>SUM(F112:F118)</f>
        <v>165757883928</v>
      </c>
      <c r="G119" s="494">
        <f>SUM(G112:G118)</f>
        <v>-15001515</v>
      </c>
      <c r="H119" s="494">
        <f>SUM(H112:H118)</f>
        <v>234277127</v>
      </c>
      <c r="I119" s="494">
        <f>SUM(I112:I118)</f>
        <v>1242221533</v>
      </c>
    </row>
    <row r="120" spans="4:12" ht="18" customHeight="1" thickTop="1">
      <c r="D120" s="523"/>
      <c r="E120" s="523"/>
      <c r="F120" s="523" t="b">
        <f>F119=F75</f>
        <v>1</v>
      </c>
      <c r="G120" s="523" t="b">
        <f>G119=G75</f>
        <v>1</v>
      </c>
      <c r="H120" s="523" t="b">
        <f>H119=H75</f>
        <v>1</v>
      </c>
      <c r="I120" s="523" t="b">
        <f>I119=I75</f>
        <v>1</v>
      </c>
    </row>
    <row r="121" spans="4:12" ht="18" customHeight="1">
      <c r="F121" s="498">
        <f>F119-F75</f>
        <v>0</v>
      </c>
    </row>
  </sheetData>
  <phoneticPr fontId="21" type="noConversion"/>
  <pageMargins left="0.7" right="0.7" top="0.75" bottom="0.75" header="0.3" footer="0.3"/>
  <pageSetup orientation="portrait" r:id="rId1"/>
  <ignoredErrors>
    <ignoredError sqref="F62:J73 F77:J81 G76:J76 F75:J75 F74:G74 I74:J7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Q62"/>
  <sheetViews>
    <sheetView showGridLines="0" zoomScale="80" zoomScaleNormal="80" workbookViewId="0">
      <selection activeCell="H64" sqref="H64"/>
    </sheetView>
  </sheetViews>
  <sheetFormatPr defaultRowHeight="13.5"/>
  <cols>
    <col min="1" max="1" width="2.125" style="1709" customWidth="1"/>
    <col min="2" max="2" width="13.875" style="1709" bestFit="1" customWidth="1"/>
    <col min="3" max="8" width="12.625" style="1709" customWidth="1"/>
    <col min="9" max="9" width="10.625" style="1710" customWidth="1"/>
    <col min="10" max="10" width="9" style="1709" customWidth="1"/>
    <col min="11" max="11" width="9" style="1709"/>
    <col min="12" max="12" width="10.625" style="1709" bestFit="1" customWidth="1"/>
    <col min="13" max="13" width="14.625" style="1709" bestFit="1" customWidth="1"/>
    <col min="14" max="16" width="14.125" style="1709" bestFit="1" customWidth="1"/>
    <col min="17" max="16384" width="9" style="1709"/>
  </cols>
  <sheetData>
    <row r="2" spans="2:11">
      <c r="B2" s="1708" t="s">
        <v>2275</v>
      </c>
    </row>
    <row r="3" spans="2:11">
      <c r="B3" s="1711"/>
      <c r="H3" s="1712" t="s">
        <v>2072</v>
      </c>
    </row>
    <row r="4" spans="2:11" ht="15" customHeight="1" thickBot="1">
      <c r="B4" s="2063" t="s">
        <v>2048</v>
      </c>
      <c r="C4" s="1713" t="s">
        <v>2039</v>
      </c>
      <c r="D4" s="1714"/>
      <c r="E4" s="1714"/>
      <c r="F4" s="1715" t="s">
        <v>2043</v>
      </c>
      <c r="G4" s="1716"/>
      <c r="H4" s="1716"/>
    </row>
    <row r="5" spans="2:11" ht="15" customHeight="1" thickTop="1" thickBot="1">
      <c r="B5" s="2064"/>
      <c r="C5" s="1717" t="s">
        <v>1819</v>
      </c>
      <c r="D5" s="1718" t="s">
        <v>1814</v>
      </c>
      <c r="E5" s="1718" t="s">
        <v>1815</v>
      </c>
      <c r="F5" s="1719" t="s">
        <v>2040</v>
      </c>
      <c r="G5" s="1720" t="s">
        <v>2041</v>
      </c>
      <c r="H5" s="1720" t="s">
        <v>2042</v>
      </c>
    </row>
    <row r="6" spans="2:11" ht="14.45" customHeight="1" thickTop="1">
      <c r="B6" s="1721" t="s">
        <v>2045</v>
      </c>
      <c r="C6" s="1722">
        <f>T_BS!H$6</f>
        <v>273104612213</v>
      </c>
      <c r="D6" s="1723">
        <f>T_BS!H147</f>
        <v>145535226980</v>
      </c>
      <c r="E6" s="1723">
        <f>T_BS!H$228</f>
        <v>127569385233</v>
      </c>
      <c r="F6" s="1724">
        <f>T_IS!H6</f>
        <v>210466833497</v>
      </c>
      <c r="G6" s="1725">
        <f>T_IS!H$75</f>
        <v>-2922098116</v>
      </c>
      <c r="H6" s="1726">
        <f>T_IS!H$127</f>
        <v>45613459643</v>
      </c>
      <c r="I6" s="1727" t="b">
        <f>C6=D6+E6</f>
        <v>1</v>
      </c>
      <c r="J6" s="1728"/>
      <c r="K6" s="1728"/>
    </row>
    <row r="7" spans="2:11" ht="14.45" customHeight="1">
      <c r="B7" s="1729" t="s">
        <v>2044</v>
      </c>
      <c r="C7" s="1730">
        <f>T_BS!J$6</f>
        <v>343743424</v>
      </c>
      <c r="D7" s="1731">
        <f>T_BS!J$147</f>
        <v>783987396</v>
      </c>
      <c r="E7" s="1732">
        <f>T_BS!J$228</f>
        <v>-440243972</v>
      </c>
      <c r="F7" s="1733">
        <f>T_IS!J6</f>
        <v>490228984</v>
      </c>
      <c r="G7" s="1732">
        <f>T_IS!J$75</f>
        <v>51862251</v>
      </c>
      <c r="H7" s="1732">
        <f>T_IS!J$127</f>
        <v>234277127</v>
      </c>
      <c r="I7" s="1727" t="b">
        <f>C7=D7+E7</f>
        <v>1</v>
      </c>
    </row>
    <row r="8" spans="2:11" ht="14.45" customHeight="1">
      <c r="B8" s="1734" t="s">
        <v>1990</v>
      </c>
      <c r="C8" s="1735">
        <f>T_BS!K$6</f>
        <v>6647089738</v>
      </c>
      <c r="D8" s="1736">
        <f>T_BS!K$147</f>
        <v>2870434552</v>
      </c>
      <c r="E8" s="1736">
        <f>T_BS!K$228</f>
        <v>3776655186</v>
      </c>
      <c r="F8" s="1737">
        <f>T_IS!K6</f>
        <v>12971535429</v>
      </c>
      <c r="G8" s="1738">
        <f>T_IS!K$75</f>
        <v>1261358489</v>
      </c>
      <c r="H8" s="1738">
        <f>T_IS!K$127</f>
        <v>1242221533</v>
      </c>
      <c r="I8" s="1727" t="b">
        <f>C8=D8+E8</f>
        <v>1</v>
      </c>
    </row>
    <row r="9" spans="2:11" ht="14.45" customHeight="1">
      <c r="B9" s="1739" t="s">
        <v>2082</v>
      </c>
      <c r="C9" s="1740">
        <f>T_BS!I6</f>
        <v>1284436436</v>
      </c>
      <c r="D9" s="1741">
        <f>T_BS!I147</f>
        <v>300321442</v>
      </c>
      <c r="E9" s="1742">
        <f>T_BS!I228</f>
        <v>984114994</v>
      </c>
      <c r="F9" s="1743">
        <f>T_IS!I6</f>
        <v>1828444532</v>
      </c>
      <c r="G9" s="1742">
        <f>T_IS!I75</f>
        <v>58578203</v>
      </c>
      <c r="H9" s="1742">
        <f>T_IS!I127</f>
        <v>-15001515</v>
      </c>
      <c r="I9" s="1727" t="b">
        <f>C9=D9+E9</f>
        <v>1</v>
      </c>
    </row>
    <row r="10" spans="2:11" ht="14.45" customHeight="1">
      <c r="B10" s="1744" t="s">
        <v>2047</v>
      </c>
      <c r="C10" s="1745">
        <f>T_BS!V6</f>
        <v>-7799486041</v>
      </c>
      <c r="D10" s="1746">
        <f>T_BS!V147</f>
        <v>-1991731361</v>
      </c>
      <c r="E10" s="1746">
        <f>T_BS!V228</f>
        <v>-5807754680</v>
      </c>
      <c r="F10" s="1747">
        <f>T_IS!V6</f>
        <v>-3204549171</v>
      </c>
      <c r="G10" s="1746">
        <f>T_IS!V75</f>
        <v>-479248521</v>
      </c>
      <c r="H10" s="1746">
        <f>T_IS!V127</f>
        <v>-1377965723</v>
      </c>
      <c r="I10" s="1727" t="b">
        <f>C10=D10+E10</f>
        <v>1</v>
      </c>
    </row>
    <row r="11" spans="2:11" ht="14.45" customHeight="1" thickBot="1">
      <c r="B11" s="1748" t="s">
        <v>2046</v>
      </c>
      <c r="C11" s="1749">
        <f t="shared" ref="C11:H11" si="0">SUM(C6:C10)</f>
        <v>273580395770</v>
      </c>
      <c r="D11" s="1750">
        <f t="shared" si="0"/>
        <v>147498239009</v>
      </c>
      <c r="E11" s="1750">
        <f t="shared" si="0"/>
        <v>126082156761</v>
      </c>
      <c r="F11" s="1751">
        <f t="shared" si="0"/>
        <v>222552493271</v>
      </c>
      <c r="G11" s="1752">
        <f t="shared" si="0"/>
        <v>-2029547694</v>
      </c>
      <c r="H11" s="1753">
        <f t="shared" si="0"/>
        <v>45696991065</v>
      </c>
      <c r="I11" s="1727"/>
    </row>
    <row r="12" spans="2:11" ht="14.25" hidden="1" thickTop="1">
      <c r="B12" s="1754"/>
      <c r="C12" s="1754" t="b">
        <f>C11=T_BS!X6</f>
        <v>1</v>
      </c>
      <c r="D12" s="1754" t="b">
        <f>D11=T_BS!X147</f>
        <v>1</v>
      </c>
      <c r="E12" s="1754" t="b">
        <f>E11=T_BS!X228</f>
        <v>1</v>
      </c>
      <c r="F12" s="1754" t="b">
        <f>F11=T_IS!X6</f>
        <v>1</v>
      </c>
      <c r="G12" s="1754"/>
      <c r="H12" s="1754" t="b">
        <f>G11=T_IS!X75</f>
        <v>1</v>
      </c>
    </row>
    <row r="13" spans="2:11" ht="14.25" hidden="1" thickTop="1">
      <c r="B13" s="1755"/>
      <c r="C13" s="1755" t="b">
        <f>C11=T_BS!X6</f>
        <v>1</v>
      </c>
      <c r="D13" s="1755" t="b">
        <f>D11=T_BS!X147</f>
        <v>1</v>
      </c>
      <c r="E13" s="1755" t="b">
        <f>E11=T_BS!X228</f>
        <v>1</v>
      </c>
      <c r="F13" s="1755" t="b">
        <f>F11=T_IS!X6</f>
        <v>1</v>
      </c>
      <c r="G13" s="1755"/>
      <c r="H13" s="1755" t="b">
        <f>G11=T_IS!X75</f>
        <v>1</v>
      </c>
    </row>
    <row r="14" spans="2:11" ht="14.25" hidden="1" thickTop="1">
      <c r="E14" s="1756"/>
    </row>
    <row r="15" spans="2:11" ht="14.25" hidden="1" thickTop="1">
      <c r="E15" s="1756"/>
    </row>
    <row r="16" spans="2:11" ht="14.25" hidden="1" thickTop="1"/>
    <row r="17" ht="14.25" hidden="1" thickTop="1"/>
    <row r="18" ht="14.25" hidden="1" thickTop="1"/>
    <row r="19" ht="14.25" hidden="1" thickTop="1"/>
    <row r="20" ht="14.25" hidden="1" thickTop="1"/>
    <row r="21" ht="14.25" hidden="1" thickTop="1"/>
    <row r="22" ht="14.25" hidden="1" thickTop="1"/>
    <row r="23" ht="14.25" hidden="1" thickTop="1"/>
    <row r="24" ht="14.25" hidden="1" thickTop="1"/>
    <row r="25" ht="14.25" hidden="1" thickTop="1"/>
    <row r="26" ht="14.25" hidden="1" thickTop="1"/>
    <row r="27" ht="14.25" hidden="1" thickTop="1"/>
    <row r="28" ht="14.25" hidden="1" thickTop="1"/>
    <row r="29" ht="14.25" hidden="1" thickTop="1"/>
    <row r="30" ht="14.25" hidden="1" thickTop="1"/>
    <row r="31" ht="14.25" hidden="1" thickTop="1"/>
    <row r="32" ht="14.25" hidden="1" thickTop="1"/>
    <row r="33" spans="2:17" ht="14.25" hidden="1" thickTop="1"/>
    <row r="34" spans="2:17" ht="17.25" customHeight="1" thickTop="1"/>
    <row r="35" spans="2:17">
      <c r="B35" s="1711" t="s">
        <v>2274</v>
      </c>
    </row>
    <row r="36" spans="2:17" s="1757" customFormat="1">
      <c r="B36" s="1711"/>
      <c r="E36" s="1758" t="s">
        <v>2072</v>
      </c>
      <c r="F36" s="1759"/>
      <c r="G36" s="1759"/>
      <c r="H36" s="1758"/>
      <c r="I36" s="1760"/>
      <c r="L36" s="1757" t="s">
        <v>0</v>
      </c>
      <c r="M36" s="1757">
        <f>SUMIF(T198_TB!M:M,재무상태요약!L36,T198_TB!L:L)</f>
        <v>273580395770</v>
      </c>
    </row>
    <row r="37" spans="2:17" s="1757" customFormat="1" ht="15" customHeight="1" thickBot="1">
      <c r="B37" s="1761" t="s">
        <v>1786</v>
      </c>
      <c r="C37" s="1762" t="s">
        <v>1986</v>
      </c>
      <c r="D37" s="1762" t="s">
        <v>2059</v>
      </c>
      <c r="E37" s="1763" t="s">
        <v>2060</v>
      </c>
      <c r="F37" s="1764"/>
      <c r="G37" s="1764"/>
      <c r="H37" s="1765"/>
      <c r="I37" s="1760"/>
      <c r="L37" s="1757" t="s">
        <v>8</v>
      </c>
      <c r="M37" s="1757">
        <f>SUMIF(T198_TB!M:M,재무상태요약!L37,T198_TB!L:L)</f>
        <v>-147498239009</v>
      </c>
    </row>
    <row r="38" spans="2:17" s="1757" customFormat="1" ht="14.45" customHeight="1" thickTop="1">
      <c r="B38" s="1766" t="s">
        <v>1819</v>
      </c>
      <c r="C38" s="1767">
        <f>T_BS!X6</f>
        <v>273580395770</v>
      </c>
      <c r="D38" s="1768">
        <f>+M36</f>
        <v>273580395770</v>
      </c>
      <c r="E38" s="1769">
        <f t="shared" ref="E38:E43" si="1">C38-D38</f>
        <v>0</v>
      </c>
      <c r="F38" s="1770"/>
      <c r="G38" s="1770"/>
      <c r="H38" s="1765"/>
      <c r="I38" s="1760"/>
      <c r="L38" s="1757" t="s">
        <v>546</v>
      </c>
      <c r="M38" s="1757">
        <f>SUMIF(T198_TB!M:M,재무상태요약!L38,T198_TB!L:L)</f>
        <v>-80385165696</v>
      </c>
    </row>
    <row r="39" spans="2:17" s="1757" customFormat="1" ht="14.45" customHeight="1">
      <c r="B39" s="1771" t="s">
        <v>1814</v>
      </c>
      <c r="C39" s="1772">
        <f>T_BS!X147</f>
        <v>147498239009</v>
      </c>
      <c r="D39" s="1773">
        <f>-M37</f>
        <v>147498239009</v>
      </c>
      <c r="E39" s="1774">
        <f t="shared" si="1"/>
        <v>0</v>
      </c>
      <c r="F39" s="1770"/>
      <c r="G39" s="1770"/>
      <c r="H39" s="1765"/>
      <c r="I39" s="1760"/>
      <c r="L39" s="1757" t="s">
        <v>690</v>
      </c>
      <c r="M39" s="1757">
        <f>SUMIF(T198_TB!M:M,재무상태요약!L39,T198_TB!L:L)</f>
        <v>-222552493271</v>
      </c>
    </row>
    <row r="40" spans="2:17" s="1757" customFormat="1" ht="14.45" customHeight="1">
      <c r="B40" s="1775" t="s">
        <v>1815</v>
      </c>
      <c r="C40" s="1776">
        <f>T_BS!X228</f>
        <v>126082156761</v>
      </c>
      <c r="D40" s="1777">
        <f>-M38+D43</f>
        <v>126082156761</v>
      </c>
      <c r="E40" s="1778">
        <f t="shared" si="1"/>
        <v>0</v>
      </c>
      <c r="F40" s="1770"/>
      <c r="G40" s="1770"/>
      <c r="H40" s="1765"/>
      <c r="I40" s="1760"/>
      <c r="L40" s="1757" t="s">
        <v>2061</v>
      </c>
      <c r="M40" s="1757">
        <f>SUMIF(T198_TB!M:M,재무상태요약!L40,T198_TB!L:L)</f>
        <v>172448604423</v>
      </c>
    </row>
    <row r="41" spans="2:17" s="1757" customFormat="1" ht="14.45" customHeight="1">
      <c r="B41" s="1779" t="s">
        <v>2062</v>
      </c>
      <c r="C41" s="1780">
        <f>T_IS!X6</f>
        <v>222552493271</v>
      </c>
      <c r="D41" s="1781">
        <f>-M39</f>
        <v>222552493271</v>
      </c>
      <c r="E41" s="1782">
        <f t="shared" si="1"/>
        <v>0</v>
      </c>
      <c r="F41" s="1770"/>
      <c r="G41" s="1770"/>
      <c r="H41" s="1765"/>
      <c r="I41" s="1760"/>
      <c r="L41" s="1757" t="s">
        <v>2063</v>
      </c>
      <c r="M41" s="1757">
        <f>SUMIF(T198_TB!M:M,재무상태요약!L41,T198_TB!L:L)</f>
        <v>52133436542</v>
      </c>
    </row>
    <row r="42" spans="2:17" s="1757" customFormat="1" ht="14.45" customHeight="1">
      <c r="B42" s="1771" t="s">
        <v>2041</v>
      </c>
      <c r="C42" s="1772">
        <f>T_IS!X75</f>
        <v>-2029547694</v>
      </c>
      <c r="D42" s="1773">
        <f>-M39-M40-M41</f>
        <v>-2029547694</v>
      </c>
      <c r="E42" s="1783">
        <f t="shared" si="1"/>
        <v>0</v>
      </c>
      <c r="F42" s="1784"/>
      <c r="G42" s="1784"/>
      <c r="H42" s="1765"/>
      <c r="I42" s="1760"/>
      <c r="L42" s="1757" t="s">
        <v>2064</v>
      </c>
      <c r="M42" s="1757">
        <f>SUMIF(T198_TB!M:M,재무상태요약!L42,T198_TB!L:L)</f>
        <v>-49986285752</v>
      </c>
    </row>
    <row r="43" spans="2:17" s="1757" customFormat="1" ht="14.45" customHeight="1" thickBot="1">
      <c r="B43" s="1785" t="s">
        <v>2042</v>
      </c>
      <c r="C43" s="1786">
        <f>T_IS!X127</f>
        <v>45696991065</v>
      </c>
      <c r="D43" s="1786">
        <f>+D42-M42-M43</f>
        <v>45696991065</v>
      </c>
      <c r="E43" s="1787">
        <f t="shared" si="1"/>
        <v>0</v>
      </c>
      <c r="F43" s="1788"/>
      <c r="G43" s="1784"/>
      <c r="H43" s="1765"/>
      <c r="I43" s="1760"/>
      <c r="L43" s="1757" t="s">
        <v>2065</v>
      </c>
      <c r="M43" s="1757">
        <f>SUMIF(T198_TB!M:M,재무상태요약!L43,T198_TB!L:L)</f>
        <v>2259746993</v>
      </c>
    </row>
    <row r="44" spans="2:17" s="1757" customFormat="1" ht="17.25" hidden="1" thickTop="1">
      <c r="C44" s="1757" t="b">
        <f>C38=C39+C40</f>
        <v>1</v>
      </c>
      <c r="D44" s="1757" t="b">
        <f>D38=D39+D40</f>
        <v>1</v>
      </c>
      <c r="F44" s="1759"/>
      <c r="G44" s="1759"/>
      <c r="I44" s="1760"/>
      <c r="L44" s="1789"/>
    </row>
    <row r="45" spans="2:17" s="1757" customFormat="1" ht="6.75" customHeight="1" thickTop="1">
      <c r="I45" s="1760"/>
      <c r="L45" s="1789"/>
    </row>
    <row r="46" spans="2:17" s="1757" customFormat="1" ht="16.5">
      <c r="B46" s="1711" t="s">
        <v>2073</v>
      </c>
      <c r="I46" s="1760"/>
      <c r="M46" s="1789"/>
    </row>
    <row r="47" spans="2:17" s="1757" customFormat="1" ht="16.5">
      <c r="B47" s="1711"/>
      <c r="E47" s="1758" t="s">
        <v>2072</v>
      </c>
      <c r="I47" s="1790"/>
      <c r="M47" s="1760" t="s">
        <v>2066</v>
      </c>
      <c r="O47" s="1760" t="s">
        <v>2067</v>
      </c>
    </row>
    <row r="48" spans="2:17" s="1757" customFormat="1" ht="15" customHeight="1" thickBot="1">
      <c r="B48" s="1761" t="s">
        <v>1786</v>
      </c>
      <c r="C48" s="1762" t="s">
        <v>1987</v>
      </c>
      <c r="D48" s="1762" t="s">
        <v>1986</v>
      </c>
      <c r="E48" s="1763" t="s">
        <v>1799</v>
      </c>
      <c r="G48" s="1760"/>
      <c r="I48" s="1790"/>
      <c r="L48" s="1791" t="s">
        <v>1786</v>
      </c>
      <c r="M48" s="1792" t="s">
        <v>1987</v>
      </c>
      <c r="N48" s="1792" t="s">
        <v>1986</v>
      </c>
      <c r="O48" s="1792" t="s">
        <v>1987</v>
      </c>
      <c r="P48" s="1792" t="s">
        <v>1986</v>
      </c>
      <c r="Q48" s="1793" t="s">
        <v>1799</v>
      </c>
    </row>
    <row r="49" spans="2:17" s="1757" customFormat="1" ht="14.45" customHeight="1" thickTop="1">
      <c r="B49" s="1766" t="s">
        <v>2062</v>
      </c>
      <c r="C49" s="1767">
        <f>M49-O49</f>
        <v>22945663038</v>
      </c>
      <c r="D49" s="1767">
        <f t="shared" ref="D49:D55" si="2">N49-P49</f>
        <v>22517761095</v>
      </c>
      <c r="E49" s="1794"/>
      <c r="I49" s="1790"/>
      <c r="L49" s="1795" t="s">
        <v>2062</v>
      </c>
      <c r="M49" s="1795">
        <f>T_IS!H6</f>
        <v>210466833497</v>
      </c>
      <c r="N49" s="1795">
        <f>T_IS!X6</f>
        <v>222552493271</v>
      </c>
      <c r="O49" s="1796">
        <v>187521170459</v>
      </c>
      <c r="P49" s="1796">
        <v>200034732176</v>
      </c>
      <c r="Q49" s="1797"/>
    </row>
    <row r="50" spans="2:17" s="1757" customFormat="1" ht="14.45" customHeight="1">
      <c r="B50" s="1771" t="s">
        <v>2068</v>
      </c>
      <c r="C50" s="1772">
        <f t="shared" ref="C50:C55" si="3">M50-O50</f>
        <v>17352927364</v>
      </c>
      <c r="D50" s="1772">
        <f t="shared" si="2"/>
        <v>17065600941</v>
      </c>
      <c r="E50" s="1798"/>
      <c r="I50" s="1790"/>
      <c r="L50" s="1795" t="s">
        <v>2068</v>
      </c>
      <c r="M50" s="1795">
        <f>T_IS!H26</f>
        <v>161853325844</v>
      </c>
      <c r="N50" s="1795">
        <f>T_IS!X26</f>
        <v>172448604423</v>
      </c>
      <c r="O50" s="1796">
        <v>144500398480</v>
      </c>
      <c r="P50" s="1796">
        <v>155383003482</v>
      </c>
      <c r="Q50" s="1797"/>
    </row>
    <row r="51" spans="2:17" s="1757" customFormat="1" ht="14.45" customHeight="1">
      <c r="B51" s="1771" t="s">
        <v>2069</v>
      </c>
      <c r="C51" s="1772">
        <f t="shared" si="3"/>
        <v>5592735674</v>
      </c>
      <c r="D51" s="1772">
        <f t="shared" si="2"/>
        <v>5452160154</v>
      </c>
      <c r="E51" s="1798"/>
      <c r="I51" s="1790"/>
      <c r="L51" s="1795" t="s">
        <v>2069</v>
      </c>
      <c r="M51" s="1799">
        <f>M49-M50</f>
        <v>48613507653</v>
      </c>
      <c r="N51" s="1799">
        <f>N49-N50</f>
        <v>50103888848</v>
      </c>
      <c r="O51" s="1796">
        <v>43020771979</v>
      </c>
      <c r="P51" s="1796">
        <v>44651728694</v>
      </c>
      <c r="Q51" s="1797"/>
    </row>
    <row r="52" spans="2:17" s="1757" customFormat="1" ht="14.45" customHeight="1">
      <c r="B52" s="1771" t="s">
        <v>2070</v>
      </c>
      <c r="C52" s="1772">
        <f t="shared" si="3"/>
        <v>5558233013</v>
      </c>
      <c r="D52" s="1772">
        <f t="shared" si="2"/>
        <v>5637298916</v>
      </c>
      <c r="E52" s="1798"/>
      <c r="I52" s="1790"/>
      <c r="L52" s="1795" t="s">
        <v>2070</v>
      </c>
      <c r="M52" s="1795">
        <f>T_IS!H37</f>
        <v>51535605769</v>
      </c>
      <c r="N52" s="1795">
        <f>T_IS!X37</f>
        <v>52133436542</v>
      </c>
      <c r="O52" s="1796">
        <v>45977372756</v>
      </c>
      <c r="P52" s="1796">
        <v>46496137626</v>
      </c>
      <c r="Q52" s="1797"/>
    </row>
    <row r="53" spans="2:17" s="1757" customFormat="1" ht="14.45" customHeight="1">
      <c r="B53" s="1771" t="s">
        <v>2041</v>
      </c>
      <c r="C53" s="1772">
        <f t="shared" si="3"/>
        <v>34502661</v>
      </c>
      <c r="D53" s="1772">
        <f t="shared" si="2"/>
        <v>-185138762</v>
      </c>
      <c r="E53" s="1800"/>
      <c r="I53" s="1790"/>
      <c r="L53" s="1795" t="s">
        <v>2041</v>
      </c>
      <c r="M53" s="1799">
        <f>M51-M52</f>
        <v>-2922098116</v>
      </c>
      <c r="N53" s="1799">
        <f>N51-N52</f>
        <v>-2029547694</v>
      </c>
      <c r="O53" s="1796">
        <v>-2956600777</v>
      </c>
      <c r="P53" s="1796">
        <v>-1844408932</v>
      </c>
      <c r="Q53" s="1801"/>
    </row>
    <row r="54" spans="2:17" s="1757" customFormat="1" ht="14.45" customHeight="1">
      <c r="B54" s="1771" t="s">
        <v>2071</v>
      </c>
      <c r="C54" s="1772">
        <f t="shared" si="3"/>
        <v>131584549</v>
      </c>
      <c r="D54" s="1772">
        <f t="shared" si="2"/>
        <v>153467420</v>
      </c>
      <c r="E54" s="1800"/>
      <c r="I54" s="1790"/>
      <c r="L54" s="1795" t="s">
        <v>2071</v>
      </c>
      <c r="M54" s="1799">
        <f>M55-M53</f>
        <v>48535557759</v>
      </c>
      <c r="N54" s="1799">
        <f>N55-N53</f>
        <v>47726538759</v>
      </c>
      <c r="O54" s="1796">
        <v>48403973210</v>
      </c>
      <c r="P54" s="1796">
        <v>47573071339</v>
      </c>
      <c r="Q54" s="1801"/>
    </row>
    <row r="55" spans="2:17" s="1757" customFormat="1" ht="14.45" customHeight="1" thickBot="1">
      <c r="B55" s="1785" t="s">
        <v>2042</v>
      </c>
      <c r="C55" s="1802">
        <f t="shared" si="3"/>
        <v>166087210</v>
      </c>
      <c r="D55" s="1802">
        <f t="shared" si="2"/>
        <v>-31671342</v>
      </c>
      <c r="E55" s="1803"/>
      <c r="I55" s="1790"/>
      <c r="L55" s="1795" t="s">
        <v>2042</v>
      </c>
      <c r="M55" s="1795">
        <f>T_IS!H127</f>
        <v>45613459643</v>
      </c>
      <c r="N55" s="1795">
        <f>T_IS!X127</f>
        <v>45696991065</v>
      </c>
      <c r="O55" s="1796">
        <v>45447372433</v>
      </c>
      <c r="P55" s="1796">
        <v>45728662407</v>
      </c>
      <c r="Q55" s="1797"/>
    </row>
    <row r="56" spans="2:17" ht="14.25" thickTop="1"/>
    <row r="57" spans="2:17" ht="6.75" customHeight="1"/>
    <row r="58" spans="2:17">
      <c r="B58" s="1711" t="s">
        <v>2074</v>
      </c>
    </row>
    <row r="59" spans="2:17">
      <c r="B59" s="1757" t="s">
        <v>2075</v>
      </c>
    </row>
    <row r="60" spans="2:17">
      <c r="B60" s="1757" t="s">
        <v>2076</v>
      </c>
    </row>
    <row r="61" spans="2:17">
      <c r="B61" s="1757" t="s">
        <v>2077</v>
      </c>
    </row>
    <row r="62" spans="2:17">
      <c r="B62" s="1757" t="s">
        <v>2078</v>
      </c>
    </row>
  </sheetData>
  <mergeCells count="1">
    <mergeCell ref="B4:B5"/>
  </mergeCells>
  <phoneticPr fontId="21" type="noConversion"/>
  <pageMargins left="0.7" right="0.7" top="0.75" bottom="0.75" header="0.3" footer="0.3"/>
  <pageSetup paperSize="9" orientation="portrait" r:id="rId1"/>
  <ignoredErrors>
    <ignoredError sqref="M57:Q57 D40 M52:N55 Q52:Q55 M56:N56 Q56 M58:N58 Q58:Q62 M60:N62 N59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79998168889431442"/>
  </sheetPr>
  <dimension ref="A1:AN306"/>
  <sheetViews>
    <sheetView showGridLines="0" zoomScale="80" zoomScaleNormal="80" workbookViewId="0">
      <pane xSplit="7" ySplit="5" topLeftCell="H75" activePane="bottomRight" state="frozen"/>
      <selection activeCell="I248" sqref="I248"/>
      <selection pane="topRight" activeCell="I248" sqref="I248"/>
      <selection pane="bottomLeft" activeCell="I248" sqref="I248"/>
      <selection pane="bottomRight" activeCell="F87" sqref="F87"/>
    </sheetView>
  </sheetViews>
  <sheetFormatPr defaultColWidth="8.75" defaultRowHeight="18" customHeight="1" outlineLevelCol="1"/>
  <cols>
    <col min="1" max="1" width="2.75" style="770" customWidth="1"/>
    <col min="2" max="3" width="2.75" style="1364" customWidth="1"/>
    <col min="4" max="4" width="20.125" style="836" customWidth="1"/>
    <col min="5" max="5" width="27.75" style="770" bestFit="1" customWidth="1"/>
    <col min="6" max="6" width="14.375" style="836" customWidth="1"/>
    <col min="7" max="7" width="36.625" style="770" customWidth="1"/>
    <col min="8" max="11" width="17.625" style="498" customWidth="1" outlineLevel="1"/>
    <col min="12" max="12" width="17.625" style="498" customWidth="1"/>
    <col min="13" max="13" width="2.25" style="1659" customWidth="1"/>
    <col min="14" max="21" width="18.25" style="498" hidden="1" customWidth="1" outlineLevel="1"/>
    <col min="22" max="22" width="18.25" style="498" customWidth="1" collapsed="1"/>
    <col min="23" max="23" width="2.125" style="1659" customWidth="1"/>
    <col min="24" max="24" width="18.25" style="498" customWidth="1"/>
    <col min="25" max="25" width="1.875" style="1659" customWidth="1"/>
    <col min="26" max="26" width="16.625" style="820" customWidth="1"/>
    <col min="27" max="27" width="1.875" style="1659" customWidth="1"/>
    <col min="28" max="37" width="16.625" style="820" customWidth="1"/>
    <col min="38" max="38" width="16.625" style="498" customWidth="1"/>
    <col min="39" max="39" width="13.125" style="770" bestFit="1" customWidth="1"/>
    <col min="40" max="40" width="15" style="770" bestFit="1" customWidth="1"/>
    <col min="41" max="16384" width="8.75" style="770"/>
  </cols>
  <sheetData>
    <row r="1" spans="1:40" ht="17.100000000000001" customHeight="1" thickBot="1">
      <c r="F1" s="770"/>
      <c r="H1" s="575"/>
      <c r="I1" s="575"/>
      <c r="J1" s="575"/>
      <c r="K1" s="575"/>
      <c r="L1" s="575"/>
      <c r="M1" s="575"/>
      <c r="N1" s="575"/>
      <c r="O1" s="575"/>
      <c r="P1" s="575"/>
      <c r="Q1" s="575"/>
      <c r="R1" s="575"/>
      <c r="S1" s="575"/>
      <c r="T1" s="575"/>
      <c r="U1" s="575"/>
      <c r="V1" s="575"/>
      <c r="W1" s="575"/>
      <c r="Z1" s="1694"/>
      <c r="AB1" s="1694"/>
      <c r="AC1" s="1694"/>
      <c r="AD1" s="1694"/>
      <c r="AE1" s="1694"/>
      <c r="AF1" s="1694"/>
      <c r="AG1" s="1694"/>
      <c r="AH1" s="1694"/>
    </row>
    <row r="2" spans="1:40" s="1417" customFormat="1" ht="17.100000000000001" customHeight="1">
      <c r="B2" s="1367"/>
      <c r="C2" s="1367"/>
      <c r="D2" s="1609"/>
      <c r="E2" s="770"/>
      <c r="F2" s="770"/>
      <c r="G2" s="540"/>
      <c r="H2" s="1605"/>
      <c r="I2" s="1605"/>
      <c r="J2" s="1605"/>
      <c r="K2" s="1605"/>
      <c r="L2" s="1660"/>
      <c r="M2" s="1661"/>
      <c r="N2" s="1660"/>
      <c r="O2" s="1660"/>
      <c r="P2" s="1660"/>
      <c r="Q2" s="1660"/>
      <c r="R2" s="1660"/>
      <c r="S2" s="1660"/>
      <c r="T2" s="1662"/>
      <c r="U2" s="1660"/>
      <c r="V2" s="1660"/>
      <c r="W2" s="1661"/>
      <c r="X2" s="1610" t="s">
        <v>498</v>
      </c>
      <c r="Y2" s="1661"/>
      <c r="Z2" s="1663"/>
      <c r="AA2" s="1661"/>
      <c r="AB2" s="1663"/>
      <c r="AC2" s="1663"/>
      <c r="AD2" s="1663"/>
      <c r="AE2" s="1663"/>
      <c r="AF2" s="1663"/>
      <c r="AG2" s="1663"/>
      <c r="AH2" s="1663"/>
      <c r="AI2" s="1663"/>
      <c r="AJ2" s="1663"/>
      <c r="AK2" s="1663"/>
      <c r="AL2" s="540"/>
    </row>
    <row r="3" spans="1:40" s="1609" customFormat="1" ht="17.100000000000001" customHeight="1">
      <c r="B3" s="1579"/>
      <c r="C3" s="1579"/>
      <c r="E3" s="770"/>
      <c r="F3" s="770"/>
      <c r="G3" s="1804"/>
      <c r="H3" s="1605" t="s">
        <v>2890</v>
      </c>
      <c r="I3" s="1605" t="s">
        <v>2910</v>
      </c>
      <c r="J3" s="1605" t="s">
        <v>2891</v>
      </c>
      <c r="K3" s="1605" t="s">
        <v>2891</v>
      </c>
      <c r="L3" s="755"/>
      <c r="M3" s="1664"/>
      <c r="N3" s="755"/>
      <c r="O3" s="755"/>
      <c r="P3" s="755"/>
      <c r="Q3" s="755"/>
      <c r="R3" s="1665"/>
      <c r="S3" s="755"/>
      <c r="T3" s="755"/>
      <c r="U3" s="755"/>
      <c r="V3" s="755"/>
      <c r="W3" s="1664"/>
      <c r="X3" s="495" t="s">
        <v>2898</v>
      </c>
      <c r="Y3" s="1664"/>
      <c r="Z3" s="1666"/>
      <c r="AA3" s="1664"/>
      <c r="AB3" s="1666"/>
      <c r="AC3" s="1666"/>
      <c r="AD3" s="1666"/>
      <c r="AE3" s="1666"/>
      <c r="AF3" s="1666"/>
      <c r="AG3" s="1666"/>
      <c r="AH3" s="1666"/>
      <c r="AI3" s="1666"/>
      <c r="AJ3" s="1666"/>
      <c r="AK3" s="1666"/>
      <c r="AL3" s="495"/>
    </row>
    <row r="4" spans="1:40" s="1609" customFormat="1" ht="18" customHeight="1" thickBot="1">
      <c r="B4" s="1579"/>
      <c r="C4" s="1579"/>
      <c r="E4" s="770"/>
      <c r="F4" s="770"/>
      <c r="H4" s="755" t="str">
        <f>IF(H6-H252=0,"TRUE",H6-H252)</f>
        <v>TRUE</v>
      </c>
      <c r="I4" s="755" t="str">
        <f>IF(I6-I252=0,"TRUE",I6-I252)</f>
        <v>TRUE</v>
      </c>
      <c r="J4" s="755" t="str">
        <f>IF(J6-J252=0,"TRUE",J6-J252)</f>
        <v>TRUE</v>
      </c>
      <c r="K4" s="755" t="str">
        <f>IF(K6-K252=0,"TRUE",K6-K252)</f>
        <v>TRUE</v>
      </c>
      <c r="L4" s="755">
        <f>L6-L252</f>
        <v>0</v>
      </c>
      <c r="M4" s="1664"/>
      <c r="N4" s="755">
        <f t="shared" ref="N4:V4" si="0">N6-N252</f>
        <v>0</v>
      </c>
      <c r="O4" s="755">
        <f t="shared" si="0"/>
        <v>0</v>
      </c>
      <c r="P4" s="755">
        <f>P6-P252</f>
        <v>0</v>
      </c>
      <c r="Q4" s="755">
        <f t="shared" si="0"/>
        <v>0</v>
      </c>
      <c r="R4" s="755">
        <f t="shared" si="0"/>
        <v>0</v>
      </c>
      <c r="S4" s="755">
        <f t="shared" si="0"/>
        <v>0</v>
      </c>
      <c r="T4" s="755">
        <f>T6-T252</f>
        <v>0</v>
      </c>
      <c r="U4" s="755">
        <f t="shared" si="0"/>
        <v>0</v>
      </c>
      <c r="V4" s="755">
        <f t="shared" si="0"/>
        <v>0</v>
      </c>
      <c r="W4" s="1664"/>
      <c r="X4" s="495">
        <f>X6-X252</f>
        <v>0</v>
      </c>
      <c r="Y4" s="1664"/>
      <c r="Z4" s="495"/>
      <c r="AA4" s="1664"/>
      <c r="AB4" s="495">
        <f t="shared" ref="AB4" si="1">AB6-AB252</f>
        <v>0</v>
      </c>
      <c r="AC4" s="495">
        <f t="shared" ref="AC4:AH4" si="2">AC6-AC252</f>
        <v>0</v>
      </c>
      <c r="AD4" s="495">
        <f t="shared" si="2"/>
        <v>0</v>
      </c>
      <c r="AE4" s="495">
        <f t="shared" si="2"/>
        <v>0</v>
      </c>
      <c r="AF4" s="495">
        <f t="shared" si="2"/>
        <v>0</v>
      </c>
      <c r="AG4" s="495">
        <f t="shared" si="2"/>
        <v>0</v>
      </c>
      <c r="AH4" s="495">
        <f t="shared" si="2"/>
        <v>0</v>
      </c>
      <c r="AI4" s="495">
        <f>AI6-AI252</f>
        <v>0</v>
      </c>
      <c r="AJ4" s="495">
        <f>AJ6-AJ252</f>
        <v>0</v>
      </c>
      <c r="AK4" s="495">
        <f>AK6-AK252</f>
        <v>0</v>
      </c>
      <c r="AL4" s="495">
        <f>AL6-AL252</f>
        <v>0</v>
      </c>
    </row>
    <row r="5" spans="1:40" s="1667" customFormat="1" ht="30.95" customHeight="1">
      <c r="B5" s="1668"/>
      <c r="C5" s="1668"/>
      <c r="D5" s="1517" t="s">
        <v>16</v>
      </c>
      <c r="E5" s="1518" t="s">
        <v>1822</v>
      </c>
      <c r="F5" s="1518" t="s">
        <v>18</v>
      </c>
      <c r="G5" s="1518" t="s">
        <v>19</v>
      </c>
      <c r="H5" s="497" t="s">
        <v>15</v>
      </c>
      <c r="I5" s="497" t="s">
        <v>2079</v>
      </c>
      <c r="J5" s="497" t="s">
        <v>2588</v>
      </c>
      <c r="K5" s="497" t="s">
        <v>2586</v>
      </c>
      <c r="L5" s="517" t="s">
        <v>227</v>
      </c>
      <c r="M5" s="1669"/>
      <c r="N5" s="515" t="s">
        <v>391</v>
      </c>
      <c r="O5" s="516" t="s">
        <v>402</v>
      </c>
      <c r="P5" s="516" t="s">
        <v>403</v>
      </c>
      <c r="Q5" s="516" t="s">
        <v>409</v>
      </c>
      <c r="R5" s="516" t="s">
        <v>410</v>
      </c>
      <c r="S5" s="516" t="s">
        <v>487</v>
      </c>
      <c r="T5" s="516" t="s">
        <v>490</v>
      </c>
      <c r="U5" s="516" t="s">
        <v>491</v>
      </c>
      <c r="V5" s="517" t="s">
        <v>489</v>
      </c>
      <c r="W5" s="1669"/>
      <c r="X5" s="1610" t="s">
        <v>2893</v>
      </c>
      <c r="Y5" s="1669"/>
      <c r="Z5" s="1610" t="s">
        <v>2830</v>
      </c>
      <c r="AA5" s="1669"/>
      <c r="AB5" s="1611" t="s">
        <v>2896</v>
      </c>
      <c r="AC5" s="1611" t="s">
        <v>2834</v>
      </c>
      <c r="AD5" s="1611" t="s">
        <v>2829</v>
      </c>
      <c r="AE5" s="1611" t="s">
        <v>2814</v>
      </c>
      <c r="AF5" s="1611" t="s">
        <v>2576</v>
      </c>
      <c r="AG5" s="1611" t="s">
        <v>2408</v>
      </c>
      <c r="AH5" s="1611" t="s">
        <v>2325</v>
      </c>
      <c r="AI5" s="1611" t="s">
        <v>2320</v>
      </c>
      <c r="AJ5" s="1611" t="s">
        <v>2296</v>
      </c>
      <c r="AK5" s="517" t="s">
        <v>2205</v>
      </c>
      <c r="AL5" s="517" t="s">
        <v>2594</v>
      </c>
    </row>
    <row r="6" spans="1:40" ht="18" customHeight="1">
      <c r="A6" s="498"/>
      <c r="D6" s="1583"/>
      <c r="E6" s="1584"/>
      <c r="F6" s="1585"/>
      <c r="G6" s="1584" t="s">
        <v>0</v>
      </c>
      <c r="H6" s="1670">
        <f>SUM(H7,H74)</f>
        <v>273104612213</v>
      </c>
      <c r="I6" s="500">
        <f>SUM(I7,I74)</f>
        <v>1284436436</v>
      </c>
      <c r="J6" s="500">
        <f>SUM(J7,J74)</f>
        <v>343743424</v>
      </c>
      <c r="K6" s="500">
        <f>SUM(K7,K74)</f>
        <v>6647089738</v>
      </c>
      <c r="L6" s="501">
        <f>SUM(L7,L74)</f>
        <v>281379881811</v>
      </c>
      <c r="N6" s="1671">
        <f t="shared" ref="N6:V6" si="3">SUM(N7,N74)</f>
        <v>19842800</v>
      </c>
      <c r="O6" s="500">
        <f t="shared" si="3"/>
        <v>0</v>
      </c>
      <c r="P6" s="500">
        <f t="shared" si="3"/>
        <v>-1140885661</v>
      </c>
      <c r="Q6" s="500">
        <f t="shared" si="3"/>
        <v>-60384975</v>
      </c>
      <c r="R6" s="500">
        <f t="shared" si="3"/>
        <v>1822249587</v>
      </c>
      <c r="S6" s="500">
        <f t="shared" si="3"/>
        <v>-1154194774</v>
      </c>
      <c r="T6" s="500">
        <f t="shared" si="3"/>
        <v>678306860</v>
      </c>
      <c r="U6" s="500">
        <f t="shared" si="3"/>
        <v>-7964419878</v>
      </c>
      <c r="V6" s="501">
        <f t="shared" si="3"/>
        <v>-7799486041</v>
      </c>
      <c r="X6" s="1672">
        <f>SUM(X7,X74)</f>
        <v>273580395770</v>
      </c>
      <c r="Z6" s="1672">
        <f>SUM(Z7,Z74)</f>
        <v>18675826591</v>
      </c>
      <c r="AB6" s="1672">
        <v>264821711447</v>
      </c>
      <c r="AC6" s="1672">
        <v>260522455553</v>
      </c>
      <c r="AD6" s="1672">
        <v>263664328406</v>
      </c>
      <c r="AE6" s="1672">
        <v>260602005740</v>
      </c>
      <c r="AF6" s="1672">
        <v>277445840316</v>
      </c>
      <c r="AG6" s="1672">
        <v>254904569179</v>
      </c>
      <c r="AH6" s="1672">
        <v>244862741802</v>
      </c>
      <c r="AI6" s="1672">
        <v>254444269644</v>
      </c>
      <c r="AJ6" s="1672">
        <v>258676373389</v>
      </c>
      <c r="AK6" s="1672">
        <f>SUM(AK7,AK74)</f>
        <v>176086631208</v>
      </c>
      <c r="AL6" s="1672">
        <v>172443439357</v>
      </c>
      <c r="AN6" s="498"/>
    </row>
    <row r="7" spans="1:40" ht="18" customHeight="1">
      <c r="A7" s="498"/>
      <c r="D7" s="1588"/>
      <c r="E7" s="1589"/>
      <c r="F7" s="1590"/>
      <c r="G7" s="1589" t="s">
        <v>2444</v>
      </c>
      <c r="H7" s="1625">
        <f>SUM(H8,H13,H15,H42,H52,H38,H57,)</f>
        <v>214398394397</v>
      </c>
      <c r="I7" s="503">
        <f>SUM(I8,I13,I15,I42,I52,I38,I57,)</f>
        <v>956828500</v>
      </c>
      <c r="J7" s="503">
        <f>SUM(J8,J13,J15,J42,J52,J38,J57,)</f>
        <v>322825377</v>
      </c>
      <c r="K7" s="503">
        <f>SUM(K8,K13,K15,K42,K52,K38,K57,)</f>
        <v>5669471405</v>
      </c>
      <c r="L7" s="504">
        <f>SUM(L8,L13,L15,L42,L52,L38,L57,)</f>
        <v>221347519679</v>
      </c>
      <c r="N7" s="1629">
        <f t="shared" ref="N7:V7" si="4">SUM(N8,N13,N15,N42,N52,N38,N57,)</f>
        <v>0</v>
      </c>
      <c r="O7" s="503">
        <f t="shared" si="4"/>
        <v>0</v>
      </c>
      <c r="P7" s="503">
        <f t="shared" si="4"/>
        <v>-1140885661</v>
      </c>
      <c r="Q7" s="503">
        <f t="shared" si="4"/>
        <v>-60384975</v>
      </c>
      <c r="R7" s="503">
        <f t="shared" si="4"/>
        <v>0</v>
      </c>
      <c r="S7" s="503">
        <f t="shared" si="4"/>
        <v>-1134194774</v>
      </c>
      <c r="T7" s="503">
        <f t="shared" si="4"/>
        <v>0</v>
      </c>
      <c r="U7" s="503">
        <f t="shared" si="4"/>
        <v>0</v>
      </c>
      <c r="V7" s="504">
        <f t="shared" si="4"/>
        <v>-2335465410</v>
      </c>
      <c r="X7" s="1628">
        <f>SUM(X8,X13,X15,X42,X52,X38,X57,)</f>
        <v>219012054269</v>
      </c>
      <c r="Z7" s="1628">
        <f>SUM(Z8,Z13,Z15,Z42,Z52,Z38,Z57,)</f>
        <v>19931855473</v>
      </c>
      <c r="AB7" s="1628">
        <v>211393851400</v>
      </c>
      <c r="AC7" s="1628">
        <v>206478778695</v>
      </c>
      <c r="AD7" s="1628">
        <v>209259007717</v>
      </c>
      <c r="AE7" s="1628">
        <v>205803071415</v>
      </c>
      <c r="AF7" s="1628">
        <v>223766591125</v>
      </c>
      <c r="AG7" s="1628">
        <v>199080198796</v>
      </c>
      <c r="AH7" s="1628">
        <v>200234791634</v>
      </c>
      <c r="AI7" s="1628">
        <f>SUM(AI8,AI13,AI15,AI42,AI52,AI38,AI57,)</f>
        <v>209735587488</v>
      </c>
      <c r="AJ7" s="1628">
        <f>SUM(AJ8,AJ13,AJ15,AJ42,AJ52,AJ38,AJ57,)</f>
        <v>213660300818</v>
      </c>
      <c r="AK7" s="1628">
        <f>SUM(AK8,AK13,AK15,AK42,AK52,AK38,AK57,)</f>
        <v>151822156274</v>
      </c>
      <c r="AL7" s="1628">
        <v>146277936324</v>
      </c>
      <c r="AN7" s="498"/>
    </row>
    <row r="8" spans="1:40" ht="18" customHeight="1">
      <c r="A8" s="498"/>
      <c r="D8" s="1593"/>
      <c r="E8" s="1594"/>
      <c r="F8" s="1595"/>
      <c r="G8" s="1594" t="s">
        <v>1</v>
      </c>
      <c r="H8" s="520">
        <f>SUM(H9:H12)</f>
        <v>145412136453</v>
      </c>
      <c r="I8" s="506">
        <f>SUM(I9:I12)</f>
        <v>879086392</v>
      </c>
      <c r="J8" s="506">
        <f>SUM(J9:J12)</f>
        <v>254884762</v>
      </c>
      <c r="K8" s="506">
        <f>SUM(K9:K12)</f>
        <v>3554939684</v>
      </c>
      <c r="L8" s="507">
        <f>SUM(L9:L12)</f>
        <v>150101047291</v>
      </c>
      <c r="N8" s="1637">
        <f t="shared" ref="N8:V8" si="5">SUM(N9:N12)</f>
        <v>0</v>
      </c>
      <c r="O8" s="506">
        <f t="shared" si="5"/>
        <v>0</v>
      </c>
      <c r="P8" s="506">
        <f t="shared" si="5"/>
        <v>0</v>
      </c>
      <c r="Q8" s="506">
        <f t="shared" si="5"/>
        <v>0</v>
      </c>
      <c r="R8" s="506">
        <f t="shared" si="5"/>
        <v>0</v>
      </c>
      <c r="S8" s="506">
        <f t="shared" si="5"/>
        <v>0</v>
      </c>
      <c r="T8" s="506">
        <f t="shared" si="5"/>
        <v>0</v>
      </c>
      <c r="U8" s="506">
        <f t="shared" si="5"/>
        <v>0</v>
      </c>
      <c r="V8" s="507">
        <f t="shared" si="5"/>
        <v>0</v>
      </c>
      <c r="X8" s="1636">
        <f>SUM(X9:X12)</f>
        <v>150101047291</v>
      </c>
      <c r="Z8" s="1636">
        <f>SUM(Z9:Z12)</f>
        <v>18082402771</v>
      </c>
      <c r="AB8" s="1636">
        <v>139848960296</v>
      </c>
      <c r="AC8" s="1636">
        <v>134068227198</v>
      </c>
      <c r="AD8" s="1636">
        <v>129867098133</v>
      </c>
      <c r="AE8" s="1636">
        <v>139573512274</v>
      </c>
      <c r="AF8" s="1636">
        <v>129735483757</v>
      </c>
      <c r="AG8" s="1636">
        <v>132018644520</v>
      </c>
      <c r="AH8" s="1636">
        <v>132537981967</v>
      </c>
      <c r="AI8" s="1636">
        <v>142919132651</v>
      </c>
      <c r="AJ8" s="1636">
        <v>157709399441</v>
      </c>
      <c r="AK8" s="1636">
        <f>SUM(AK9:AK12)</f>
        <v>75910156432</v>
      </c>
      <c r="AL8" s="1636">
        <v>97271207132</v>
      </c>
      <c r="AN8" s="498"/>
    </row>
    <row r="9" spans="1:40" s="1674" customFormat="1" ht="18" customHeight="1">
      <c r="A9" s="498"/>
      <c r="B9" s="1552"/>
      <c r="C9" s="1552"/>
      <c r="D9" s="1598" t="s">
        <v>1341</v>
      </c>
      <c r="E9" s="1552" t="s">
        <v>1</v>
      </c>
      <c r="F9" s="1631">
        <v>1101</v>
      </c>
      <c r="G9" s="1552" t="s">
        <v>1343</v>
      </c>
      <c r="H9" s="498">
        <v>0</v>
      </c>
      <c r="I9" s="498">
        <v>0</v>
      </c>
      <c r="J9" s="710">
        <v>0</v>
      </c>
      <c r="K9" s="710">
        <v>0</v>
      </c>
      <c r="L9" s="510">
        <f>SUM(H9:K9)</f>
        <v>0</v>
      </c>
      <c r="M9" s="1659"/>
      <c r="N9" s="1673">
        <f>SUMIF('1.0'!$D:$D,T_BS!D9,'1.0'!$V:$V)</f>
        <v>0</v>
      </c>
      <c r="O9" s="710">
        <f>SUMIF('2.0'!$D:$D,T_BS!D9,'2.0'!$V:$V)</f>
        <v>0</v>
      </c>
      <c r="P9" s="509">
        <f>ROUND(SUMIF('3.0'!$D:$D,T_BS!D9,'3.0'!$H:$H),0)</f>
        <v>0</v>
      </c>
      <c r="Q9" s="720">
        <f>ROUND(SUMIF('4.0'!$D:$D,T_BS!D9,'4.0'!$V:$V),0)</f>
        <v>0</v>
      </c>
      <c r="R9" s="509">
        <f>ROUND(SUMIF('5.0'!$D:$D,T_BS!D9,'5.0'!$V:$V),0)</f>
        <v>0</v>
      </c>
      <c r="S9" s="720">
        <f>ROUND(SUMIF('6.0'!$D:$D,T_BS!D9,'6.0'!$V:$V),0)</f>
        <v>0</v>
      </c>
      <c r="T9" s="720">
        <f>ROUND(SUMIF('7.0'!$D:$D,T_BS!D9,'7.0'!$V:$V),0)</f>
        <v>0</v>
      </c>
      <c r="U9" s="720">
        <f>ROUND(SUMIF('8.0'!$D:$D,T_BS!D9,'8.0'!$H:$H),0)</f>
        <v>0</v>
      </c>
      <c r="V9" s="510">
        <f>SUM(N9:U9)</f>
        <v>0</v>
      </c>
      <c r="W9" s="1659"/>
      <c r="X9" s="1647">
        <f>V9+L9</f>
        <v>0</v>
      </c>
      <c r="Y9" s="1659"/>
      <c r="Z9" s="1622">
        <f>X9-AG9</f>
        <v>0</v>
      </c>
      <c r="AA9" s="1659"/>
      <c r="AB9" s="1622">
        <v>0</v>
      </c>
      <c r="AC9" s="1622">
        <v>0</v>
      </c>
      <c r="AD9" s="1622">
        <v>0</v>
      </c>
      <c r="AE9" s="1622">
        <v>0</v>
      </c>
      <c r="AF9" s="1622">
        <v>0</v>
      </c>
      <c r="AG9" s="1622">
        <v>0</v>
      </c>
      <c r="AH9" s="1622">
        <v>0</v>
      </c>
      <c r="AI9" s="1622">
        <v>0</v>
      </c>
      <c r="AJ9" s="1622">
        <v>0</v>
      </c>
      <c r="AK9" s="1622">
        <v>0</v>
      </c>
      <c r="AL9" s="1622">
        <v>0</v>
      </c>
      <c r="AN9" s="498"/>
    </row>
    <row r="10" spans="1:40" s="1674" customFormat="1" ht="18" customHeight="1">
      <c r="A10" s="498"/>
      <c r="B10" s="1552"/>
      <c r="C10" s="1552"/>
      <c r="D10" s="1598" t="s">
        <v>1344</v>
      </c>
      <c r="E10" s="1552" t="s">
        <v>1</v>
      </c>
      <c r="F10" s="1631">
        <v>1101</v>
      </c>
      <c r="G10" s="1552" t="s">
        <v>1342</v>
      </c>
      <c r="H10" s="498">
        <v>0</v>
      </c>
      <c r="I10" s="498">
        <v>0</v>
      </c>
      <c r="J10" s="710">
        <v>0</v>
      </c>
      <c r="K10" s="710">
        <v>0</v>
      </c>
      <c r="L10" s="510">
        <f>SUM(H10:K10)</f>
        <v>0</v>
      </c>
      <c r="M10" s="1659"/>
      <c r="N10" s="1673">
        <f>SUMIF('1.0'!$D:$D,T_BS!D10,'1.0'!$V:$V)</f>
        <v>0</v>
      </c>
      <c r="O10" s="710">
        <f>SUMIF('2.0'!$D:$D,T_BS!D10,'2.0'!$V:$V)</f>
        <v>0</v>
      </c>
      <c r="P10" s="720">
        <f>ROUND(SUMIF('3.0'!$D:$D,T_BS!D10,'3.0'!$H:$H),0)</f>
        <v>0</v>
      </c>
      <c r="Q10" s="720">
        <f>ROUND(SUMIF('4.0'!$D:$D,T_BS!D10,'4.0'!$V:$V),0)</f>
        <v>0</v>
      </c>
      <c r="R10" s="509">
        <f>ROUND(SUMIF('5.0'!$D:$D,T_BS!D10,'5.0'!$V:$V),0)</f>
        <v>0</v>
      </c>
      <c r="S10" s="720">
        <f>ROUND(SUMIF('6.0'!$D:$D,T_BS!D10,'6.0'!$V:$V),0)</f>
        <v>0</v>
      </c>
      <c r="T10" s="720">
        <f>ROUND(SUMIF('7.0'!$D:$D,T_BS!D10,'7.0'!$V:$V),0)</f>
        <v>0</v>
      </c>
      <c r="U10" s="720">
        <f>ROUND(SUMIF('8.0'!$D:$D,T_BS!D10,'8.0'!$H:$H),0)</f>
        <v>0</v>
      </c>
      <c r="V10" s="510">
        <f>SUM(N10:U10)</f>
        <v>0</v>
      </c>
      <c r="W10" s="1659"/>
      <c r="X10" s="1647">
        <f>V10+L10</f>
        <v>0</v>
      </c>
      <c r="Y10" s="1659"/>
      <c r="Z10" s="1622">
        <f>X10-AG10</f>
        <v>0</v>
      </c>
      <c r="AA10" s="1659"/>
      <c r="AB10" s="1622">
        <v>0</v>
      </c>
      <c r="AC10" s="1622">
        <v>0</v>
      </c>
      <c r="AD10" s="1622">
        <v>0</v>
      </c>
      <c r="AE10" s="1622">
        <v>0</v>
      </c>
      <c r="AF10" s="1622">
        <v>0</v>
      </c>
      <c r="AG10" s="1622">
        <v>0</v>
      </c>
      <c r="AH10" s="1622">
        <v>0</v>
      </c>
      <c r="AI10" s="1622">
        <v>0</v>
      </c>
      <c r="AJ10" s="1622">
        <v>0</v>
      </c>
      <c r="AK10" s="1622">
        <v>0</v>
      </c>
      <c r="AL10" s="1622">
        <v>0</v>
      </c>
      <c r="AN10" s="498"/>
    </row>
    <row r="11" spans="1:40" ht="18" customHeight="1">
      <c r="A11" s="498"/>
      <c r="D11" s="1598">
        <v>111151</v>
      </c>
      <c r="E11" s="1364" t="s">
        <v>1</v>
      </c>
      <c r="F11" s="1366">
        <v>1102</v>
      </c>
      <c r="G11" s="1364" t="s">
        <v>21</v>
      </c>
      <c r="H11" s="498">
        <v>129301854105</v>
      </c>
      <c r="I11" s="498">
        <v>879086392</v>
      </c>
      <c r="J11" s="710">
        <v>254884762</v>
      </c>
      <c r="K11" s="710">
        <v>3554939684</v>
      </c>
      <c r="L11" s="510">
        <f>SUM(H11:K11)</f>
        <v>133990764943</v>
      </c>
      <c r="N11" s="1673">
        <f>SUMIF('1.0'!$D:$D,T_BS!D11,'1.0'!$V:$V)</f>
        <v>0</v>
      </c>
      <c r="O11" s="710">
        <f>SUMIF('2.0'!$D:$D,T_BS!D11,'2.0'!$V:$V)</f>
        <v>0</v>
      </c>
      <c r="P11" s="720">
        <f>ROUND(SUMIF('3.0'!$D:$D,T_BS!D11,'3.0'!$H:$H),0)</f>
        <v>0</v>
      </c>
      <c r="Q11" s="720">
        <f>ROUND(SUMIF('4.0'!$D:$D,T_BS!D11,'4.0'!$V:$V),0)</f>
        <v>0</v>
      </c>
      <c r="R11" s="509">
        <f>ROUND(SUMIF('5.0'!$D:$D,T_BS!D11,'5.0'!$V:$V),0)</f>
        <v>0</v>
      </c>
      <c r="S11" s="720">
        <f>ROUND(SUMIF('6.0'!$D:$D,T_BS!D11,'6.0'!$V:$V),0)</f>
        <v>0</v>
      </c>
      <c r="T11" s="720">
        <f>ROUND(SUMIF('7.0'!$D:$D,T_BS!D11,'7.0'!$V:$V),0)</f>
        <v>0</v>
      </c>
      <c r="U11" s="720">
        <f>ROUND(SUMIF('8.0'!$D:$D,T_BS!D11,'8.0'!$H:$H),0)</f>
        <v>0</v>
      </c>
      <c r="V11" s="510">
        <f>SUM(N11:U11)</f>
        <v>0</v>
      </c>
      <c r="X11" s="1647">
        <f>V11+L11</f>
        <v>133990764943</v>
      </c>
      <c r="Z11" s="1622">
        <f>X11-AG11</f>
        <v>29412218795</v>
      </c>
      <c r="AB11" s="1622">
        <v>126232989910</v>
      </c>
      <c r="AC11" s="1622">
        <v>121444425941</v>
      </c>
      <c r="AD11" s="1622">
        <v>117227292949</v>
      </c>
      <c r="AE11" s="1622">
        <v>125279443179</v>
      </c>
      <c r="AF11" s="1622">
        <v>113666852841</v>
      </c>
      <c r="AG11" s="1622">
        <v>104578546148</v>
      </c>
      <c r="AH11" s="1622">
        <v>108972161873</v>
      </c>
      <c r="AI11" s="1622">
        <v>109523854456</v>
      </c>
      <c r="AJ11" s="1622">
        <v>118549907799</v>
      </c>
      <c r="AK11" s="1622">
        <v>39161434440</v>
      </c>
      <c r="AL11" s="1622">
        <v>63484872299</v>
      </c>
      <c r="AN11" s="498"/>
    </row>
    <row r="12" spans="1:40" ht="18" customHeight="1">
      <c r="A12" s="498"/>
      <c r="D12" s="1598">
        <v>111171</v>
      </c>
      <c r="E12" s="1364" t="s">
        <v>1</v>
      </c>
      <c r="F12" s="1366">
        <v>1102</v>
      </c>
      <c r="G12" s="1364" t="s">
        <v>22</v>
      </c>
      <c r="H12" s="498">
        <v>16110282348</v>
      </c>
      <c r="I12" s="498">
        <v>0</v>
      </c>
      <c r="J12" s="710">
        <v>0</v>
      </c>
      <c r="K12" s="710">
        <v>0</v>
      </c>
      <c r="L12" s="510">
        <f>SUM(H12:K12)</f>
        <v>16110282348</v>
      </c>
      <c r="N12" s="1673">
        <f>SUMIF('1.0'!$D:$D,T_BS!D12,'1.0'!$V:$V)</f>
        <v>0</v>
      </c>
      <c r="O12" s="710">
        <f>SUMIF('2.0'!$D:$D,T_BS!D12,'2.0'!$V:$V)</f>
        <v>0</v>
      </c>
      <c r="P12" s="509">
        <f>ROUND(SUMIF('3.0'!$D:$D,T_BS!D12,'3.0'!$H:$H),0)</f>
        <v>0</v>
      </c>
      <c r="Q12" s="720">
        <f>ROUND(SUMIF('4.0'!$D:$D,T_BS!D12,'4.0'!$V:$V),0)</f>
        <v>0</v>
      </c>
      <c r="R12" s="509">
        <f>ROUND(SUMIF('5.0'!$D:$D,T_BS!D12,'5.0'!$V:$V),0)</f>
        <v>0</v>
      </c>
      <c r="S12" s="720">
        <f>ROUND(SUMIF('6.0'!$D:$D,T_BS!D12,'6.0'!$V:$V),0)</f>
        <v>0</v>
      </c>
      <c r="T12" s="720">
        <f>ROUND(SUMIF('7.0'!$D:$D,T_BS!D12,'7.0'!$V:$V),0)</f>
        <v>0</v>
      </c>
      <c r="U12" s="720">
        <f>ROUND(SUMIF('8.0'!$D:$D,T_BS!D12,'8.0'!$H:$H),0)</f>
        <v>0</v>
      </c>
      <c r="V12" s="510">
        <f>SUM(N12:U12)</f>
        <v>0</v>
      </c>
      <c r="X12" s="1647">
        <f>V12+L12</f>
        <v>16110282348</v>
      </c>
      <c r="Z12" s="1622">
        <f>X12-AG12</f>
        <v>-11329816024</v>
      </c>
      <c r="AB12" s="1622">
        <v>13615970386</v>
      </c>
      <c r="AC12" s="1622">
        <v>12623801257</v>
      </c>
      <c r="AD12" s="1622">
        <v>12639805184</v>
      </c>
      <c r="AE12" s="1622">
        <v>14294069095</v>
      </c>
      <c r="AF12" s="1622">
        <v>16068630916</v>
      </c>
      <c r="AG12" s="1622">
        <v>27440098372</v>
      </c>
      <c r="AH12" s="1622">
        <v>23565820094</v>
      </c>
      <c r="AI12" s="1622">
        <v>33395278195</v>
      </c>
      <c r="AJ12" s="1622">
        <v>39159491642</v>
      </c>
      <c r="AK12" s="1622">
        <v>36748721992</v>
      </c>
      <c r="AL12" s="1622">
        <v>33786334833</v>
      </c>
      <c r="AN12" s="498"/>
    </row>
    <row r="13" spans="1:40" ht="18" customHeight="1">
      <c r="A13" s="498"/>
      <c r="D13" s="1675"/>
      <c r="E13" s="1594"/>
      <c r="F13" s="1595"/>
      <c r="G13" s="1596" t="s">
        <v>2393</v>
      </c>
      <c r="H13" s="520">
        <v>0</v>
      </c>
      <c r="I13" s="506">
        <v>0</v>
      </c>
      <c r="J13" s="506">
        <v>0</v>
      </c>
      <c r="K13" s="506">
        <f>K14</f>
        <v>0</v>
      </c>
      <c r="L13" s="507">
        <f>SUM(L14)</f>
        <v>0</v>
      </c>
      <c r="N13" s="1637">
        <f t="shared" ref="N13:V13" si="6">SUM(N14)</f>
        <v>0</v>
      </c>
      <c r="O13" s="506">
        <f t="shared" si="6"/>
        <v>0</v>
      </c>
      <c r="P13" s="506">
        <f t="shared" si="6"/>
        <v>0</v>
      </c>
      <c r="Q13" s="506">
        <f t="shared" si="6"/>
        <v>0</v>
      </c>
      <c r="R13" s="506">
        <f t="shared" si="6"/>
        <v>0</v>
      </c>
      <c r="S13" s="506">
        <f t="shared" si="6"/>
        <v>0</v>
      </c>
      <c r="T13" s="506">
        <f t="shared" si="6"/>
        <v>0</v>
      </c>
      <c r="U13" s="506">
        <f t="shared" si="6"/>
        <v>0</v>
      </c>
      <c r="V13" s="507">
        <f t="shared" si="6"/>
        <v>0</v>
      </c>
      <c r="X13" s="1636">
        <f>SUM(X14)</f>
        <v>0</v>
      </c>
      <c r="Z13" s="1636">
        <f>SUM(Z14)</f>
        <v>-309072000</v>
      </c>
      <c r="AB13" s="1636">
        <v>0</v>
      </c>
      <c r="AC13" s="1636">
        <v>0</v>
      </c>
      <c r="AD13" s="1636">
        <v>0</v>
      </c>
      <c r="AE13" s="1636">
        <v>0</v>
      </c>
      <c r="AF13" s="1636">
        <v>297822000</v>
      </c>
      <c r="AG13" s="1636">
        <v>309072000</v>
      </c>
      <c r="AH13" s="1636">
        <v>0</v>
      </c>
      <c r="AI13" s="1636">
        <f>SUM(AI14)</f>
        <v>0</v>
      </c>
      <c r="AJ13" s="1636">
        <f>SUM(AJ14)</f>
        <v>0</v>
      </c>
      <c r="AK13" s="1636">
        <f>SUM(AK14)</f>
        <v>0</v>
      </c>
      <c r="AL13" s="1636">
        <v>0</v>
      </c>
      <c r="AN13" s="498"/>
    </row>
    <row r="14" spans="1:40" s="1659" customFormat="1" ht="18" customHeight="1">
      <c r="A14" s="575"/>
      <c r="B14" s="1089"/>
      <c r="C14" s="1089"/>
      <c r="D14" s="1676">
        <v>111391</v>
      </c>
      <c r="E14" s="1089" t="s">
        <v>2393</v>
      </c>
      <c r="F14" s="1677">
        <v>1501</v>
      </c>
      <c r="G14" s="1089" t="s">
        <v>2394</v>
      </c>
      <c r="H14" s="498">
        <v>0</v>
      </c>
      <c r="I14" s="498">
        <v>0</v>
      </c>
      <c r="J14" s="710">
        <v>0</v>
      </c>
      <c r="K14" s="710">
        <v>0</v>
      </c>
      <c r="L14" s="1646">
        <f>SUM(H14:K14)</f>
        <v>0</v>
      </c>
      <c r="N14" s="1642">
        <f>SUMIF('1.0'!$D:$D,T_BS!D14,'1.0'!$V:$V)</f>
        <v>0</v>
      </c>
      <c r="O14" s="925">
        <f>SUMIF('2.0'!$D:$D,T_BS!D14,'2.0'!$V:$V)</f>
        <v>0</v>
      </c>
      <c r="P14" s="925">
        <f>ROUND(SUMIF('3.0'!$D:$D,T_BS!D14,'3.0'!$H:$H),0)</f>
        <v>0</v>
      </c>
      <c r="Q14" s="1119">
        <f>ROUND(SUMIF('4.0'!$D:$D,T_BS!D14,'4.0'!$V:$V),0)</f>
        <v>0</v>
      </c>
      <c r="R14" s="925">
        <f>ROUND(SUMIF('5.0'!$D:$D,T_BS!D14,'5.0'!$V:$V),0)</f>
        <v>0</v>
      </c>
      <c r="S14" s="1119">
        <f>ROUND(SUMIF('6.0'!$D:$D,T_BS!D14,'6.0'!$V:$V),0)</f>
        <v>0</v>
      </c>
      <c r="T14" s="1119">
        <f>ROUND(SUMIF('7.0'!$D:$D,T_BS!D14,'7.0'!$V:$V),0)</f>
        <v>0</v>
      </c>
      <c r="U14" s="1119">
        <f>ROUND(SUMIF('8.0'!$D:$D,T_BS!D14,'8.0'!$H:$H),0)</f>
        <v>0</v>
      </c>
      <c r="V14" s="1646">
        <f>SUM(N14:U14)</f>
        <v>0</v>
      </c>
      <c r="X14" s="1647">
        <f>V14+L14</f>
        <v>0</v>
      </c>
      <c r="Z14" s="1622">
        <f>X14-AG14</f>
        <v>-309072000</v>
      </c>
      <c r="AB14" s="1647">
        <v>0</v>
      </c>
      <c r="AC14" s="1647">
        <v>0</v>
      </c>
      <c r="AD14" s="1647">
        <v>0</v>
      </c>
      <c r="AE14" s="1647">
        <v>0</v>
      </c>
      <c r="AF14" s="1647">
        <v>297822000</v>
      </c>
      <c r="AG14" s="1647">
        <v>309072000</v>
      </c>
      <c r="AH14" s="1647">
        <v>0</v>
      </c>
      <c r="AI14" s="1647">
        <v>0</v>
      </c>
      <c r="AJ14" s="1647">
        <v>0</v>
      </c>
      <c r="AK14" s="1647">
        <v>0</v>
      </c>
      <c r="AL14" s="1647">
        <v>0</v>
      </c>
      <c r="AN14" s="498"/>
    </row>
    <row r="15" spans="1:40" ht="18" customHeight="1">
      <c r="A15" s="498"/>
      <c r="D15" s="1593"/>
      <c r="E15" s="1594"/>
      <c r="F15" s="1595"/>
      <c r="G15" s="1594" t="s">
        <v>23</v>
      </c>
      <c r="H15" s="520">
        <f>SUM(H16:H37)</f>
        <v>47509702407</v>
      </c>
      <c r="I15" s="506">
        <f>SUM(I16:I37)</f>
        <v>76829500</v>
      </c>
      <c r="J15" s="506">
        <f>SUM(J16:J37)</f>
        <v>34615323</v>
      </c>
      <c r="K15" s="506">
        <f>SUM(K16:K37)</f>
        <v>179204898</v>
      </c>
      <c r="L15" s="507">
        <f>SUM(L16:L37)</f>
        <v>47800352128</v>
      </c>
      <c r="N15" s="1637">
        <f t="shared" ref="N15:V15" si="7">SUM(N16:N37)</f>
        <v>0</v>
      </c>
      <c r="O15" s="506">
        <f t="shared" si="7"/>
        <v>0</v>
      </c>
      <c r="P15" s="506">
        <f t="shared" si="7"/>
        <v>-856617409</v>
      </c>
      <c r="Q15" s="506">
        <f t="shared" si="7"/>
        <v>0</v>
      </c>
      <c r="R15" s="506">
        <f t="shared" si="7"/>
        <v>0</v>
      </c>
      <c r="S15" s="506">
        <f t="shared" si="7"/>
        <v>0</v>
      </c>
      <c r="T15" s="506">
        <f t="shared" si="7"/>
        <v>0</v>
      </c>
      <c r="U15" s="506">
        <f t="shared" si="7"/>
        <v>0</v>
      </c>
      <c r="V15" s="507">
        <f t="shared" si="7"/>
        <v>-856617409</v>
      </c>
      <c r="X15" s="1636">
        <f>SUM(X16:X37)</f>
        <v>46943734719</v>
      </c>
      <c r="Z15" s="1636">
        <f>SUM(Z16:Z37)</f>
        <v>3109007340</v>
      </c>
      <c r="AB15" s="1636">
        <v>50429557946</v>
      </c>
      <c r="AC15" s="1636">
        <v>51227266602</v>
      </c>
      <c r="AD15" s="1636">
        <v>58610608493</v>
      </c>
      <c r="AE15" s="1636">
        <v>48153274144</v>
      </c>
      <c r="AF15" s="1636">
        <v>70268614943</v>
      </c>
      <c r="AG15" s="1636">
        <v>43834727379</v>
      </c>
      <c r="AH15" s="1636">
        <v>45391896713</v>
      </c>
      <c r="AI15" s="1636">
        <v>44855231867</v>
      </c>
      <c r="AJ15" s="1636">
        <v>35624983151</v>
      </c>
      <c r="AK15" s="1636">
        <f>SUM(AK16:AK37)</f>
        <v>59372878209</v>
      </c>
      <c r="AL15" s="1636">
        <v>40957768351</v>
      </c>
      <c r="AN15" s="498"/>
    </row>
    <row r="16" spans="1:40" ht="18" customHeight="1">
      <c r="A16" s="498"/>
      <c r="D16" s="1598">
        <v>111711</v>
      </c>
      <c r="E16" s="1364" t="s">
        <v>1642</v>
      </c>
      <c r="F16" s="1366">
        <v>1201</v>
      </c>
      <c r="G16" s="1364" t="s">
        <v>24</v>
      </c>
      <c r="H16" s="498">
        <v>13075738669</v>
      </c>
      <c r="I16" s="498">
        <v>76829500</v>
      </c>
      <c r="J16" s="710">
        <v>25441967</v>
      </c>
      <c r="K16" s="710">
        <v>178622859</v>
      </c>
      <c r="L16" s="510">
        <f t="shared" ref="L16:L37" si="8">SUM(H16:K16)</f>
        <v>13356632995</v>
      </c>
      <c r="N16" s="1673">
        <f>SUMIF('1.0'!$D:$D,T_BS!D16,'1.0'!$V:$V)</f>
        <v>0</v>
      </c>
      <c r="O16" s="710">
        <f>SUMIF('2.0'!$D:$D,T_BS!D16,'2.0'!$V:$V)</f>
        <v>0</v>
      </c>
      <c r="P16" s="509">
        <f>ROUND(SUMIF('3.0'!$D:$D,T_BS!D16,'3.0'!$H:$H),0)</f>
        <v>-198945300</v>
      </c>
      <c r="Q16" s="720">
        <f>ROUND(SUMIF('4.0'!$D:$D,T_BS!D16,'4.0'!$V:$V),0)</f>
        <v>0</v>
      </c>
      <c r="R16" s="509">
        <f>ROUND(SUMIF('5.0'!$D:$D,T_BS!D16,'5.0'!$V:$V),0)</f>
        <v>0</v>
      </c>
      <c r="S16" s="720">
        <f>ROUND(SUMIF('6.0'!$D:$D,T_BS!D16,'6.0'!$V:$V),0)</f>
        <v>0</v>
      </c>
      <c r="T16" s="720">
        <f>ROUND(SUMIF('7.0'!$D:$D,T_BS!D16,'7.0'!$V:$V),0)</f>
        <v>0</v>
      </c>
      <c r="U16" s="720">
        <f>ROUND(SUMIF('8.0'!$D:$D,T_BS!D16,'8.0'!$H:$H),0)</f>
        <v>0</v>
      </c>
      <c r="V16" s="510">
        <f t="shared" ref="V16:V73" si="9">SUM(N16:U16)</f>
        <v>-198945300</v>
      </c>
      <c r="X16" s="1647">
        <f t="shared" ref="X16:X37" si="10">V16+L16</f>
        <v>13157687695</v>
      </c>
      <c r="Z16" s="1622">
        <f t="shared" ref="Z16:Z37" si="11">X16-AG16</f>
        <v>-839097994</v>
      </c>
      <c r="AB16" s="1622">
        <v>16639691248</v>
      </c>
      <c r="AC16" s="1622">
        <v>22422752564</v>
      </c>
      <c r="AD16" s="1622">
        <v>21191674761</v>
      </c>
      <c r="AE16" s="1622">
        <v>18715683419</v>
      </c>
      <c r="AF16" s="1622">
        <v>40342332052</v>
      </c>
      <c r="AG16" s="1622">
        <v>13996785689</v>
      </c>
      <c r="AH16" s="1622">
        <v>12364560579</v>
      </c>
      <c r="AI16" s="1622">
        <v>12470621059</v>
      </c>
      <c r="AJ16" s="1622">
        <v>12974550067</v>
      </c>
      <c r="AK16" s="1622">
        <v>35531261583</v>
      </c>
      <c r="AL16" s="1622">
        <v>14814257746</v>
      </c>
      <c r="AN16" s="498"/>
    </row>
    <row r="17" spans="1:40" ht="18" customHeight="1">
      <c r="A17" s="498"/>
      <c r="D17" s="1598">
        <v>111712</v>
      </c>
      <c r="E17" s="1364" t="s">
        <v>1642</v>
      </c>
      <c r="F17" s="1366">
        <v>1202</v>
      </c>
      <c r="G17" s="1364" t="s">
        <v>25</v>
      </c>
      <c r="H17" s="498">
        <v>-964465585</v>
      </c>
      <c r="I17" s="498">
        <v>0</v>
      </c>
      <c r="J17" s="710">
        <v>0</v>
      </c>
      <c r="K17" s="710">
        <v>0</v>
      </c>
      <c r="L17" s="510">
        <f t="shared" si="8"/>
        <v>-964465585</v>
      </c>
      <c r="N17" s="1673">
        <f>SUMIF('1.0'!$D:$D,T_BS!D17,'1.0'!$V:$V)</f>
        <v>0</v>
      </c>
      <c r="O17" s="710">
        <f>SUMIF('2.0'!$D:$D,T_BS!D17,'2.0'!$V:$V)</f>
        <v>0</v>
      </c>
      <c r="P17" s="509">
        <f>ROUND(SUMIF('3.0'!$D:$D,T_BS!D17,'3.0'!$H:$H),0)</f>
        <v>0</v>
      </c>
      <c r="Q17" s="720">
        <f>ROUND(SUMIF('4.0'!$D:$D,T_BS!D17,'4.0'!$V:$V),0)</f>
        <v>0</v>
      </c>
      <c r="R17" s="509">
        <f>ROUND(SUMIF('5.0'!$D:$D,T_BS!D17,'5.0'!$V:$V),0)</f>
        <v>0</v>
      </c>
      <c r="S17" s="720">
        <f>ROUND(SUMIF('6.0'!$D:$D,T_BS!D17,'6.0'!$V:$V),0)</f>
        <v>0</v>
      </c>
      <c r="T17" s="720">
        <f>ROUND(SUMIF('7.0'!$D:$D,T_BS!D17,'7.0'!$V:$V),0)</f>
        <v>0</v>
      </c>
      <c r="U17" s="720">
        <f>ROUND(SUMIF('8.0'!$D:$D,T_BS!D17,'8.0'!$H:$H),0)</f>
        <v>0</v>
      </c>
      <c r="V17" s="510">
        <f t="shared" si="9"/>
        <v>0</v>
      </c>
      <c r="X17" s="1647">
        <f t="shared" si="10"/>
        <v>-964465585</v>
      </c>
      <c r="Z17" s="1622">
        <f t="shared" si="11"/>
        <v>-4720177</v>
      </c>
      <c r="AB17" s="1622">
        <v>-964465585</v>
      </c>
      <c r="AC17" s="1622">
        <v>-965069314</v>
      </c>
      <c r="AD17" s="1622">
        <v>-965069314</v>
      </c>
      <c r="AE17" s="1622">
        <v>-965069314</v>
      </c>
      <c r="AF17" s="1622">
        <v>-964371872</v>
      </c>
      <c r="AG17" s="1622">
        <v>-959745408</v>
      </c>
      <c r="AH17" s="1622">
        <v>-923471002</v>
      </c>
      <c r="AI17" s="1622">
        <v>-923471002</v>
      </c>
      <c r="AJ17" s="1622">
        <v>-933461973</v>
      </c>
      <c r="AK17" s="1622">
        <v>-951247499</v>
      </c>
      <c r="AL17" s="1622">
        <v>-1078470336</v>
      </c>
      <c r="AN17" s="498"/>
    </row>
    <row r="18" spans="1:40" ht="18" customHeight="1">
      <c r="A18" s="498"/>
      <c r="D18" s="1598">
        <v>111731</v>
      </c>
      <c r="E18" s="1364" t="s">
        <v>1642</v>
      </c>
      <c r="F18" s="1366">
        <v>1203</v>
      </c>
      <c r="G18" s="1364" t="s">
        <v>26</v>
      </c>
      <c r="H18" s="498">
        <v>4195220160</v>
      </c>
      <c r="I18" s="498">
        <v>0</v>
      </c>
      <c r="J18" s="710">
        <v>0</v>
      </c>
      <c r="K18" s="710">
        <v>0</v>
      </c>
      <c r="L18" s="510">
        <f t="shared" si="8"/>
        <v>4195220160</v>
      </c>
      <c r="N18" s="1673">
        <f>SUMIF('1.0'!$D:$D,T_BS!D18,'1.0'!$V:$V)</f>
        <v>0</v>
      </c>
      <c r="O18" s="710">
        <f>SUMIF('2.0'!$D:$D,T_BS!D18,'2.0'!$V:$V)</f>
        <v>0</v>
      </c>
      <c r="P18" s="509">
        <f>ROUND(SUMIF('3.0'!$D:$D,T_BS!D18,'3.0'!$H:$H),0)</f>
        <v>-657672109</v>
      </c>
      <c r="Q18" s="720">
        <f>ROUND(SUMIF('4.0'!$D:$D,T_BS!D18,'4.0'!$V:$V),0)</f>
        <v>0</v>
      </c>
      <c r="R18" s="509">
        <f>ROUND(SUMIF('5.0'!$D:$D,T_BS!D18,'5.0'!$V:$V),0)</f>
        <v>0</v>
      </c>
      <c r="S18" s="720">
        <f>ROUND(SUMIF('6.0'!$D:$D,T_BS!D18,'6.0'!$V:$V),0)</f>
        <v>0</v>
      </c>
      <c r="T18" s="720">
        <f>ROUND(SUMIF('7.0'!$D:$D,T_BS!D18,'7.0'!$V:$V),0)</f>
        <v>0</v>
      </c>
      <c r="U18" s="720">
        <f>ROUND(SUMIF('8.0'!$D:$D,T_BS!D18,'8.0'!$H:$H),0)</f>
        <v>0</v>
      </c>
      <c r="V18" s="510">
        <f t="shared" si="9"/>
        <v>-657672109</v>
      </c>
      <c r="X18" s="1647">
        <f t="shared" si="10"/>
        <v>3537548051</v>
      </c>
      <c r="Z18" s="1622">
        <f t="shared" si="11"/>
        <v>1359256245</v>
      </c>
      <c r="AB18" s="1622">
        <v>3902448639</v>
      </c>
      <c r="AC18" s="1622">
        <v>1804064607</v>
      </c>
      <c r="AD18" s="1622">
        <v>2592132025</v>
      </c>
      <c r="AE18" s="1622">
        <v>3075961844</v>
      </c>
      <c r="AF18" s="1622">
        <v>2572145385</v>
      </c>
      <c r="AG18" s="1622">
        <v>2178291806</v>
      </c>
      <c r="AH18" s="1622">
        <v>5141617333</v>
      </c>
      <c r="AI18" s="1622">
        <v>3419885030</v>
      </c>
      <c r="AJ18" s="1622">
        <v>2702233204</v>
      </c>
      <c r="AK18" s="1622">
        <v>4718394914</v>
      </c>
      <c r="AL18" s="1622">
        <v>3334181925</v>
      </c>
      <c r="AN18" s="498"/>
    </row>
    <row r="19" spans="1:40" ht="18" customHeight="1">
      <c r="A19" s="498"/>
      <c r="D19" s="1598">
        <v>111732</v>
      </c>
      <c r="E19" s="1364" t="s">
        <v>1642</v>
      </c>
      <c r="F19" s="1366">
        <v>1202</v>
      </c>
      <c r="G19" s="1364" t="s">
        <v>27</v>
      </c>
      <c r="H19" s="498">
        <v>-40149520</v>
      </c>
      <c r="I19" s="498">
        <v>0</v>
      </c>
      <c r="J19" s="710">
        <v>0</v>
      </c>
      <c r="K19" s="710">
        <v>0</v>
      </c>
      <c r="L19" s="510">
        <f t="shared" si="8"/>
        <v>-40149520</v>
      </c>
      <c r="N19" s="1673">
        <f>SUMIF('1.0'!$D:$D,T_BS!D19,'1.0'!$V:$V)</f>
        <v>0</v>
      </c>
      <c r="O19" s="710">
        <f>SUMIF('2.0'!$D:$D,T_BS!D19,'2.0'!$V:$V)</f>
        <v>0</v>
      </c>
      <c r="P19" s="509">
        <f>ROUND(SUMIF('3.0'!$D:$D,T_BS!D19,'3.0'!$H:$H),0)</f>
        <v>0</v>
      </c>
      <c r="Q19" s="720">
        <f>ROUND(SUMIF('4.0'!$D:$D,T_BS!D19,'4.0'!$V:$V),0)</f>
        <v>0</v>
      </c>
      <c r="R19" s="509">
        <f>ROUND(SUMIF('5.0'!$D:$D,T_BS!D19,'5.0'!$V:$V),0)</f>
        <v>0</v>
      </c>
      <c r="S19" s="720">
        <f>ROUND(SUMIF('6.0'!$D:$D,T_BS!D19,'6.0'!$V:$V),0)</f>
        <v>0</v>
      </c>
      <c r="T19" s="720">
        <f>ROUND(SUMIF('7.0'!$D:$D,T_BS!D19,'7.0'!$V:$V),0)</f>
        <v>0</v>
      </c>
      <c r="U19" s="720">
        <f>ROUND(SUMIF('8.0'!$D:$D,T_BS!D19,'8.0'!$H:$H),0)</f>
        <v>0</v>
      </c>
      <c r="V19" s="510">
        <f t="shared" si="9"/>
        <v>0</v>
      </c>
      <c r="X19" s="1647">
        <f t="shared" si="10"/>
        <v>-40149520</v>
      </c>
      <c r="Z19" s="1622">
        <f t="shared" si="11"/>
        <v>-6427605</v>
      </c>
      <c r="AB19" s="1622">
        <v>-40149520</v>
      </c>
      <c r="AC19" s="1622">
        <v>-36178782</v>
      </c>
      <c r="AD19" s="1622">
        <v>-36178782</v>
      </c>
      <c r="AE19" s="1622">
        <v>-36178782</v>
      </c>
      <c r="AF19" s="1622">
        <v>-34931109</v>
      </c>
      <c r="AG19" s="1622">
        <v>-33721915</v>
      </c>
      <c r="AH19" s="1622">
        <v>-257442259</v>
      </c>
      <c r="AI19" s="1622">
        <v>-257442259</v>
      </c>
      <c r="AJ19" s="1622">
        <v>-263110957</v>
      </c>
      <c r="AK19" s="1622">
        <v>-372707468</v>
      </c>
      <c r="AL19" s="1622">
        <v>-325159394</v>
      </c>
      <c r="AN19" s="498"/>
    </row>
    <row r="20" spans="1:40" ht="18" customHeight="1">
      <c r="A20" s="498"/>
      <c r="D20" s="1598">
        <v>111761</v>
      </c>
      <c r="E20" s="1364" t="s">
        <v>1642</v>
      </c>
      <c r="F20" s="1366">
        <v>1201</v>
      </c>
      <c r="G20" s="1364" t="s">
        <v>28</v>
      </c>
      <c r="H20" s="498">
        <v>4634086804</v>
      </c>
      <c r="I20" s="498">
        <v>0</v>
      </c>
      <c r="J20" s="710">
        <v>0</v>
      </c>
      <c r="K20" s="710">
        <v>0</v>
      </c>
      <c r="L20" s="510">
        <f t="shared" si="8"/>
        <v>4634086804</v>
      </c>
      <c r="N20" s="1673">
        <f>SUMIF('1.0'!$D:$D,T_BS!D20,'1.0'!$V:$V)</f>
        <v>0</v>
      </c>
      <c r="O20" s="710">
        <f>SUMIF('2.0'!$D:$D,T_BS!D20,'2.0'!$V:$V)</f>
        <v>0</v>
      </c>
      <c r="P20" s="509">
        <f>ROUND(SUMIF('3.0'!$D:$D,T_BS!D20,'3.0'!$H:$H),0)</f>
        <v>0</v>
      </c>
      <c r="Q20" s="720">
        <f>ROUND(SUMIF('4.0'!$D:$D,T_BS!D20,'4.0'!$V:$V),0)</f>
        <v>0</v>
      </c>
      <c r="R20" s="509">
        <f>ROUND(SUMIF('5.0'!$D:$D,T_BS!D20,'5.0'!$V:$V),0)</f>
        <v>0</v>
      </c>
      <c r="S20" s="720">
        <f>ROUND(SUMIF('6.0'!$D:$D,T_BS!D20,'6.0'!$V:$V),0)</f>
        <v>0</v>
      </c>
      <c r="T20" s="720">
        <f>ROUND(SUMIF('7.0'!$D:$D,T_BS!D20,'7.0'!$V:$V),0)</f>
        <v>0</v>
      </c>
      <c r="U20" s="720">
        <f>ROUND(SUMIF('8.0'!$D:$D,T_BS!D20,'8.0'!$H:$H),0)</f>
        <v>0</v>
      </c>
      <c r="V20" s="510">
        <f t="shared" si="9"/>
        <v>0</v>
      </c>
      <c r="X20" s="1647">
        <f t="shared" si="10"/>
        <v>4634086804</v>
      </c>
      <c r="Z20" s="1622">
        <f t="shared" si="11"/>
        <v>1793219489</v>
      </c>
      <c r="AB20" s="1622">
        <v>4342223483</v>
      </c>
      <c r="AC20" s="1622">
        <v>4738646232</v>
      </c>
      <c r="AD20" s="1622">
        <v>4795517550</v>
      </c>
      <c r="AE20" s="1622">
        <v>4444932813</v>
      </c>
      <c r="AF20" s="1622">
        <v>3120552381</v>
      </c>
      <c r="AG20" s="1622">
        <v>2840867315</v>
      </c>
      <c r="AH20" s="1622">
        <v>3201653032</v>
      </c>
      <c r="AI20" s="1622">
        <v>3486256039</v>
      </c>
      <c r="AJ20" s="1622">
        <v>3231954383</v>
      </c>
      <c r="AK20" s="1622">
        <v>4142398266</v>
      </c>
      <c r="AL20" s="1622">
        <v>4147637595</v>
      </c>
      <c r="AN20" s="498"/>
    </row>
    <row r="21" spans="1:40" ht="18" customHeight="1">
      <c r="A21" s="498"/>
      <c r="D21" s="1598">
        <v>111762</v>
      </c>
      <c r="E21" s="1364" t="s">
        <v>1642</v>
      </c>
      <c r="F21" s="1366">
        <v>1201</v>
      </c>
      <c r="G21" s="1364" t="s">
        <v>29</v>
      </c>
      <c r="H21" s="498">
        <v>804817734</v>
      </c>
      <c r="I21" s="498">
        <v>0</v>
      </c>
      <c r="J21" s="710">
        <v>0</v>
      </c>
      <c r="K21" s="710">
        <v>0</v>
      </c>
      <c r="L21" s="510">
        <f t="shared" si="8"/>
        <v>804817734</v>
      </c>
      <c r="N21" s="1673">
        <f>SUMIF('1.0'!$D:$D,T_BS!D21,'1.0'!$V:$V)</f>
        <v>0</v>
      </c>
      <c r="O21" s="710">
        <f>SUMIF('2.0'!$D:$D,T_BS!D21,'2.0'!$V:$V)</f>
        <v>0</v>
      </c>
      <c r="P21" s="509">
        <f>ROUND(SUMIF('3.0'!$D:$D,T_BS!D21,'3.0'!$H:$H),0)</f>
        <v>0</v>
      </c>
      <c r="Q21" s="720">
        <f>ROUND(SUMIF('4.0'!$D:$D,T_BS!D21,'4.0'!$V:$V),0)</f>
        <v>0</v>
      </c>
      <c r="R21" s="509">
        <f>ROUND(SUMIF('5.0'!$D:$D,T_BS!D21,'5.0'!$V:$V),0)</f>
        <v>0</v>
      </c>
      <c r="S21" s="720">
        <f>ROUND(SUMIF('6.0'!$D:$D,T_BS!D21,'6.0'!$V:$V),0)</f>
        <v>0</v>
      </c>
      <c r="T21" s="720">
        <f>ROUND(SUMIF('7.0'!$D:$D,T_BS!D21,'7.0'!$V:$V),0)</f>
        <v>0</v>
      </c>
      <c r="U21" s="720">
        <f>ROUND(SUMIF('8.0'!$D:$D,T_BS!D21,'8.0'!$H:$H),0)</f>
        <v>0</v>
      </c>
      <c r="V21" s="510">
        <f t="shared" si="9"/>
        <v>0</v>
      </c>
      <c r="X21" s="1647">
        <f t="shared" si="10"/>
        <v>804817734</v>
      </c>
      <c r="Z21" s="1622">
        <f t="shared" si="11"/>
        <v>200958205</v>
      </c>
      <c r="AB21" s="1622">
        <v>690624280</v>
      </c>
      <c r="AC21" s="1622">
        <v>690837544</v>
      </c>
      <c r="AD21" s="1622">
        <v>7284652022</v>
      </c>
      <c r="AE21" s="1622">
        <v>619712954</v>
      </c>
      <c r="AF21" s="1622">
        <v>566178210</v>
      </c>
      <c r="AG21" s="1622">
        <v>603859529</v>
      </c>
      <c r="AH21" s="1622">
        <v>877194925</v>
      </c>
      <c r="AI21" s="1622">
        <v>791710393</v>
      </c>
      <c r="AJ21" s="1622">
        <v>851523716</v>
      </c>
      <c r="AK21" s="1622">
        <v>922692009</v>
      </c>
      <c r="AL21" s="1622">
        <v>1134636273</v>
      </c>
      <c r="AN21" s="498"/>
    </row>
    <row r="22" spans="1:40" ht="18" customHeight="1">
      <c r="A22" s="498"/>
      <c r="D22" s="1598">
        <v>111763</v>
      </c>
      <c r="E22" s="1364" t="s">
        <v>1642</v>
      </c>
      <c r="F22" s="1366">
        <v>1201</v>
      </c>
      <c r="G22" s="1364" t="s">
        <v>30</v>
      </c>
      <c r="H22" s="498">
        <v>248896958</v>
      </c>
      <c r="I22" s="498">
        <v>0</v>
      </c>
      <c r="J22" s="710">
        <v>0</v>
      </c>
      <c r="K22" s="710">
        <v>0</v>
      </c>
      <c r="L22" s="510">
        <f t="shared" si="8"/>
        <v>248896958</v>
      </c>
      <c r="N22" s="1673">
        <f>SUMIF('1.0'!$D:$D,T_BS!D22,'1.0'!$V:$V)</f>
        <v>0</v>
      </c>
      <c r="O22" s="710">
        <f>SUMIF('2.0'!$D:$D,T_BS!D22,'2.0'!$V:$V)</f>
        <v>0</v>
      </c>
      <c r="P22" s="509">
        <f>ROUND(SUMIF('3.0'!$D:$D,T_BS!D22,'3.0'!$H:$H),0)</f>
        <v>0</v>
      </c>
      <c r="Q22" s="720">
        <f>ROUND(SUMIF('4.0'!$D:$D,T_BS!D22,'4.0'!$V:$V),0)</f>
        <v>0</v>
      </c>
      <c r="R22" s="509">
        <f>ROUND(SUMIF('5.0'!$D:$D,T_BS!D22,'5.0'!$V:$V),0)</f>
        <v>0</v>
      </c>
      <c r="S22" s="720">
        <f>ROUND(SUMIF('6.0'!$D:$D,T_BS!D22,'6.0'!$V:$V),0)</f>
        <v>0</v>
      </c>
      <c r="T22" s="720">
        <f>ROUND(SUMIF('7.0'!$D:$D,T_BS!D22,'7.0'!$V:$V),0)</f>
        <v>0</v>
      </c>
      <c r="U22" s="720">
        <f>ROUND(SUMIF('8.0'!$D:$D,T_BS!D22,'8.0'!$H:$H),0)</f>
        <v>0</v>
      </c>
      <c r="V22" s="510">
        <f t="shared" si="9"/>
        <v>0</v>
      </c>
      <c r="X22" s="1647">
        <f t="shared" si="10"/>
        <v>248896958</v>
      </c>
      <c r="Z22" s="1622">
        <f t="shared" si="11"/>
        <v>-68285492</v>
      </c>
      <c r="AB22" s="1622">
        <v>1051062</v>
      </c>
      <c r="AC22" s="1622">
        <v>54883617</v>
      </c>
      <c r="AD22" s="1622">
        <v>69068211</v>
      </c>
      <c r="AE22" s="1622">
        <v>26993108</v>
      </c>
      <c r="AF22" s="1622">
        <v>115060613</v>
      </c>
      <c r="AG22" s="1622">
        <v>317182450</v>
      </c>
      <c r="AH22" s="1622">
        <v>11394847</v>
      </c>
      <c r="AI22" s="1622">
        <v>23519513</v>
      </c>
      <c r="AJ22" s="1622">
        <v>12275870</v>
      </c>
      <c r="AK22" s="1622">
        <v>0</v>
      </c>
      <c r="AL22" s="1622">
        <v>0</v>
      </c>
      <c r="AN22" s="498"/>
    </row>
    <row r="23" spans="1:40" ht="18" customHeight="1">
      <c r="A23" s="498"/>
      <c r="D23" s="1630">
        <v>111911</v>
      </c>
      <c r="E23" s="1552" t="s">
        <v>1642</v>
      </c>
      <c r="F23" s="1366">
        <v>1221</v>
      </c>
      <c r="G23" s="1364" t="s">
        <v>31</v>
      </c>
      <c r="H23" s="498">
        <v>0</v>
      </c>
      <c r="I23" s="498">
        <v>0</v>
      </c>
      <c r="J23" s="710">
        <v>0</v>
      </c>
      <c r="K23" s="710">
        <v>0</v>
      </c>
      <c r="L23" s="510">
        <f t="shared" si="8"/>
        <v>0</v>
      </c>
      <c r="N23" s="1673">
        <f>SUMIF('1.0'!$D:$D,T_BS!D23,'1.0'!$V:$V)</f>
        <v>0</v>
      </c>
      <c r="O23" s="710">
        <f>SUMIF('2.0'!$D:$D,T_BS!D23,'2.0'!$V:$V)</f>
        <v>0</v>
      </c>
      <c r="P23" s="509">
        <f>ROUND(SUMIF('3.0'!$D:$D,T_BS!D23,'3.0'!$H:$H),0)</f>
        <v>0</v>
      </c>
      <c r="Q23" s="720">
        <f>ROUND(SUMIF('4.0'!$D:$D,T_BS!D23,'4.0'!$V:$V),0)</f>
        <v>0</v>
      </c>
      <c r="R23" s="509">
        <f>ROUND(SUMIF('5.0'!$D:$D,T_BS!D23,'5.0'!$V:$V),0)</f>
        <v>0</v>
      </c>
      <c r="S23" s="720">
        <f>ROUND(SUMIF('6.0'!$D:$D,T_BS!D23,'6.0'!$V:$V),0)</f>
        <v>0</v>
      </c>
      <c r="T23" s="720">
        <f>ROUND(SUMIF('7.0'!$D:$D,T_BS!D23,'7.0'!$V:$V),0)</f>
        <v>0</v>
      </c>
      <c r="U23" s="720">
        <f>ROUND(SUMIF('8.0'!$D:$D,T_BS!D23,'8.0'!$H:$H),0)</f>
        <v>0</v>
      </c>
      <c r="V23" s="510">
        <f t="shared" si="9"/>
        <v>0</v>
      </c>
      <c r="X23" s="1647">
        <f t="shared" si="10"/>
        <v>0</v>
      </c>
      <c r="Z23" s="1622">
        <f t="shared" si="11"/>
        <v>0</v>
      </c>
      <c r="AB23" s="1622">
        <v>0</v>
      </c>
      <c r="AC23" s="1622">
        <v>0</v>
      </c>
      <c r="AD23" s="1622">
        <v>0</v>
      </c>
      <c r="AE23" s="1622">
        <v>0</v>
      </c>
      <c r="AF23" s="1622">
        <v>0</v>
      </c>
      <c r="AG23" s="1622">
        <v>0</v>
      </c>
      <c r="AH23" s="1622">
        <v>0</v>
      </c>
      <c r="AI23" s="1622">
        <v>0</v>
      </c>
      <c r="AJ23" s="1622">
        <v>0</v>
      </c>
      <c r="AK23" s="1622">
        <v>0</v>
      </c>
      <c r="AL23" s="1622">
        <v>0</v>
      </c>
      <c r="AN23" s="498"/>
    </row>
    <row r="24" spans="1:40" s="1659" customFormat="1" ht="18" customHeight="1">
      <c r="A24" s="575"/>
      <c r="B24" s="1089"/>
      <c r="C24" s="1089"/>
      <c r="D24" s="1676">
        <v>111912</v>
      </c>
      <c r="E24" s="1089" t="s">
        <v>1642</v>
      </c>
      <c r="F24" s="1677"/>
      <c r="G24" s="1089" t="s">
        <v>2395</v>
      </c>
      <c r="H24" s="498">
        <v>0</v>
      </c>
      <c r="I24" s="498">
        <v>0</v>
      </c>
      <c r="J24" s="710">
        <v>0</v>
      </c>
      <c r="K24" s="710">
        <v>0</v>
      </c>
      <c r="L24" s="1646">
        <f t="shared" si="8"/>
        <v>0</v>
      </c>
      <c r="N24" s="1642">
        <f>SUMIF('1.0'!$D:$D,T_BS!D24,'1.0'!$V:$V)</f>
        <v>0</v>
      </c>
      <c r="O24" s="925">
        <f>SUMIF('2.0'!$D:$D,T_BS!D24,'2.0'!$V:$V)</f>
        <v>0</v>
      </c>
      <c r="P24" s="925">
        <f>ROUND(SUMIF('3.0'!$D:$D,T_BS!D24,'3.0'!$H:$H),0)</f>
        <v>0</v>
      </c>
      <c r="Q24" s="1119">
        <f>ROUND(SUMIF('4.0'!$D:$D,T_BS!D24,'4.0'!$V:$V),0)</f>
        <v>0</v>
      </c>
      <c r="R24" s="925">
        <f>ROUND(SUMIF('5.0'!$D:$D,T_BS!D24,'5.0'!$V:$V),0)</f>
        <v>0</v>
      </c>
      <c r="S24" s="1119">
        <f>ROUND(SUMIF('6.0'!$D:$D,T_BS!D24,'6.0'!$V:$V),0)</f>
        <v>0</v>
      </c>
      <c r="T24" s="1119">
        <f>ROUND(SUMIF('7.0'!$D:$D,T_BS!D24,'7.0'!$V:$V),0)</f>
        <v>0</v>
      </c>
      <c r="U24" s="1119">
        <f>ROUND(SUMIF('8.0'!$D:$D,T_BS!D24,'8.0'!$H:$H),0)</f>
        <v>0</v>
      </c>
      <c r="V24" s="1646">
        <f>SUM(N24:U24)</f>
        <v>0</v>
      </c>
      <c r="X24" s="1647">
        <f t="shared" si="10"/>
        <v>0</v>
      </c>
      <c r="Z24" s="1622">
        <f t="shared" si="11"/>
        <v>0</v>
      </c>
      <c r="AB24" s="1647">
        <v>0</v>
      </c>
      <c r="AC24" s="1647">
        <v>0</v>
      </c>
      <c r="AD24" s="1647">
        <v>0</v>
      </c>
      <c r="AE24" s="1647">
        <v>0</v>
      </c>
      <c r="AF24" s="1647">
        <v>0</v>
      </c>
      <c r="AG24" s="1647">
        <v>0</v>
      </c>
      <c r="AH24" s="1647">
        <v>0</v>
      </c>
      <c r="AI24" s="1647">
        <v>0</v>
      </c>
      <c r="AJ24" s="1647">
        <v>0</v>
      </c>
      <c r="AK24" s="1647">
        <v>0</v>
      </c>
      <c r="AL24" s="1647">
        <v>0</v>
      </c>
      <c r="AN24" s="498"/>
    </row>
    <row r="25" spans="1:40" ht="18" customHeight="1">
      <c r="A25" s="498"/>
      <c r="B25" s="1367"/>
      <c r="D25" s="1630" t="s">
        <v>1688</v>
      </c>
      <c r="E25" s="1552" t="s">
        <v>1642</v>
      </c>
      <c r="F25" s="1366">
        <v>1221</v>
      </c>
      <c r="G25" s="1364" t="s">
        <v>1548</v>
      </c>
      <c r="H25" s="498">
        <v>0</v>
      </c>
      <c r="I25" s="498">
        <v>0</v>
      </c>
      <c r="J25" s="710">
        <v>0</v>
      </c>
      <c r="K25" s="710">
        <v>0</v>
      </c>
      <c r="L25" s="510">
        <f t="shared" si="8"/>
        <v>0</v>
      </c>
      <c r="N25" s="1673">
        <f>SUMIF('1.0'!$D:$D,T_BS!D25,'1.0'!$V:$V)</f>
        <v>0</v>
      </c>
      <c r="O25" s="710">
        <f>SUMIF('2.0'!$D:$D,T_BS!D25,'2.0'!$V:$V)</f>
        <v>0</v>
      </c>
      <c r="P25" s="509">
        <f>ROUND(SUMIF('3.0'!$D:$D,T_BS!D25,'3.0'!$H:$H),0)</f>
        <v>0</v>
      </c>
      <c r="Q25" s="720">
        <f>ROUND(SUMIF('4.0'!$D:$D,T_BS!D25,'4.0'!$V:$V),0)</f>
        <v>0</v>
      </c>
      <c r="R25" s="509">
        <f>ROUND(SUMIF('5.0'!$D:$D,T_BS!D25,'5.0'!$V:$V),0)</f>
        <v>0</v>
      </c>
      <c r="S25" s="720">
        <f>ROUND(SUMIF('6.0'!$D:$D,T_BS!D25,'6.0'!$V:$V),0)</f>
        <v>0</v>
      </c>
      <c r="T25" s="720">
        <f>ROUND(SUMIF('7.0'!$D:$D,T_BS!D25,'7.0'!$V:$V),0)</f>
        <v>0</v>
      </c>
      <c r="U25" s="720">
        <f>ROUND(SUMIF('8.0'!$D:$D,T_BS!D25,'8.0'!$H:$H),0)</f>
        <v>0</v>
      </c>
      <c r="V25" s="510">
        <f t="shared" si="9"/>
        <v>0</v>
      </c>
      <c r="X25" s="1647">
        <f t="shared" si="10"/>
        <v>0</v>
      </c>
      <c r="Z25" s="1622">
        <f t="shared" si="11"/>
        <v>0</v>
      </c>
      <c r="AB25" s="1622">
        <v>0</v>
      </c>
      <c r="AC25" s="1622">
        <v>0</v>
      </c>
      <c r="AD25" s="1622">
        <v>0</v>
      </c>
      <c r="AE25" s="1622">
        <v>0</v>
      </c>
      <c r="AF25" s="1622">
        <v>0</v>
      </c>
      <c r="AG25" s="1622">
        <v>0</v>
      </c>
      <c r="AH25" s="1622">
        <v>0</v>
      </c>
      <c r="AI25" s="1622">
        <v>0</v>
      </c>
      <c r="AJ25" s="1622">
        <v>0</v>
      </c>
      <c r="AK25" s="1622">
        <v>0</v>
      </c>
      <c r="AL25" s="1622">
        <v>0</v>
      </c>
      <c r="AN25" s="498"/>
    </row>
    <row r="26" spans="1:40" ht="18" customHeight="1">
      <c r="A26" s="498"/>
      <c r="D26" s="1630">
        <v>112111</v>
      </c>
      <c r="E26" s="1552" t="s">
        <v>1642</v>
      </c>
      <c r="F26" s="1366">
        <v>1208</v>
      </c>
      <c r="G26" s="1364" t="s">
        <v>32</v>
      </c>
      <c r="H26" s="498">
        <v>7186314941</v>
      </c>
      <c r="I26" s="498">
        <v>0</v>
      </c>
      <c r="J26" s="710">
        <v>9173356</v>
      </c>
      <c r="K26" s="710">
        <v>582039</v>
      </c>
      <c r="L26" s="510">
        <f t="shared" si="8"/>
        <v>7196070336</v>
      </c>
      <c r="N26" s="1673">
        <f>SUMIF('1.0'!$D:$D,T_BS!D26,'1.0'!$V:$V)</f>
        <v>0</v>
      </c>
      <c r="O26" s="710">
        <f>SUMIF('2.0'!$D:$D,T_BS!D26,'2.0'!$V:$V)</f>
        <v>0</v>
      </c>
      <c r="P26" s="509">
        <f>ROUND(SUMIF('3.0'!$D:$D,T_BS!D26,'3.0'!$H:$H),0)</f>
        <v>0</v>
      </c>
      <c r="Q26" s="720">
        <f>ROUND(SUMIF('4.0'!$D:$D,T_BS!D26,'4.0'!$V:$V),0)</f>
        <v>0</v>
      </c>
      <c r="R26" s="509">
        <f>ROUND(SUMIF('5.0'!$D:$D,T_BS!D26,'5.0'!$V:$V),0)</f>
        <v>0</v>
      </c>
      <c r="S26" s="720">
        <f>ROUND(SUMIF('6.0'!$D:$D,T_BS!D26,'6.0'!$V:$V),0)</f>
        <v>0</v>
      </c>
      <c r="T26" s="720">
        <f>ROUND(SUMIF('7.0'!$D:$D,T_BS!D26,'7.0'!$V:$V),0)</f>
        <v>0</v>
      </c>
      <c r="U26" s="720">
        <f>ROUND(SUMIF('8.0'!$D:$D,T_BS!D26,'8.0'!$H:$H),0)</f>
        <v>0</v>
      </c>
      <c r="V26" s="510">
        <f t="shared" si="9"/>
        <v>0</v>
      </c>
      <c r="X26" s="1647">
        <f t="shared" si="10"/>
        <v>7196070336</v>
      </c>
      <c r="Z26" s="1622">
        <f t="shared" si="11"/>
        <v>956303721</v>
      </c>
      <c r="AB26" s="1622">
        <v>7696502604</v>
      </c>
      <c r="AC26" s="1622">
        <v>5316929680</v>
      </c>
      <c r="AD26" s="1622">
        <v>6114757932</v>
      </c>
      <c r="AE26" s="1622">
        <v>4351108217</v>
      </c>
      <c r="AF26" s="1622">
        <v>6668905170</v>
      </c>
      <c r="AG26" s="1622">
        <v>6239766615</v>
      </c>
      <c r="AH26" s="1622">
        <v>3900056103</v>
      </c>
      <c r="AI26" s="1622">
        <v>4540533708</v>
      </c>
      <c r="AJ26" s="1622">
        <v>4373239077</v>
      </c>
      <c r="AK26" s="1622">
        <v>4085061117</v>
      </c>
      <c r="AL26" s="1622">
        <v>6350328880</v>
      </c>
      <c r="AN26" s="498"/>
    </row>
    <row r="27" spans="1:40" ht="18" customHeight="1">
      <c r="A27" s="498"/>
      <c r="D27" s="1630">
        <v>112113</v>
      </c>
      <c r="E27" s="1552" t="s">
        <v>1642</v>
      </c>
      <c r="F27" s="1366">
        <v>1208</v>
      </c>
      <c r="G27" s="1364" t="s">
        <v>33</v>
      </c>
      <c r="H27" s="498">
        <v>0</v>
      </c>
      <c r="I27" s="498">
        <v>0</v>
      </c>
      <c r="J27" s="710">
        <v>0</v>
      </c>
      <c r="K27" s="710">
        <v>0</v>
      </c>
      <c r="L27" s="510">
        <f t="shared" si="8"/>
        <v>0</v>
      </c>
      <c r="N27" s="1673">
        <f>SUMIF('1.0'!$D:$D,T_BS!D27,'1.0'!$V:$V)</f>
        <v>0</v>
      </c>
      <c r="O27" s="710">
        <f>SUMIF('2.0'!$D:$D,T_BS!D27,'2.0'!$V:$V)</f>
        <v>0</v>
      </c>
      <c r="P27" s="509">
        <f>ROUND(SUMIF('3.0'!$D:$D,T_BS!D27,'3.0'!$H:$H),0)</f>
        <v>0</v>
      </c>
      <c r="Q27" s="720">
        <f>ROUND(SUMIF('4.0'!$D:$D,T_BS!D27,'4.0'!$V:$V),0)</f>
        <v>0</v>
      </c>
      <c r="R27" s="509">
        <f>ROUND(SUMIF('5.0'!$D:$D,T_BS!D27,'5.0'!$V:$V),0)</f>
        <v>0</v>
      </c>
      <c r="S27" s="720">
        <f>ROUND(SUMIF('6.0'!$D:$D,T_BS!D27,'6.0'!$V:$V),0)</f>
        <v>0</v>
      </c>
      <c r="T27" s="720">
        <f>ROUND(SUMIF('7.0'!$D:$D,T_BS!D27,'7.0'!$V:$V),0)</f>
        <v>0</v>
      </c>
      <c r="U27" s="720">
        <f>ROUND(SUMIF('8.0'!$D:$D,T_BS!D27,'8.0'!$H:$H),0)</f>
        <v>0</v>
      </c>
      <c r="V27" s="510">
        <f t="shared" si="9"/>
        <v>0</v>
      </c>
      <c r="X27" s="1647">
        <f t="shared" si="10"/>
        <v>0</v>
      </c>
      <c r="Z27" s="1622">
        <f t="shared" si="11"/>
        <v>-15662657</v>
      </c>
      <c r="AB27" s="1622">
        <v>0</v>
      </c>
      <c r="AC27" s="1622">
        <v>0</v>
      </c>
      <c r="AD27" s="1622">
        <v>91280</v>
      </c>
      <c r="AE27" s="1622">
        <v>0</v>
      </c>
      <c r="AF27" s="1622">
        <v>5130483</v>
      </c>
      <c r="AG27" s="1622">
        <v>15662657</v>
      </c>
      <c r="AH27" s="1622">
        <v>34932557</v>
      </c>
      <c r="AI27" s="1622">
        <v>62829448</v>
      </c>
      <c r="AJ27" s="1622">
        <v>150141841</v>
      </c>
      <c r="AK27" s="1622">
        <v>276944401</v>
      </c>
      <c r="AL27" s="1622">
        <v>306733899</v>
      </c>
      <c r="AN27" s="498"/>
    </row>
    <row r="28" spans="1:40" ht="18" customHeight="1">
      <c r="A28" s="498"/>
      <c r="D28" s="1598">
        <v>112115</v>
      </c>
      <c r="E28" s="1364" t="s">
        <v>1642</v>
      </c>
      <c r="F28" s="1366">
        <v>1208</v>
      </c>
      <c r="G28" s="1364" t="s">
        <v>34</v>
      </c>
      <c r="H28" s="498">
        <v>3498305652</v>
      </c>
      <c r="I28" s="498">
        <v>0</v>
      </c>
      <c r="J28" s="710">
        <v>0</v>
      </c>
      <c r="K28" s="710">
        <v>0</v>
      </c>
      <c r="L28" s="510">
        <f t="shared" si="8"/>
        <v>3498305652</v>
      </c>
      <c r="N28" s="1673">
        <f>SUMIF('1.0'!$D:$D,T_BS!D28,'1.0'!$V:$V)</f>
        <v>0</v>
      </c>
      <c r="O28" s="710">
        <f>SUMIF('2.0'!$D:$D,T_BS!D28,'2.0'!$V:$V)</f>
        <v>0</v>
      </c>
      <c r="P28" s="509">
        <f>ROUND(SUMIF('3.0'!$D:$D,T_BS!D28,'3.0'!$H:$H),0)</f>
        <v>0</v>
      </c>
      <c r="Q28" s="720">
        <f>ROUND(SUMIF('4.0'!$D:$D,T_BS!D28,'4.0'!$V:$V),0)</f>
        <v>0</v>
      </c>
      <c r="R28" s="509">
        <f>ROUND(SUMIF('5.0'!$D:$D,T_BS!D28,'5.0'!$V:$V),0)</f>
        <v>0</v>
      </c>
      <c r="S28" s="720">
        <f>ROUND(SUMIF('6.0'!$D:$D,T_BS!D28,'6.0'!$V:$V),0)</f>
        <v>0</v>
      </c>
      <c r="T28" s="720">
        <f>ROUND(SUMIF('7.0'!$D:$D,T_BS!D28,'7.0'!$V:$V),0)</f>
        <v>0</v>
      </c>
      <c r="U28" s="720">
        <f>ROUND(SUMIF('8.0'!$D:$D,T_BS!D28,'8.0'!$H:$H),0)</f>
        <v>0</v>
      </c>
      <c r="V28" s="510">
        <f t="shared" si="9"/>
        <v>0</v>
      </c>
      <c r="X28" s="1647">
        <f t="shared" si="10"/>
        <v>3498305652</v>
      </c>
      <c r="Z28" s="1622">
        <f t="shared" si="11"/>
        <v>-931058138</v>
      </c>
      <c r="AB28" s="1622">
        <v>3498305652</v>
      </c>
      <c r="AC28" s="1622">
        <v>3599000000</v>
      </c>
      <c r="AD28" s="1622">
        <v>3599000000</v>
      </c>
      <c r="AE28" s="1622">
        <v>4299000000</v>
      </c>
      <c r="AF28" s="1622">
        <v>4299000000</v>
      </c>
      <c r="AG28" s="1622">
        <v>4429363790</v>
      </c>
      <c r="AH28" s="1622">
        <v>4594000000</v>
      </c>
      <c r="AI28" s="1622">
        <v>4594000000</v>
      </c>
      <c r="AJ28" s="1622">
        <v>4594000000</v>
      </c>
      <c r="AK28" s="1622">
        <v>4594000000</v>
      </c>
      <c r="AL28" s="1622">
        <v>4594000000</v>
      </c>
      <c r="AN28" s="498"/>
    </row>
    <row r="29" spans="1:40" ht="18" customHeight="1">
      <c r="A29" s="498"/>
      <c r="D29" s="1598" t="s">
        <v>1746</v>
      </c>
      <c r="E29" s="1364" t="s">
        <v>1642</v>
      </c>
      <c r="F29" s="1366">
        <v>1209</v>
      </c>
      <c r="G29" s="1364" t="s">
        <v>2322</v>
      </c>
      <c r="H29" s="498">
        <v>-3498305652</v>
      </c>
      <c r="I29" s="498">
        <v>0</v>
      </c>
      <c r="J29" s="710">
        <v>0</v>
      </c>
      <c r="K29" s="710">
        <v>0</v>
      </c>
      <c r="L29" s="510">
        <f t="shared" si="8"/>
        <v>-3498305652</v>
      </c>
      <c r="N29" s="1673">
        <f>SUMIF('1.0'!$D:$D,T_BS!D29,'1.0'!$V:$V)</f>
        <v>0</v>
      </c>
      <c r="O29" s="710">
        <f>SUMIF('2.0'!$D:$D,T_BS!D29,'2.0'!$V:$V)</f>
        <v>0</v>
      </c>
      <c r="P29" s="509">
        <f>ROUND(SUMIF('3.0'!$D:$D,T_BS!D29,'3.0'!$H:$H),0)</f>
        <v>0</v>
      </c>
      <c r="Q29" s="720">
        <f>ROUND(SUMIF('4.0'!$D:$D,T_BS!D29,'4.0'!$V:$V),0)</f>
        <v>0</v>
      </c>
      <c r="R29" s="509">
        <f>ROUND(SUMIF('5.0'!$D:$D,T_BS!D29,'5.0'!$V:$V),0)</f>
        <v>0</v>
      </c>
      <c r="S29" s="720">
        <f>ROUND(SUMIF('6.0'!$D:$D,T_BS!D29,'6.0'!$V:$V),0)</f>
        <v>0</v>
      </c>
      <c r="T29" s="720">
        <f>ROUND(SUMIF('7.0'!$D:$D,T_BS!D29,'7.0'!$V:$V),0)</f>
        <v>0</v>
      </c>
      <c r="U29" s="720">
        <f>ROUND(SUMIF('8.0'!$D:$D,T_BS!D29,'8.0'!$H:$H),0)</f>
        <v>0</v>
      </c>
      <c r="V29" s="510">
        <f>SUM(N29:U29)</f>
        <v>0</v>
      </c>
      <c r="X29" s="1647">
        <f t="shared" si="10"/>
        <v>-3498305652</v>
      </c>
      <c r="Z29" s="1622">
        <f t="shared" si="11"/>
        <v>815694348</v>
      </c>
      <c r="AB29" s="1622">
        <v>-3498305652</v>
      </c>
      <c r="AC29" s="1622">
        <v>-3599000000</v>
      </c>
      <c r="AD29" s="1622">
        <v>-3599000000</v>
      </c>
      <c r="AE29" s="1622">
        <v>-4299000000</v>
      </c>
      <c r="AF29" s="1622">
        <v>-4299000000</v>
      </c>
      <c r="AG29" s="1622">
        <v>-4314000000</v>
      </c>
      <c r="AH29" s="1622">
        <v>-4200000000</v>
      </c>
      <c r="AI29" s="1622">
        <v>-4723004174</v>
      </c>
      <c r="AJ29" s="1622">
        <v>-4200000000</v>
      </c>
      <c r="AK29" s="1622">
        <v>-4200000000</v>
      </c>
      <c r="AL29" s="1622">
        <v>-4200000000</v>
      </c>
      <c r="AN29" s="498"/>
    </row>
    <row r="30" spans="1:40" ht="18" customHeight="1">
      <c r="A30" s="498"/>
      <c r="D30" s="1598">
        <v>112116</v>
      </c>
      <c r="E30" s="1364" t="s">
        <v>1642</v>
      </c>
      <c r="F30" s="1366">
        <v>1208</v>
      </c>
      <c r="G30" s="1364" t="s">
        <v>35</v>
      </c>
      <c r="H30" s="498">
        <v>0</v>
      </c>
      <c r="I30" s="498">
        <v>0</v>
      </c>
      <c r="J30" s="710">
        <v>0</v>
      </c>
      <c r="K30" s="710">
        <v>0</v>
      </c>
      <c r="L30" s="510">
        <f t="shared" si="8"/>
        <v>0</v>
      </c>
      <c r="N30" s="1673">
        <f>SUMIF('1.0'!$D:$D,T_BS!D30,'1.0'!$V:$V)</f>
        <v>0</v>
      </c>
      <c r="O30" s="710">
        <f>SUMIF('2.0'!$D:$D,T_BS!D30,'2.0'!$V:$V)</f>
        <v>0</v>
      </c>
      <c r="P30" s="509">
        <f>ROUND(SUMIF('3.0'!$D:$D,T_BS!D30,'3.0'!$H:$H),0)</f>
        <v>0</v>
      </c>
      <c r="Q30" s="720">
        <f>ROUND(SUMIF('4.0'!$D:$D,T_BS!D30,'4.0'!$V:$V),0)</f>
        <v>0</v>
      </c>
      <c r="R30" s="509">
        <f>ROUND(SUMIF('5.0'!$D:$D,T_BS!D30,'5.0'!$V:$V),0)</f>
        <v>0</v>
      </c>
      <c r="S30" s="720">
        <f>ROUND(SUMIF('6.0'!$D:$D,T_BS!D30,'6.0'!$V:$V),0)</f>
        <v>0</v>
      </c>
      <c r="T30" s="720">
        <f>ROUND(SUMIF('7.0'!$D:$D,T_BS!D30,'7.0'!$V:$V),0)</f>
        <v>0</v>
      </c>
      <c r="U30" s="720">
        <f>ROUND(SUMIF('8.0'!$D:$D,T_BS!D30,'8.0'!$H:$H),0)</f>
        <v>0</v>
      </c>
      <c r="V30" s="510">
        <f>SUM(N30:U30)</f>
        <v>0</v>
      </c>
      <c r="X30" s="1647">
        <f t="shared" si="10"/>
        <v>0</v>
      </c>
      <c r="Z30" s="1622">
        <f t="shared" si="11"/>
        <v>0</v>
      </c>
      <c r="AB30" s="1622">
        <v>0</v>
      </c>
      <c r="AC30" s="1622">
        <v>0</v>
      </c>
      <c r="AD30" s="1622">
        <v>0</v>
      </c>
      <c r="AE30" s="1622">
        <v>0</v>
      </c>
      <c r="AF30" s="1622">
        <v>0</v>
      </c>
      <c r="AG30" s="1622">
        <v>0</v>
      </c>
      <c r="AH30" s="1622">
        <v>0</v>
      </c>
      <c r="AI30" s="1622">
        <v>0</v>
      </c>
      <c r="AJ30" s="1622">
        <v>0</v>
      </c>
      <c r="AK30" s="1622">
        <v>0</v>
      </c>
      <c r="AL30" s="1622">
        <v>0</v>
      </c>
      <c r="AN30" s="498"/>
    </row>
    <row r="31" spans="1:40" s="1674" customFormat="1" ht="18" customHeight="1">
      <c r="A31" s="543"/>
      <c r="B31" s="1552"/>
      <c r="C31" s="1552"/>
      <c r="D31" s="1630">
        <v>112540</v>
      </c>
      <c r="E31" s="1552" t="s">
        <v>1642</v>
      </c>
      <c r="F31" s="1631">
        <v>1208</v>
      </c>
      <c r="G31" s="1552" t="s">
        <v>1781</v>
      </c>
      <c r="H31" s="498">
        <v>17636598854</v>
      </c>
      <c r="I31" s="498">
        <v>0</v>
      </c>
      <c r="J31" s="710">
        <v>0</v>
      </c>
      <c r="K31" s="710">
        <v>0</v>
      </c>
      <c r="L31" s="1678">
        <f t="shared" si="8"/>
        <v>17636598854</v>
      </c>
      <c r="M31" s="1659"/>
      <c r="N31" s="1673">
        <f>SUMIF('1.0'!$D:$D,T_BS!D31,'1.0'!$V:$V)</f>
        <v>0</v>
      </c>
      <c r="O31" s="710">
        <f>SUMIF('2.0'!$D:$D,T_BS!D31,'2.0'!$V:$V)</f>
        <v>0</v>
      </c>
      <c r="P31" s="710">
        <f>ROUND(SUMIF('3.0'!$D:$D,T_BS!D31,'3.0'!$H:$H),0)</f>
        <v>0</v>
      </c>
      <c r="Q31" s="720">
        <f>ROUND(SUMIF('4.0'!$D:$D,T_BS!D31,'4.0'!$V:$V),0)</f>
        <v>0</v>
      </c>
      <c r="R31" s="710">
        <f>ROUND(SUMIF('5.0'!$D:$D,T_BS!D31,'5.0'!$V:$V),0)</f>
        <v>0</v>
      </c>
      <c r="S31" s="720">
        <f>ROUND(SUMIF('6.0'!$D:$D,T_BS!D31,'6.0'!$V:$V),0)</f>
        <v>0</v>
      </c>
      <c r="T31" s="720">
        <f>ROUND(SUMIF('7.0'!$D:$D,T_BS!D31,'7.0'!$V:$V),0)</f>
        <v>0</v>
      </c>
      <c r="U31" s="720">
        <f>ROUND(SUMIF('8.0'!$D:$D,T_BS!D31,'8.0'!$H:$H),0)</f>
        <v>0</v>
      </c>
      <c r="V31" s="1678">
        <f>SUM(N31:U31)</f>
        <v>0</v>
      </c>
      <c r="W31" s="1659"/>
      <c r="X31" s="1647">
        <f t="shared" si="10"/>
        <v>17636598854</v>
      </c>
      <c r="Y31" s="1659"/>
      <c r="Z31" s="1622">
        <f t="shared" si="11"/>
        <v>-1629828826</v>
      </c>
      <c r="AA31" s="1659"/>
      <c r="AB31" s="1622">
        <v>17392506698</v>
      </c>
      <c r="AC31" s="1622">
        <v>17550285224</v>
      </c>
      <c r="AD31" s="1622">
        <v>17950774152</v>
      </c>
      <c r="AE31" s="1622">
        <v>18427738490</v>
      </c>
      <c r="AF31" s="1622">
        <v>18233577220</v>
      </c>
      <c r="AG31" s="1622">
        <v>19266427680</v>
      </c>
      <c r="AH31" s="1622">
        <v>19843231551</v>
      </c>
      <c r="AI31" s="1622">
        <v>20091179792</v>
      </c>
      <c r="AJ31" s="1622">
        <v>12073035950</v>
      </c>
      <c r="AK31" s="1622">
        <v>10611496545</v>
      </c>
      <c r="AL31" s="1622">
        <v>11873580780</v>
      </c>
      <c r="AN31" s="498"/>
    </row>
    <row r="32" spans="1:40" s="1659" customFormat="1" ht="18" customHeight="1">
      <c r="A32" s="575"/>
      <c r="B32" s="1644"/>
      <c r="C32" s="1089"/>
      <c r="D32" s="1676">
        <v>112541</v>
      </c>
      <c r="E32" s="1089" t="s">
        <v>1642</v>
      </c>
      <c r="F32" s="1680">
        <v>1209</v>
      </c>
      <c r="G32" s="1089" t="s">
        <v>2319</v>
      </c>
      <c r="H32" s="498">
        <v>-1045195899</v>
      </c>
      <c r="I32" s="498">
        <v>0</v>
      </c>
      <c r="J32" s="710">
        <v>0</v>
      </c>
      <c r="K32" s="710">
        <v>0</v>
      </c>
      <c r="L32" s="1646">
        <f t="shared" si="8"/>
        <v>-1045195899</v>
      </c>
      <c r="N32" s="1642">
        <f>SUMIF('1.0'!$D:$D,T_BS!D32,'1.0'!$V:$V)</f>
        <v>0</v>
      </c>
      <c r="O32" s="925">
        <f>SUMIF('2.0'!$D:$D,T_BS!D32,'2.0'!$V:$V)</f>
        <v>0</v>
      </c>
      <c r="P32" s="925">
        <f>ROUND(SUMIF('3.0'!$D:$D,T_BS!D32,'3.0'!$H:$H),0)</f>
        <v>0</v>
      </c>
      <c r="Q32" s="1119">
        <f>ROUND(SUMIF('4.0'!$D:$D,T_BS!D32,'4.0'!$V:$V),0)</f>
        <v>0</v>
      </c>
      <c r="R32" s="925">
        <f>ROUND(SUMIF('5.0'!$D:$D,T_BS!D32,'5.0'!$V:$V),0)</f>
        <v>0</v>
      </c>
      <c r="S32" s="1119">
        <f>ROUND(SUMIF('6.0'!$D:$D,T_BS!D32,'6.0'!$V:$V),0)</f>
        <v>0</v>
      </c>
      <c r="T32" s="720">
        <f>ROUND(SUMIF('7.0'!$D:$D,T_BS!D32,'7.0'!$V:$V),0)</f>
        <v>0</v>
      </c>
      <c r="U32" s="1119">
        <f>ROUND(SUMIF('8.0'!$D:$D,T_BS!D32,'8.0'!$H:$H),0)</f>
        <v>0</v>
      </c>
      <c r="V32" s="1646">
        <f>SUM(N32:U32)</f>
        <v>0</v>
      </c>
      <c r="X32" s="1647">
        <f t="shared" si="10"/>
        <v>-1045195899</v>
      </c>
      <c r="Z32" s="1622">
        <f t="shared" si="11"/>
        <v>804323</v>
      </c>
      <c r="AB32" s="1647">
        <v>-1045195899</v>
      </c>
      <c r="AC32" s="1647">
        <v>-1045195899</v>
      </c>
      <c r="AD32" s="1647">
        <v>-1045195899</v>
      </c>
      <c r="AE32" s="1647">
        <v>-1045195899</v>
      </c>
      <c r="AF32" s="1647">
        <v>-1045367744</v>
      </c>
      <c r="AG32" s="1647">
        <v>-1046000222</v>
      </c>
      <c r="AH32" s="1647">
        <v>-523004174</v>
      </c>
      <c r="AI32" s="1647">
        <v>0</v>
      </c>
      <c r="AJ32" s="1647">
        <v>0</v>
      </c>
      <c r="AK32" s="1647">
        <v>0</v>
      </c>
      <c r="AL32" s="1647">
        <v>0</v>
      </c>
      <c r="AN32" s="498"/>
    </row>
    <row r="33" spans="1:40" ht="18" customHeight="1">
      <c r="A33" s="498"/>
      <c r="B33" s="1364" t="s">
        <v>1825</v>
      </c>
      <c r="D33" s="1598">
        <v>112300</v>
      </c>
      <c r="E33" s="1552" t="s">
        <v>1642</v>
      </c>
      <c r="F33" s="1366">
        <v>1212</v>
      </c>
      <c r="G33" s="1364" t="s">
        <v>1823</v>
      </c>
      <c r="H33" s="498">
        <v>312716165</v>
      </c>
      <c r="I33" s="498">
        <v>0</v>
      </c>
      <c r="J33" s="710">
        <v>0</v>
      </c>
      <c r="K33" s="710">
        <v>0</v>
      </c>
      <c r="L33" s="510">
        <f t="shared" si="8"/>
        <v>312716165</v>
      </c>
      <c r="N33" s="1673">
        <f>SUMIF('1.0'!$D:$D,T_BS!D33,'1.0'!$V:$V)</f>
        <v>0</v>
      </c>
      <c r="O33" s="710">
        <f>SUMIF('2.0'!$D:$D,T_BS!D33,'2.0'!$V:$V)</f>
        <v>0</v>
      </c>
      <c r="P33" s="509">
        <f>ROUND(SUMIF('3.0'!$D:$D,T_BS!D33,'3.0'!$H:$H),0)</f>
        <v>0</v>
      </c>
      <c r="Q33" s="720">
        <f>ROUND(SUMIF('4.0'!$D:$D,T_BS!D33,'4.0'!$V:$V),0)</f>
        <v>0</v>
      </c>
      <c r="R33" s="509">
        <f>ROUND(SUMIF('5.0'!$D:$D,T_BS!D33,'5.0'!$V:$V),0)</f>
        <v>0</v>
      </c>
      <c r="S33" s="720">
        <f>ROUND(SUMIF('6.0'!$D:$D,T_BS!D33,'6.0'!$V:$V),0)</f>
        <v>0</v>
      </c>
      <c r="T33" s="720">
        <f>ROUND(SUMIF('7.0'!$D:$D,T_BS!D33,'7.0'!$V:$V),0)</f>
        <v>0</v>
      </c>
      <c r="U33" s="720">
        <f>ROUND(SUMIF('8.0'!$D:$D,T_BS!D33,'8.0'!$H:$H),0)</f>
        <v>0</v>
      </c>
      <c r="V33" s="510">
        <f t="shared" si="9"/>
        <v>0</v>
      </c>
      <c r="X33" s="1647">
        <f t="shared" si="10"/>
        <v>312716165</v>
      </c>
      <c r="Z33" s="1622">
        <f t="shared" si="11"/>
        <v>206238083</v>
      </c>
      <c r="AB33" s="1622">
        <v>349197810</v>
      </c>
      <c r="AC33" s="1622">
        <v>285030684</v>
      </c>
      <c r="AD33" s="1622">
        <v>248104110</v>
      </c>
      <c r="AE33" s="1622">
        <v>127306849</v>
      </c>
      <c r="AF33" s="1622">
        <v>88942465</v>
      </c>
      <c r="AG33" s="1622">
        <v>106478082</v>
      </c>
      <c r="AH33" s="1622">
        <v>81999998</v>
      </c>
      <c r="AI33" s="1622">
        <v>13441097</v>
      </c>
      <c r="AJ33" s="1622">
        <v>39671232</v>
      </c>
      <c r="AK33" s="1622">
        <v>14584341</v>
      </c>
      <c r="AL33" s="1622">
        <v>6040983</v>
      </c>
      <c r="AN33" s="498"/>
    </row>
    <row r="34" spans="1:40" s="1659" customFormat="1" ht="18" customHeight="1">
      <c r="A34" s="575"/>
      <c r="B34" s="1089"/>
      <c r="C34" s="1089"/>
      <c r="D34" s="1676">
        <v>112301</v>
      </c>
      <c r="E34" s="1089" t="s">
        <v>1642</v>
      </c>
      <c r="F34" s="1677"/>
      <c r="G34" s="1089" t="s">
        <v>2396</v>
      </c>
      <c r="H34" s="498">
        <v>0</v>
      </c>
      <c r="I34" s="498">
        <v>0</v>
      </c>
      <c r="J34" s="710">
        <v>0</v>
      </c>
      <c r="K34" s="710">
        <v>0</v>
      </c>
      <c r="L34" s="1646">
        <f t="shared" si="8"/>
        <v>0</v>
      </c>
      <c r="N34" s="1642">
        <f>SUMIF('1.0'!$D:$D,T_BS!D34,'1.0'!$V:$V)</f>
        <v>0</v>
      </c>
      <c r="O34" s="925">
        <f>SUMIF('2.0'!$D:$D,T_BS!D34,'2.0'!$V:$V)</f>
        <v>0</v>
      </c>
      <c r="P34" s="925">
        <f>ROUND(SUMIF('3.0'!$D:$D,T_BS!D34,'3.0'!$H:$H),0)</f>
        <v>0</v>
      </c>
      <c r="Q34" s="1119">
        <f>ROUND(SUMIF('4.0'!$D:$D,T_BS!D34,'4.0'!$V:$V),0)</f>
        <v>0</v>
      </c>
      <c r="R34" s="925">
        <f>ROUND(SUMIF('5.0'!$D:$D,T_BS!D34,'5.0'!$V:$V),0)</f>
        <v>0</v>
      </c>
      <c r="S34" s="1119">
        <f>ROUND(SUMIF('6.0'!$D:$D,T_BS!D34,'6.0'!$V:$V),0)</f>
        <v>0</v>
      </c>
      <c r="T34" s="1119">
        <f>ROUND(SUMIF('7.0'!$D:$D,T_BS!D34,'7.0'!$V:$V),0)</f>
        <v>0</v>
      </c>
      <c r="U34" s="1119">
        <f>ROUND(SUMIF('8.0'!$D:$D,T_BS!D34,'8.0'!$H:$H),0)</f>
        <v>0</v>
      </c>
      <c r="V34" s="1646">
        <f>SUM(N34:U34)</f>
        <v>0</v>
      </c>
      <c r="X34" s="1647">
        <f t="shared" si="10"/>
        <v>0</v>
      </c>
      <c r="Z34" s="1622">
        <f t="shared" si="11"/>
        <v>0</v>
      </c>
      <c r="AB34" s="1647">
        <v>0</v>
      </c>
      <c r="AC34" s="1647">
        <v>0</v>
      </c>
      <c r="AD34" s="1647">
        <v>0</v>
      </c>
      <c r="AE34" s="1647">
        <v>0</v>
      </c>
      <c r="AF34" s="1647">
        <v>0</v>
      </c>
      <c r="AG34" s="1647">
        <v>0</v>
      </c>
      <c r="AH34" s="1647">
        <v>81999998</v>
      </c>
      <c r="AI34" s="1647"/>
      <c r="AJ34" s="1647"/>
      <c r="AK34" s="1647"/>
      <c r="AL34" s="1647">
        <v>0</v>
      </c>
      <c r="AN34" s="498"/>
    </row>
    <row r="35" spans="1:40" ht="18" customHeight="1">
      <c r="A35" s="498"/>
      <c r="B35" s="1364" t="s">
        <v>1825</v>
      </c>
      <c r="D35" s="1598">
        <v>112302</v>
      </c>
      <c r="E35" s="1552" t="s">
        <v>1642</v>
      </c>
      <c r="F35" s="1366">
        <v>1212</v>
      </c>
      <c r="G35" s="1364" t="s">
        <v>1824</v>
      </c>
      <c r="H35" s="498">
        <v>0</v>
      </c>
      <c r="I35" s="498">
        <v>0</v>
      </c>
      <c r="J35" s="710">
        <v>0</v>
      </c>
      <c r="K35" s="710">
        <v>0</v>
      </c>
      <c r="L35" s="510">
        <f t="shared" si="8"/>
        <v>0</v>
      </c>
      <c r="N35" s="1673">
        <f>SUMIF('1.0'!$D:$D,T_BS!D35,'1.0'!$V:$V)</f>
        <v>0</v>
      </c>
      <c r="O35" s="710">
        <f>SUMIF('2.0'!$D:$D,T_BS!D35,'2.0'!$V:$V)</f>
        <v>0</v>
      </c>
      <c r="P35" s="509">
        <f>ROUND(SUMIF('3.0'!$D:$D,T_BS!D35,'3.0'!$H:$H),0)</f>
        <v>0</v>
      </c>
      <c r="Q35" s="720">
        <f>ROUND(SUMIF('4.0'!$D:$D,T_BS!D35,'4.0'!$V:$V),0)</f>
        <v>0</v>
      </c>
      <c r="R35" s="509">
        <f>ROUND(SUMIF('5.0'!$D:$D,T_BS!D35,'5.0'!$V:$V),0)</f>
        <v>0</v>
      </c>
      <c r="S35" s="720">
        <f>ROUND(SUMIF('6.0'!$D:$D,T_BS!D35,'6.0'!$V:$V),0)</f>
        <v>0</v>
      </c>
      <c r="T35" s="720">
        <f>ROUND(SUMIF('7.0'!$D:$D,T_BS!D35,'7.0'!$V:$V),0)</f>
        <v>0</v>
      </c>
      <c r="U35" s="720">
        <f>ROUND(SUMIF('8.0'!$D:$D,T_BS!D35,'8.0'!$H:$H),0)</f>
        <v>0</v>
      </c>
      <c r="V35" s="510">
        <f>SUM(N35:U35)</f>
        <v>0</v>
      </c>
      <c r="X35" s="1647">
        <f t="shared" si="10"/>
        <v>0</v>
      </c>
      <c r="Z35" s="1622">
        <f t="shared" si="11"/>
        <v>0</v>
      </c>
      <c r="AB35" s="1622">
        <v>0</v>
      </c>
      <c r="AC35" s="1622">
        <v>0</v>
      </c>
      <c r="AD35" s="1622">
        <v>0</v>
      </c>
      <c r="AE35" s="1622">
        <v>0</v>
      </c>
      <c r="AF35" s="1622">
        <v>0</v>
      </c>
      <c r="AG35" s="1622">
        <v>0</v>
      </c>
      <c r="AH35" s="1622">
        <v>0</v>
      </c>
      <c r="AI35" s="1622">
        <v>0</v>
      </c>
      <c r="AJ35" s="1622">
        <v>-1069259</v>
      </c>
      <c r="AK35" s="1622">
        <v>0</v>
      </c>
      <c r="AL35" s="1622">
        <v>0</v>
      </c>
      <c r="AN35" s="498"/>
    </row>
    <row r="36" spans="1:40" ht="18" customHeight="1">
      <c r="A36" s="498"/>
      <c r="D36" s="1598">
        <v>113310</v>
      </c>
      <c r="E36" s="1364" t="s">
        <v>1642</v>
      </c>
      <c r="F36" s="1366">
        <v>1213</v>
      </c>
      <c r="G36" s="1364" t="s">
        <v>37</v>
      </c>
      <c r="H36" s="498">
        <v>1528262000</v>
      </c>
      <c r="I36" s="498">
        <v>0</v>
      </c>
      <c r="J36" s="710">
        <v>0</v>
      </c>
      <c r="K36" s="710">
        <v>0</v>
      </c>
      <c r="L36" s="510">
        <f t="shared" si="8"/>
        <v>1528262000</v>
      </c>
      <c r="N36" s="1673">
        <f>SUMIF('1.0'!$D:$D,T_BS!D36,'1.0'!$V:$V)</f>
        <v>0</v>
      </c>
      <c r="O36" s="710">
        <f>SUMIF('2.0'!$D:$D,T_BS!D36,'2.0'!$V:$V)</f>
        <v>0</v>
      </c>
      <c r="P36" s="509">
        <f>ROUND(SUMIF('3.0'!$D:$D,T_BS!D36,'3.0'!$H:$H),0)</f>
        <v>0</v>
      </c>
      <c r="Q36" s="720">
        <f>ROUND(SUMIF('4.0'!$D:$D,T_BS!D36,'4.0'!$V:$V),0)</f>
        <v>0</v>
      </c>
      <c r="R36" s="509">
        <f>ROUND(SUMIF('5.0'!$D:$D,T_BS!D36,'5.0'!$V:$V),0)</f>
        <v>0</v>
      </c>
      <c r="S36" s="720">
        <f>ROUND(SUMIF('6.0'!$D:$D,T_BS!D36,'6.0'!$V:$V),0)</f>
        <v>0</v>
      </c>
      <c r="T36" s="720">
        <f>ROUND(SUMIF('7.0'!$D:$D,T_BS!D36,'7.0'!$V:$V),0)</f>
        <v>0</v>
      </c>
      <c r="U36" s="720">
        <f>ROUND(SUMIF('8.0'!$D:$D,T_BS!D36,'8.0'!$H:$H),0)</f>
        <v>0</v>
      </c>
      <c r="V36" s="510">
        <f t="shared" si="9"/>
        <v>0</v>
      </c>
      <c r="X36" s="1647">
        <f t="shared" si="10"/>
        <v>1528262000</v>
      </c>
      <c r="Z36" s="1622">
        <f t="shared" si="11"/>
        <v>1328262000</v>
      </c>
      <c r="AB36" s="1622">
        <v>1528262000</v>
      </c>
      <c r="AC36" s="1622">
        <v>428262000</v>
      </c>
      <c r="AD36" s="1622">
        <v>428262000</v>
      </c>
      <c r="AE36" s="1622">
        <v>428262000</v>
      </c>
      <c r="AF36" s="1622">
        <v>628262000</v>
      </c>
      <c r="AG36" s="1622">
        <v>200000000</v>
      </c>
      <c r="AH36" s="1622">
        <v>1300000000</v>
      </c>
      <c r="AI36" s="1622">
        <v>1320000000</v>
      </c>
      <c r="AJ36" s="1622">
        <v>20000000</v>
      </c>
      <c r="AK36" s="1622">
        <v>0</v>
      </c>
      <c r="AL36" s="1622">
        <v>0</v>
      </c>
      <c r="AN36" s="498"/>
    </row>
    <row r="37" spans="1:40" ht="18" customHeight="1">
      <c r="A37" s="498"/>
      <c r="D37" s="1598">
        <v>113320</v>
      </c>
      <c r="E37" s="1364" t="s">
        <v>1642</v>
      </c>
      <c r="F37" s="1366">
        <v>1213</v>
      </c>
      <c r="G37" s="1364" t="s">
        <v>2622</v>
      </c>
      <c r="H37" s="498">
        <v>-63138874</v>
      </c>
      <c r="I37" s="498">
        <v>0</v>
      </c>
      <c r="J37" s="710">
        <v>0</v>
      </c>
      <c r="K37" s="710">
        <v>0</v>
      </c>
      <c r="L37" s="510">
        <f t="shared" si="8"/>
        <v>-63138874</v>
      </c>
      <c r="N37" s="1673">
        <f>SUMIF('1.0'!$D:$D,T_BS!D37,'1.0'!$V:$V)</f>
        <v>0</v>
      </c>
      <c r="O37" s="710">
        <f>SUMIF('2.0'!$D:$D,T_BS!D37,'2.0'!$V:$V)</f>
        <v>0</v>
      </c>
      <c r="P37" s="509">
        <f>ROUND(SUMIF('3.0'!$D:$D,T_BS!D37,'3.0'!$H:$H),0)</f>
        <v>0</v>
      </c>
      <c r="Q37" s="720">
        <f>ROUND(SUMIF('4.0'!$D:$D,T_BS!D37,'4.0'!$V:$V),0)</f>
        <v>0</v>
      </c>
      <c r="R37" s="509">
        <f>ROUND(SUMIF('5.0'!$D:$D,T_BS!D37,'5.0'!$V:$V),0)</f>
        <v>0</v>
      </c>
      <c r="S37" s="720">
        <f>ROUND(SUMIF('6.0'!$D:$D,T_BS!D37,'6.0'!$V:$V),0)</f>
        <v>0</v>
      </c>
      <c r="T37" s="720">
        <f>ROUND(SUMIF('7.0'!$D:$D,T_BS!D37,'7.0'!$V:$V),0)</f>
        <v>0</v>
      </c>
      <c r="U37" s="720">
        <f>ROUND(SUMIF('8.0'!$D:$D,T_BS!D37,'8.0'!$H:$H),0)</f>
        <v>0</v>
      </c>
      <c r="V37" s="510">
        <f>SUM(N37:U37)</f>
        <v>0</v>
      </c>
      <c r="X37" s="1647">
        <f t="shared" si="10"/>
        <v>-63138874</v>
      </c>
      <c r="Z37" s="1622">
        <f t="shared" si="11"/>
        <v>-56648185</v>
      </c>
      <c r="AB37" s="1622">
        <v>-63138874</v>
      </c>
      <c r="AC37" s="1622">
        <v>-17981555</v>
      </c>
      <c r="AD37" s="1622">
        <v>-17981555</v>
      </c>
      <c r="AE37" s="1622">
        <v>-17981555</v>
      </c>
      <c r="AF37" s="1622">
        <v>-27800311</v>
      </c>
      <c r="AG37" s="1622">
        <v>-6490689</v>
      </c>
      <c r="AH37" s="1622">
        <v>-54826777</v>
      </c>
      <c r="AI37" s="1622">
        <v>-54826777</v>
      </c>
      <c r="AJ37" s="1622">
        <v>0</v>
      </c>
      <c r="AK37" s="1622">
        <v>0</v>
      </c>
      <c r="AL37" s="1622">
        <v>0</v>
      </c>
      <c r="AN37" s="498"/>
    </row>
    <row r="38" spans="1:40" ht="18" customHeight="1">
      <c r="A38" s="498"/>
      <c r="D38" s="1675"/>
      <c r="E38" s="1594"/>
      <c r="F38" s="1595"/>
      <c r="G38" s="1596" t="s">
        <v>38</v>
      </c>
      <c r="H38" s="520">
        <f>SUM(H39:H41)</f>
        <v>0</v>
      </c>
      <c r="I38" s="506">
        <f>SUM(I39:I41)</f>
        <v>0</v>
      </c>
      <c r="J38" s="506">
        <f>SUM(J39:J41)</f>
        <v>0</v>
      </c>
      <c r="K38" s="506">
        <f>SUM(K39:K41)</f>
        <v>0</v>
      </c>
      <c r="L38" s="507">
        <f>SUM(L39:L41)</f>
        <v>0</v>
      </c>
      <c r="N38" s="1637">
        <f t="shared" ref="N38:V38" si="12">SUM(N39:N41)</f>
        <v>0</v>
      </c>
      <c r="O38" s="506">
        <f t="shared" si="12"/>
        <v>0</v>
      </c>
      <c r="P38" s="506">
        <f t="shared" si="12"/>
        <v>0</v>
      </c>
      <c r="Q38" s="506">
        <f t="shared" si="12"/>
        <v>0</v>
      </c>
      <c r="R38" s="506">
        <f t="shared" si="12"/>
        <v>0</v>
      </c>
      <c r="S38" s="506">
        <f t="shared" si="12"/>
        <v>0</v>
      </c>
      <c r="T38" s="506">
        <f t="shared" si="12"/>
        <v>0</v>
      </c>
      <c r="U38" s="506">
        <f t="shared" si="12"/>
        <v>0</v>
      </c>
      <c r="V38" s="507">
        <f t="shared" si="12"/>
        <v>0</v>
      </c>
      <c r="X38" s="1636">
        <f>SUM(X39:X41)</f>
        <v>0</v>
      </c>
      <c r="Z38" s="1636">
        <f>SUM(Z39:Z41)</f>
        <v>0</v>
      </c>
      <c r="AB38" s="1636">
        <v>0</v>
      </c>
      <c r="AC38" s="1636">
        <v>0</v>
      </c>
      <c r="AD38" s="1636">
        <v>0</v>
      </c>
      <c r="AE38" s="1636">
        <v>0</v>
      </c>
      <c r="AF38" s="1636">
        <v>0</v>
      </c>
      <c r="AG38" s="1636">
        <v>0</v>
      </c>
      <c r="AH38" s="1636">
        <v>0</v>
      </c>
      <c r="AI38" s="1636">
        <f>SUM(AI39:AI41)</f>
        <v>0</v>
      </c>
      <c r="AJ38" s="1636">
        <f>SUM(AJ39:AJ41)</f>
        <v>0</v>
      </c>
      <c r="AK38" s="1636">
        <f>SUM(AK39:AK41)</f>
        <v>0</v>
      </c>
      <c r="AL38" s="1636">
        <v>0</v>
      </c>
      <c r="AN38" s="498"/>
    </row>
    <row r="39" spans="1:40" ht="18" customHeight="1">
      <c r="A39" s="498"/>
      <c r="D39" s="1598">
        <v>111410</v>
      </c>
      <c r="E39" s="1364" t="s">
        <v>38</v>
      </c>
      <c r="F39" s="1366"/>
      <c r="G39" s="1364" t="s">
        <v>40</v>
      </c>
      <c r="H39" s="498">
        <v>0</v>
      </c>
      <c r="I39" s="498">
        <v>0</v>
      </c>
      <c r="J39" s="710">
        <v>0</v>
      </c>
      <c r="K39" s="710">
        <v>0</v>
      </c>
      <c r="L39" s="510">
        <f>SUM(H39:K39)</f>
        <v>0</v>
      </c>
      <c r="N39" s="1673">
        <f>SUMIF('1.0'!$D:$D,T_BS!D39,'1.0'!$V:$V)</f>
        <v>0</v>
      </c>
      <c r="O39" s="710">
        <f>SUMIF('2.0'!$D:$D,T_BS!D39,'2.0'!$V:$V)</f>
        <v>0</v>
      </c>
      <c r="P39" s="509">
        <f>ROUND(SUMIF('3.0'!$D:$D,T_BS!D39,'3.0'!$H:$H),0)</f>
        <v>0</v>
      </c>
      <c r="Q39" s="720">
        <f>ROUND(SUMIF('4.0'!$D:$D,T_BS!D39,'4.0'!$V:$V),0)</f>
        <v>0</v>
      </c>
      <c r="R39" s="509">
        <f>ROUND(SUMIF('5.0'!$D:$D,T_BS!D39,'5.0'!$V:$V),0)</f>
        <v>0</v>
      </c>
      <c r="S39" s="720">
        <f>ROUND(SUMIF('6.0'!$D:$D,T_BS!D39,'6.0'!$V:$V),0)</f>
        <v>0</v>
      </c>
      <c r="T39" s="720">
        <f>ROUND(SUMIF('7.0'!$D:$D,T_BS!D39,'7.0'!$V:$V),0)</f>
        <v>0</v>
      </c>
      <c r="U39" s="720">
        <f>ROUND(SUMIF('8.0'!$D:$D,T_BS!D39,'8.0'!$H:$H),0)</f>
        <v>0</v>
      </c>
      <c r="V39" s="510">
        <f t="shared" si="9"/>
        <v>0</v>
      </c>
      <c r="X39" s="1622">
        <f>V39+L39</f>
        <v>0</v>
      </c>
      <c r="Z39" s="1622">
        <f>X39-AG39</f>
        <v>0</v>
      </c>
      <c r="AB39" s="1622">
        <v>0</v>
      </c>
      <c r="AC39" s="1622">
        <v>0</v>
      </c>
      <c r="AD39" s="1622">
        <v>0</v>
      </c>
      <c r="AE39" s="1622">
        <v>0</v>
      </c>
      <c r="AF39" s="1622">
        <v>0</v>
      </c>
      <c r="AG39" s="1622">
        <v>0</v>
      </c>
      <c r="AH39" s="1622">
        <v>0</v>
      </c>
      <c r="AI39" s="1622">
        <v>0</v>
      </c>
      <c r="AJ39" s="1622">
        <v>0</v>
      </c>
      <c r="AK39" s="1622">
        <v>0</v>
      </c>
      <c r="AL39" s="1622">
        <v>0</v>
      </c>
      <c r="AN39" s="498"/>
    </row>
    <row r="40" spans="1:40" ht="18" customHeight="1">
      <c r="A40" s="498"/>
      <c r="D40" s="1639" t="s">
        <v>219</v>
      </c>
      <c r="E40" s="1364" t="s">
        <v>38</v>
      </c>
      <c r="F40" s="1366"/>
      <c r="G40" s="1364" t="s">
        <v>41</v>
      </c>
      <c r="H40" s="498">
        <v>0</v>
      </c>
      <c r="I40" s="498">
        <v>0</v>
      </c>
      <c r="J40" s="710">
        <v>0</v>
      </c>
      <c r="K40" s="710">
        <v>0</v>
      </c>
      <c r="L40" s="510">
        <f>SUM(H40:K40)</f>
        <v>0</v>
      </c>
      <c r="N40" s="1673">
        <f>SUMIF('1.0'!$D:$D,T_BS!D40,'1.0'!$V:$V)</f>
        <v>0</v>
      </c>
      <c r="O40" s="710">
        <f>SUMIF('2.0'!$D:$D,T_BS!D40,'2.0'!$V:$V)</f>
        <v>0</v>
      </c>
      <c r="P40" s="509">
        <f>ROUND(SUMIF('3.0'!$D:$D,T_BS!D40,'3.0'!$H:$H),0)</f>
        <v>0</v>
      </c>
      <c r="Q40" s="720">
        <f>ROUND(SUMIF('4.0'!$D:$D,T_BS!D40,'4.0'!$V:$V),0)</f>
        <v>0</v>
      </c>
      <c r="R40" s="509">
        <f>ROUND(SUMIF('5.0'!$D:$D,T_BS!D40,'5.0'!$V:$V),0)</f>
        <v>0</v>
      </c>
      <c r="S40" s="720">
        <f>ROUND(SUMIF('6.0'!$D:$D,T_BS!D40,'6.0'!$V:$V),0)</f>
        <v>0</v>
      </c>
      <c r="T40" s="720">
        <f>ROUND(SUMIF('7.0'!$D:$D,T_BS!D40,'7.0'!$V:$V),0)</f>
        <v>0</v>
      </c>
      <c r="U40" s="720">
        <f>ROUND(SUMIF('8.0'!$D:$D,T_BS!D40,'8.0'!$H:$H),0)</f>
        <v>0</v>
      </c>
      <c r="V40" s="510">
        <f t="shared" si="9"/>
        <v>0</v>
      </c>
      <c r="X40" s="1622">
        <f>V40+L40</f>
        <v>0</v>
      </c>
      <c r="Z40" s="1622">
        <f>X40-AG40</f>
        <v>0</v>
      </c>
      <c r="AB40" s="1622">
        <v>0</v>
      </c>
      <c r="AC40" s="1622">
        <v>0</v>
      </c>
      <c r="AD40" s="1622">
        <v>0</v>
      </c>
      <c r="AE40" s="1622">
        <v>0</v>
      </c>
      <c r="AF40" s="1622">
        <v>0</v>
      </c>
      <c r="AG40" s="1622">
        <v>0</v>
      </c>
      <c r="AH40" s="1622">
        <v>0</v>
      </c>
      <c r="AI40" s="1622">
        <v>0</v>
      </c>
      <c r="AJ40" s="1622">
        <v>0</v>
      </c>
      <c r="AK40" s="1622">
        <v>0</v>
      </c>
      <c r="AL40" s="1622">
        <v>0</v>
      </c>
      <c r="AN40" s="498"/>
    </row>
    <row r="41" spans="1:40" ht="18" customHeight="1">
      <c r="A41" s="498"/>
      <c r="D41" s="1639" t="s">
        <v>220</v>
      </c>
      <c r="E41" s="1364" t="s">
        <v>38</v>
      </c>
      <c r="F41" s="1366"/>
      <c r="G41" s="1364" t="s">
        <v>42</v>
      </c>
      <c r="H41" s="498">
        <v>0</v>
      </c>
      <c r="I41" s="498">
        <v>0</v>
      </c>
      <c r="J41" s="710">
        <v>0</v>
      </c>
      <c r="K41" s="710">
        <v>0</v>
      </c>
      <c r="L41" s="510">
        <f>SUM(H41:K41)</f>
        <v>0</v>
      </c>
      <c r="N41" s="1673">
        <f>SUMIF('1.0'!$D:$D,T_BS!D41,'1.0'!$V:$V)</f>
        <v>0</v>
      </c>
      <c r="O41" s="710">
        <f>SUMIF('2.0'!$D:$D,T_BS!D41,'2.0'!$V:$V)</f>
        <v>0</v>
      </c>
      <c r="P41" s="509">
        <f>ROUND(SUMIF('3.0'!$D:$D,T_BS!D41,'3.0'!$H:$H),0)</f>
        <v>0</v>
      </c>
      <c r="Q41" s="720">
        <f>ROUND(SUMIF('4.0'!$D:$D,T_BS!D41,'4.0'!$V:$V),0)</f>
        <v>0</v>
      </c>
      <c r="R41" s="509">
        <f>ROUND(SUMIF('5.0'!$D:$D,T_BS!D41,'5.0'!$V:$V),0)</f>
        <v>0</v>
      </c>
      <c r="S41" s="720">
        <f>ROUND(SUMIF('6.0'!$D:$D,T_BS!D41,'6.0'!$V:$V),0)</f>
        <v>0</v>
      </c>
      <c r="T41" s="720">
        <f>ROUND(SUMIF('7.0'!$D:$D,T_BS!D41,'7.0'!$V:$V),0)</f>
        <v>0</v>
      </c>
      <c r="U41" s="720">
        <f>ROUND(SUMIF('8.0'!$D:$D,T_BS!D41,'8.0'!$H:$H),0)</f>
        <v>0</v>
      </c>
      <c r="V41" s="510">
        <f t="shared" si="9"/>
        <v>0</v>
      </c>
      <c r="X41" s="1622">
        <f>V41+L41</f>
        <v>0</v>
      </c>
      <c r="Z41" s="1622">
        <f>X41-AG41</f>
        <v>0</v>
      </c>
      <c r="AB41" s="1622">
        <v>0</v>
      </c>
      <c r="AC41" s="1622">
        <v>0</v>
      </c>
      <c r="AD41" s="1622">
        <v>0</v>
      </c>
      <c r="AE41" s="1622">
        <v>0</v>
      </c>
      <c r="AF41" s="1622">
        <v>0</v>
      </c>
      <c r="AG41" s="1622">
        <v>0</v>
      </c>
      <c r="AH41" s="1622">
        <v>0</v>
      </c>
      <c r="AI41" s="1622">
        <v>0</v>
      </c>
      <c r="AJ41" s="1622">
        <v>0</v>
      </c>
      <c r="AK41" s="1622">
        <v>0</v>
      </c>
      <c r="AL41" s="1622">
        <v>0</v>
      </c>
      <c r="AN41" s="498"/>
    </row>
    <row r="42" spans="1:40" ht="18" customHeight="1">
      <c r="A42" s="498"/>
      <c r="D42" s="1593"/>
      <c r="E42" s="1594"/>
      <c r="F42" s="1595"/>
      <c r="G42" s="1594" t="s">
        <v>2</v>
      </c>
      <c r="H42" s="520">
        <f>SUM(H43:H51)</f>
        <v>13750635074</v>
      </c>
      <c r="I42" s="506">
        <f>SUM(I43:I51)</f>
        <v>0</v>
      </c>
      <c r="J42" s="506">
        <f>SUM(J43:J51)</f>
        <v>4425803</v>
      </c>
      <c r="K42" s="506">
        <f>SUM(K43:K51)</f>
        <v>681925453</v>
      </c>
      <c r="L42" s="507">
        <f>SUM(L43:L51)</f>
        <v>14436986330</v>
      </c>
      <c r="N42" s="1637">
        <f t="shared" ref="N42:S42" si="13">SUM(N43:N51)</f>
        <v>0</v>
      </c>
      <c r="O42" s="506">
        <f t="shared" si="13"/>
        <v>0</v>
      </c>
      <c r="P42" s="506">
        <f t="shared" si="13"/>
        <v>0</v>
      </c>
      <c r="Q42" s="506">
        <f t="shared" si="13"/>
        <v>-60384975</v>
      </c>
      <c r="R42" s="506">
        <f t="shared" si="13"/>
        <v>0</v>
      </c>
      <c r="S42" s="506">
        <f t="shared" si="13"/>
        <v>0</v>
      </c>
      <c r="T42" s="506">
        <f>SUM(T43:T51)</f>
        <v>0</v>
      </c>
      <c r="U42" s="506">
        <f>SUM(U43:U51)</f>
        <v>0</v>
      </c>
      <c r="V42" s="507">
        <f>SUM(V43:V51)</f>
        <v>-60384975</v>
      </c>
      <c r="X42" s="1636">
        <f>SUM(X43:X51)</f>
        <v>14376601355</v>
      </c>
      <c r="Z42" s="1636">
        <f>SUM(Z43:Z51)</f>
        <v>6718158531</v>
      </c>
      <c r="AB42" s="1636">
        <v>13877833606</v>
      </c>
      <c r="AC42" s="1636">
        <v>13155462759</v>
      </c>
      <c r="AD42" s="1636">
        <v>12570371884</v>
      </c>
      <c r="AE42" s="1636">
        <v>10458361029</v>
      </c>
      <c r="AF42" s="1636">
        <v>8615066388</v>
      </c>
      <c r="AG42" s="1636">
        <v>7658442824</v>
      </c>
      <c r="AH42" s="1636">
        <v>7564361816</v>
      </c>
      <c r="AI42" s="1636">
        <v>7675960905</v>
      </c>
      <c r="AJ42" s="1636">
        <v>5867799188</v>
      </c>
      <c r="AK42" s="1636">
        <f>SUM(AK43:AK51)</f>
        <v>5012752621</v>
      </c>
      <c r="AL42" s="1636">
        <v>4636197058</v>
      </c>
      <c r="AN42" s="498"/>
    </row>
    <row r="43" spans="1:40" ht="18" customHeight="1">
      <c r="A43" s="498"/>
      <c r="D43" s="1598">
        <v>115100</v>
      </c>
      <c r="E43" s="1364" t="s">
        <v>2</v>
      </c>
      <c r="F43" s="1366">
        <v>1301</v>
      </c>
      <c r="G43" s="1364" t="s">
        <v>43</v>
      </c>
      <c r="H43" s="498">
        <v>7593509022</v>
      </c>
      <c r="I43" s="498">
        <v>0</v>
      </c>
      <c r="J43" s="710">
        <v>222448543</v>
      </c>
      <c r="K43" s="710">
        <v>3305090810</v>
      </c>
      <c r="L43" s="510">
        <f t="shared" ref="L43:L51" si="14">SUM(H43:K43)</f>
        <v>11121048375</v>
      </c>
      <c r="N43" s="1673">
        <f>SUMIF('1.0'!$D:$D,T_BS!D43,'1.0'!$V:$V)</f>
        <v>0</v>
      </c>
      <c r="O43" s="710">
        <f>SUMIF('2.0'!$D:$D,T_BS!D43,'2.0'!$V:$V)</f>
        <v>0</v>
      </c>
      <c r="P43" s="509">
        <f>ROUND(SUMIF('3.0'!$D:$D,T_BS!D43,'3.0'!$H:$H),0)</f>
        <v>0</v>
      </c>
      <c r="Q43" s="720">
        <f>ROUND(SUMIF('4.0'!$D:$D,T_BS!D43,'4.0'!$V:$V),0)</f>
        <v>-36263424</v>
      </c>
      <c r="R43" s="509">
        <f>ROUND(SUMIF('5.0'!$D:$D,T_BS!D43,'5.0'!$V:$V),0)</f>
        <v>0</v>
      </c>
      <c r="S43" s="720">
        <f>ROUND(SUMIF('6.0'!$D:$D,T_BS!D43,'6.0'!$V:$V),0)</f>
        <v>-112541681</v>
      </c>
      <c r="T43" s="720">
        <f>ROUND(SUMIF('7.0'!$D:$D,T_BS!D43,'7.0'!$V:$V),0)</f>
        <v>0</v>
      </c>
      <c r="U43" s="720">
        <f>ROUND(SUMIF('8.0'!$D:$D,T_BS!D43,'8.0'!$H:$H),0)</f>
        <v>0</v>
      </c>
      <c r="V43" s="510">
        <f t="shared" si="9"/>
        <v>-148805105</v>
      </c>
      <c r="X43" s="1647">
        <f t="shared" ref="X43:X51" si="15">V43+L43</f>
        <v>10972243270</v>
      </c>
      <c r="Z43" s="1622">
        <f t="shared" ref="Z43:Z51" si="16">X43-AG43</f>
        <v>1420213010</v>
      </c>
      <c r="AB43" s="1622">
        <v>10961033338</v>
      </c>
      <c r="AC43" s="1622">
        <v>10279875930</v>
      </c>
      <c r="AD43" s="1622">
        <v>10143892874</v>
      </c>
      <c r="AE43" s="1622">
        <v>9285667292</v>
      </c>
      <c r="AF43" s="1622">
        <v>9207014881</v>
      </c>
      <c r="AG43" s="1622">
        <v>9552030260</v>
      </c>
      <c r="AH43" s="1622">
        <v>9639666127</v>
      </c>
      <c r="AI43" s="1622">
        <v>9533654451</v>
      </c>
      <c r="AJ43" s="1622">
        <v>9772987391</v>
      </c>
      <c r="AK43" s="1622">
        <v>9514170870</v>
      </c>
      <c r="AL43" s="1622">
        <v>9553713376</v>
      </c>
      <c r="AN43" s="498"/>
    </row>
    <row r="44" spans="1:40" ht="18" customHeight="1">
      <c r="A44" s="498"/>
      <c r="D44" s="1598">
        <v>115170</v>
      </c>
      <c r="E44" s="1364" t="s">
        <v>2</v>
      </c>
      <c r="F44" s="1366">
        <v>1302</v>
      </c>
      <c r="G44" s="1364" t="s">
        <v>44</v>
      </c>
      <c r="H44" s="498">
        <v>-2775669978</v>
      </c>
      <c r="I44" s="498">
        <v>0</v>
      </c>
      <c r="J44" s="710">
        <v>-218022740</v>
      </c>
      <c r="K44" s="710">
        <v>-2623165357</v>
      </c>
      <c r="L44" s="510">
        <f t="shared" si="14"/>
        <v>-5616858075</v>
      </c>
      <c r="N44" s="1673">
        <f>SUMIF('1.0'!$D:$D,T_BS!D44,'1.0'!$V:$V)</f>
        <v>0</v>
      </c>
      <c r="O44" s="710">
        <f>SUMIF('2.0'!$D:$D,T_BS!D44,'2.0'!$V:$V)</f>
        <v>0</v>
      </c>
      <c r="P44" s="509">
        <f>ROUND(SUMIF('3.0'!$D:$D,T_BS!D44,'3.0'!$H:$H),0)</f>
        <v>0</v>
      </c>
      <c r="Q44" s="720">
        <f>ROUND(SUMIF('4.0'!$D:$D,T_BS!D44,'4.0'!$V:$V),0)</f>
        <v>0</v>
      </c>
      <c r="R44" s="509">
        <f>ROUND(SUMIF('5.0'!$D:$D,T_BS!D44,'5.0'!$V:$V),0)</f>
        <v>0</v>
      </c>
      <c r="S44" s="720">
        <f>ROUND(SUMIF('6.0'!$D:$D,T_BS!D44,'6.0'!$V:$V),0)</f>
        <v>0</v>
      </c>
      <c r="T44" s="720">
        <f>ROUND(SUMIF('7.0'!$D:$D,T_BS!D44,'7.0'!$V:$V),0)</f>
        <v>0</v>
      </c>
      <c r="U44" s="720">
        <f>ROUND(SUMIF('8.0'!$D:$D,T_BS!D44,'8.0'!$H:$H),0)</f>
        <v>0</v>
      </c>
      <c r="V44" s="510">
        <f t="shared" si="9"/>
        <v>0</v>
      </c>
      <c r="X44" s="1647">
        <f t="shared" si="15"/>
        <v>-5616858075</v>
      </c>
      <c r="Z44" s="1622">
        <f t="shared" si="16"/>
        <v>341534091</v>
      </c>
      <c r="AB44" s="1622">
        <v>-5692706738</v>
      </c>
      <c r="AC44" s="1622">
        <v>-5578065267</v>
      </c>
      <c r="AD44" s="1622">
        <v>-5294916398</v>
      </c>
      <c r="AE44" s="1622">
        <v>-5287085386</v>
      </c>
      <c r="AF44" s="1622">
        <v>-5316225353</v>
      </c>
      <c r="AG44" s="1622">
        <v>-5958392166</v>
      </c>
      <c r="AH44" s="1622">
        <v>-6085717670</v>
      </c>
      <c r="AI44" s="1622">
        <v>-6160937254</v>
      </c>
      <c r="AJ44" s="1622">
        <v>-7319599276</v>
      </c>
      <c r="AK44" s="1622">
        <v>-7445585371</v>
      </c>
      <c r="AL44" s="1622">
        <v>-7972135418</v>
      </c>
      <c r="AN44" s="498"/>
    </row>
    <row r="45" spans="1:40" ht="18" customHeight="1">
      <c r="A45" s="498"/>
      <c r="D45" s="1598">
        <v>115200</v>
      </c>
      <c r="E45" s="1364" t="s">
        <v>2</v>
      </c>
      <c r="F45" s="1366">
        <v>1303</v>
      </c>
      <c r="G45" s="1364" t="s">
        <v>45</v>
      </c>
      <c r="H45" s="498">
        <v>4114907861</v>
      </c>
      <c r="I45" s="498">
        <v>0</v>
      </c>
      <c r="J45" s="710">
        <v>76266517</v>
      </c>
      <c r="K45" s="710">
        <v>0</v>
      </c>
      <c r="L45" s="510">
        <f t="shared" si="14"/>
        <v>4191174378</v>
      </c>
      <c r="N45" s="1673">
        <f>SUMIF('1.0'!$D:$D,T_BS!D45,'1.0'!$V:$V)</f>
        <v>0</v>
      </c>
      <c r="O45" s="710">
        <f>SUMIF('2.0'!$D:$D,T_BS!D45,'2.0'!$V:$V)</f>
        <v>0</v>
      </c>
      <c r="P45" s="509">
        <f>ROUND(SUMIF('3.0'!$D:$D,T_BS!D45,'3.0'!$H:$H),0)</f>
        <v>0</v>
      </c>
      <c r="Q45" s="720">
        <f>ROUND(SUMIF('4.0'!$D:$D,T_BS!D45,'4.0'!$V:$V),0)</f>
        <v>-24121551</v>
      </c>
      <c r="R45" s="509">
        <f>ROUND(SUMIF('5.0'!$D:$D,T_BS!D45,'5.0'!$V:$V),0)</f>
        <v>0</v>
      </c>
      <c r="S45" s="720">
        <f>ROUND(SUMIF('6.0'!$D:$D,T_BS!D45,'6.0'!$V:$V),0)</f>
        <v>112541681</v>
      </c>
      <c r="T45" s="720">
        <f>ROUND(SUMIF('7.0'!$D:$D,T_BS!D45,'7.0'!$V:$V),0)</f>
        <v>0</v>
      </c>
      <c r="U45" s="720">
        <f>ROUND(SUMIF('8.0'!$D:$D,T_BS!D45,'8.0'!$H:$H),0)</f>
        <v>0</v>
      </c>
      <c r="V45" s="510">
        <f t="shared" si="9"/>
        <v>88420130</v>
      </c>
      <c r="X45" s="1647">
        <f t="shared" si="15"/>
        <v>4279594508</v>
      </c>
      <c r="Z45" s="1622">
        <f t="shared" si="16"/>
        <v>1970751256</v>
      </c>
      <c r="AB45" s="1622">
        <v>3378283448</v>
      </c>
      <c r="AC45" s="1622">
        <v>3377647255</v>
      </c>
      <c r="AD45" s="1622">
        <v>2986789642</v>
      </c>
      <c r="AE45" s="1622">
        <v>2704584788</v>
      </c>
      <c r="AF45" s="1622">
        <v>2216892747</v>
      </c>
      <c r="AG45" s="1622">
        <v>2308843252</v>
      </c>
      <c r="AH45" s="1622">
        <v>2169773882</v>
      </c>
      <c r="AI45" s="1622">
        <v>2353920039</v>
      </c>
      <c r="AJ45" s="1622">
        <v>2847956579</v>
      </c>
      <c r="AK45" s="1622">
        <v>2887606004</v>
      </c>
      <c r="AL45" s="1622">
        <v>2835908871</v>
      </c>
      <c r="AN45" s="498"/>
    </row>
    <row r="46" spans="1:40" ht="18" customHeight="1">
      <c r="A46" s="498"/>
      <c r="D46" s="1598">
        <v>115270</v>
      </c>
      <c r="E46" s="1364" t="s">
        <v>2</v>
      </c>
      <c r="F46" s="1366">
        <v>1304</v>
      </c>
      <c r="G46" s="1364" t="s">
        <v>46</v>
      </c>
      <c r="H46" s="498">
        <v>-1089080669</v>
      </c>
      <c r="I46" s="498">
        <v>0</v>
      </c>
      <c r="J46" s="710">
        <v>-76266517</v>
      </c>
      <c r="K46" s="710">
        <v>0</v>
      </c>
      <c r="L46" s="510">
        <f t="shared" si="14"/>
        <v>-1165347186</v>
      </c>
      <c r="N46" s="1673">
        <f>SUMIF('1.0'!$D:$D,T_BS!D46,'1.0'!$V:$V)</f>
        <v>0</v>
      </c>
      <c r="O46" s="710">
        <f>SUMIF('2.0'!$D:$D,T_BS!D46,'2.0'!$V:$V)</f>
        <v>0</v>
      </c>
      <c r="P46" s="509">
        <f>ROUND(SUMIF('3.0'!$D:$D,T_BS!D46,'3.0'!$H:$H),0)</f>
        <v>0</v>
      </c>
      <c r="Q46" s="720">
        <f>ROUND(SUMIF('4.0'!$D:$D,T_BS!D46,'4.0'!$V:$V),0)</f>
        <v>0</v>
      </c>
      <c r="R46" s="509">
        <f>ROUND(SUMIF('5.0'!$D:$D,T_BS!D46,'5.0'!$V:$V),0)</f>
        <v>0</v>
      </c>
      <c r="S46" s="720">
        <f>ROUND(SUMIF('6.0'!$D:$D,T_BS!D46,'6.0'!$V:$V),0)</f>
        <v>0</v>
      </c>
      <c r="T46" s="720">
        <f>ROUND(SUMIF('7.0'!$D:$D,T_BS!D46,'7.0'!$V:$V),0)</f>
        <v>0</v>
      </c>
      <c r="U46" s="720">
        <f>ROUND(SUMIF('8.0'!$D:$D,T_BS!D46,'8.0'!$H:$H),0)</f>
        <v>0</v>
      </c>
      <c r="V46" s="510">
        <f t="shared" si="9"/>
        <v>0</v>
      </c>
      <c r="X46" s="1647">
        <f t="shared" si="15"/>
        <v>-1165347186</v>
      </c>
      <c r="Z46" s="1622">
        <f t="shared" si="16"/>
        <v>-145051517</v>
      </c>
      <c r="AB46" s="1622">
        <v>-1166784039</v>
      </c>
      <c r="AC46" s="1622">
        <v>-1095674002</v>
      </c>
      <c r="AD46" s="1622">
        <v>-1093758324</v>
      </c>
      <c r="AE46" s="1622">
        <v>-1093533699</v>
      </c>
      <c r="AF46" s="1622">
        <v>-1078790355</v>
      </c>
      <c r="AG46" s="1622">
        <v>-1020295669</v>
      </c>
      <c r="AH46" s="1622">
        <v>-1153981584</v>
      </c>
      <c r="AI46" s="1622">
        <v>-1154650595</v>
      </c>
      <c r="AJ46" s="1622">
        <v>-1923162570</v>
      </c>
      <c r="AK46" s="1622">
        <v>-2031226244</v>
      </c>
      <c r="AL46" s="1622">
        <v>-1878677843</v>
      </c>
      <c r="AN46" s="498"/>
    </row>
    <row r="47" spans="1:40" ht="18" customHeight="1">
      <c r="A47" s="498"/>
      <c r="D47" s="1598">
        <v>115300</v>
      </c>
      <c r="E47" s="1364" t="s">
        <v>2</v>
      </c>
      <c r="F47" s="1366">
        <v>1305</v>
      </c>
      <c r="G47" s="1364" t="s">
        <v>47</v>
      </c>
      <c r="H47" s="498">
        <v>1853002880</v>
      </c>
      <c r="I47" s="498">
        <v>0</v>
      </c>
      <c r="J47" s="710">
        <v>0</v>
      </c>
      <c r="K47" s="710">
        <v>0</v>
      </c>
      <c r="L47" s="510">
        <f t="shared" si="14"/>
        <v>1853002880</v>
      </c>
      <c r="N47" s="1673">
        <f>SUMIF('1.0'!$D:$D,T_BS!D47,'1.0'!$V:$V)</f>
        <v>0</v>
      </c>
      <c r="O47" s="710">
        <f>SUMIF('2.0'!$D:$D,T_BS!D47,'2.0'!$V:$V)</f>
        <v>0</v>
      </c>
      <c r="P47" s="509">
        <f>ROUND(SUMIF('3.0'!$D:$D,T_BS!D47,'3.0'!$H:$H),0)</f>
        <v>0</v>
      </c>
      <c r="Q47" s="720">
        <f>ROUND(SUMIF('4.0'!$D:$D,T_BS!D47,'4.0'!$V:$V),0)</f>
        <v>0</v>
      </c>
      <c r="R47" s="509">
        <f>ROUND(SUMIF('5.0'!$D:$D,T_BS!D47,'5.0'!$V:$V),0)</f>
        <v>0</v>
      </c>
      <c r="S47" s="720">
        <f>ROUND(SUMIF('6.0'!$D:$D,T_BS!D47,'6.0'!$V:$V),0)</f>
        <v>0</v>
      </c>
      <c r="T47" s="720">
        <f>ROUND(SUMIF('7.0'!$D:$D,T_BS!D47,'7.0'!$V:$V),0)</f>
        <v>0</v>
      </c>
      <c r="U47" s="720">
        <f>ROUND(SUMIF('8.0'!$D:$D,T_BS!D47,'8.0'!$H:$H),0)</f>
        <v>0</v>
      </c>
      <c r="V47" s="510">
        <f t="shared" si="9"/>
        <v>0</v>
      </c>
      <c r="X47" s="1647">
        <f t="shared" si="15"/>
        <v>1853002880</v>
      </c>
      <c r="Z47" s="1622">
        <f t="shared" si="16"/>
        <v>766925063</v>
      </c>
      <c r="AB47" s="1622">
        <v>1768948369</v>
      </c>
      <c r="AC47" s="1622">
        <v>1597532410</v>
      </c>
      <c r="AD47" s="1622">
        <v>1634373955</v>
      </c>
      <c r="AE47" s="1622">
        <v>1300880467</v>
      </c>
      <c r="AF47" s="1622">
        <v>928780311</v>
      </c>
      <c r="AG47" s="1622">
        <v>1086077817</v>
      </c>
      <c r="AH47" s="1622">
        <v>1244407078</v>
      </c>
      <c r="AI47" s="1622">
        <v>1229886487</v>
      </c>
      <c r="AJ47" s="1622">
        <v>1300036025</v>
      </c>
      <c r="AK47" s="1622">
        <v>1133994793</v>
      </c>
      <c r="AL47" s="1622">
        <v>1157114968</v>
      </c>
      <c r="AN47" s="498"/>
    </row>
    <row r="48" spans="1:40" ht="18" customHeight="1">
      <c r="A48" s="498"/>
      <c r="D48" s="1598">
        <v>115350</v>
      </c>
      <c r="E48" s="1364" t="s">
        <v>2</v>
      </c>
      <c r="F48" s="1366">
        <v>1306</v>
      </c>
      <c r="G48" s="1364" t="s">
        <v>48</v>
      </c>
      <c r="H48" s="498">
        <v>-589355725</v>
      </c>
      <c r="I48" s="498">
        <v>0</v>
      </c>
      <c r="J48" s="710">
        <v>0</v>
      </c>
      <c r="K48" s="710">
        <v>0</v>
      </c>
      <c r="L48" s="510">
        <f t="shared" si="14"/>
        <v>-589355725</v>
      </c>
      <c r="N48" s="1673">
        <f>SUMIF('1.0'!$D:$D,T_BS!D48,'1.0'!$V:$V)</f>
        <v>0</v>
      </c>
      <c r="O48" s="710">
        <f>SUMIF('2.0'!$D:$D,T_BS!D48,'2.0'!$V:$V)</f>
        <v>0</v>
      </c>
      <c r="P48" s="509">
        <f>ROUND(SUMIF('3.0'!$D:$D,T_BS!D48,'3.0'!$H:$H),0)</f>
        <v>0</v>
      </c>
      <c r="Q48" s="720">
        <f>ROUND(SUMIF('4.0'!$D:$D,T_BS!D48,'4.0'!$V:$V),0)</f>
        <v>0</v>
      </c>
      <c r="R48" s="509">
        <f>ROUND(SUMIF('5.0'!$D:$D,T_BS!D48,'5.0'!$V:$V),0)</f>
        <v>0</v>
      </c>
      <c r="S48" s="720">
        <f>ROUND(SUMIF('6.0'!$D:$D,T_BS!D48,'6.0'!$V:$V),0)</f>
        <v>0</v>
      </c>
      <c r="T48" s="720">
        <f>ROUND(SUMIF('7.0'!$D:$D,T_BS!D48,'7.0'!$V:$V),0)</f>
        <v>0</v>
      </c>
      <c r="U48" s="720">
        <f>ROUND(SUMIF('8.0'!$D:$D,T_BS!D48,'8.0'!$H:$H),0)</f>
        <v>0</v>
      </c>
      <c r="V48" s="510">
        <f t="shared" si="9"/>
        <v>0</v>
      </c>
      <c r="X48" s="1647">
        <f t="shared" si="15"/>
        <v>-589355725</v>
      </c>
      <c r="Z48" s="1622">
        <f t="shared" si="16"/>
        <v>-187803016</v>
      </c>
      <c r="AB48" s="1622">
        <v>-589355725</v>
      </c>
      <c r="AC48" s="1622">
        <v>-528684798</v>
      </c>
      <c r="AD48" s="1622">
        <v>-528684798</v>
      </c>
      <c r="AE48" s="1622">
        <v>-528684798</v>
      </c>
      <c r="AF48" s="1622">
        <v>-389442094</v>
      </c>
      <c r="AG48" s="1622">
        <v>-401552709</v>
      </c>
      <c r="AH48" s="1622">
        <v>-499941093</v>
      </c>
      <c r="AI48" s="1622">
        <v>-499941093</v>
      </c>
      <c r="AJ48" s="1622">
        <v>-731569725</v>
      </c>
      <c r="AK48" s="1622">
        <v>-753849330</v>
      </c>
      <c r="AL48" s="1622">
        <v>-818267363</v>
      </c>
      <c r="AN48" s="498"/>
    </row>
    <row r="49" spans="1:40" ht="18" customHeight="1">
      <c r="A49" s="498"/>
      <c r="D49" s="1598">
        <v>115400</v>
      </c>
      <c r="E49" s="1364" t="s">
        <v>2</v>
      </c>
      <c r="F49" s="1366">
        <v>1307</v>
      </c>
      <c r="G49" s="1364" t="s">
        <v>49</v>
      </c>
      <c r="H49" s="498">
        <v>9958011754</v>
      </c>
      <c r="I49" s="498">
        <v>0</v>
      </c>
      <c r="J49" s="710">
        <v>84098606</v>
      </c>
      <c r="K49" s="710">
        <v>0</v>
      </c>
      <c r="L49" s="510">
        <f t="shared" si="14"/>
        <v>10042110360</v>
      </c>
      <c r="N49" s="1673">
        <f>SUMIF('1.0'!$D:$D,T_BS!D49,'1.0'!$V:$V)</f>
        <v>0</v>
      </c>
      <c r="O49" s="710">
        <f>SUMIF('2.0'!$D:$D,T_BS!D49,'2.0'!$V:$V)</f>
        <v>0</v>
      </c>
      <c r="P49" s="509">
        <f>ROUND(SUMIF('3.0'!$D:$D,T_BS!D49,'3.0'!$H:$H),0)</f>
        <v>0</v>
      </c>
      <c r="Q49" s="720">
        <f>ROUND(SUMIF('4.0'!$D:$D,T_BS!D49,'4.0'!$V:$V),0)</f>
        <v>0</v>
      </c>
      <c r="R49" s="509">
        <f>ROUND(SUMIF('5.0'!$D:$D,T_BS!D49,'5.0'!$V:$V),0)</f>
        <v>0</v>
      </c>
      <c r="S49" s="720">
        <f>ROUND(SUMIF('6.0'!$D:$D,T_BS!D49,'6.0'!$V:$V),0)</f>
        <v>0</v>
      </c>
      <c r="T49" s="720">
        <f>ROUND(SUMIF('7.0'!$D:$D,T_BS!D49,'7.0'!$V:$V),0)</f>
        <v>0</v>
      </c>
      <c r="U49" s="720">
        <f>ROUND(SUMIF('8.0'!$D:$D,T_BS!D49,'8.0'!$H:$H),0)</f>
        <v>0</v>
      </c>
      <c r="V49" s="510">
        <f t="shared" si="9"/>
        <v>0</v>
      </c>
      <c r="X49" s="1647">
        <f t="shared" si="15"/>
        <v>10042110360</v>
      </c>
      <c r="Z49" s="1622">
        <f t="shared" si="16"/>
        <v>2407120849</v>
      </c>
      <c r="AB49" s="1622">
        <v>10618788038</v>
      </c>
      <c r="AC49" s="1622">
        <v>10228442636</v>
      </c>
      <c r="AD49" s="1622">
        <v>9846173931</v>
      </c>
      <c r="AE49" s="1622">
        <v>9199783670</v>
      </c>
      <c r="AF49" s="1622">
        <v>8797598694</v>
      </c>
      <c r="AG49" s="1622">
        <v>7634989511</v>
      </c>
      <c r="AH49" s="1622">
        <v>8023306099</v>
      </c>
      <c r="AI49" s="1622">
        <v>8951686456</v>
      </c>
      <c r="AJ49" s="1622">
        <v>8850886113</v>
      </c>
      <c r="AK49" s="1622">
        <v>8653751200</v>
      </c>
      <c r="AL49" s="1622">
        <v>8663381877</v>
      </c>
      <c r="AN49" s="498"/>
    </row>
    <row r="50" spans="1:40" ht="18" customHeight="1">
      <c r="A50" s="498"/>
      <c r="D50" s="1598">
        <v>115470</v>
      </c>
      <c r="E50" s="1364" t="s">
        <v>2</v>
      </c>
      <c r="F50" s="1366">
        <v>1308</v>
      </c>
      <c r="G50" s="1364" t="s">
        <v>50</v>
      </c>
      <c r="H50" s="498">
        <v>-5314690071</v>
      </c>
      <c r="I50" s="498">
        <v>0</v>
      </c>
      <c r="J50" s="710">
        <v>-84098606</v>
      </c>
      <c r="K50" s="710">
        <v>0</v>
      </c>
      <c r="L50" s="510">
        <f t="shared" si="14"/>
        <v>-5398788677</v>
      </c>
      <c r="N50" s="1673">
        <f>SUMIF('1.0'!$D:$D,T_BS!D50,'1.0'!$V:$V)</f>
        <v>0</v>
      </c>
      <c r="O50" s="710">
        <f>SUMIF('2.0'!$D:$D,T_BS!D50,'2.0'!$V:$V)</f>
        <v>0</v>
      </c>
      <c r="P50" s="509">
        <f>ROUND(SUMIF('3.0'!$D:$D,T_BS!D50,'3.0'!$H:$H),0)</f>
        <v>0</v>
      </c>
      <c r="Q50" s="720">
        <f>ROUND(SUMIF('4.0'!$D:$D,T_BS!D50,'4.0'!$V:$V),0)</f>
        <v>0</v>
      </c>
      <c r="R50" s="509">
        <f>ROUND(SUMIF('5.0'!$D:$D,T_BS!D50,'5.0'!$V:$V),0)</f>
        <v>0</v>
      </c>
      <c r="S50" s="720">
        <f>ROUND(SUMIF('6.0'!$D:$D,T_BS!D50,'6.0'!$V:$V),0)</f>
        <v>0</v>
      </c>
      <c r="T50" s="720">
        <f>ROUND(SUMIF('7.0'!$D:$D,T_BS!D50,'7.0'!$V:$V),0)</f>
        <v>0</v>
      </c>
      <c r="U50" s="720">
        <f>ROUND(SUMIF('8.0'!$D:$D,T_BS!D50,'8.0'!$H:$H),0)</f>
        <v>0</v>
      </c>
      <c r="V50" s="510">
        <f t="shared" si="9"/>
        <v>0</v>
      </c>
      <c r="X50" s="1647">
        <f t="shared" si="15"/>
        <v>-5398788677</v>
      </c>
      <c r="Z50" s="1622">
        <f t="shared" si="16"/>
        <v>144468795</v>
      </c>
      <c r="AB50" s="1622">
        <v>-5400373085</v>
      </c>
      <c r="AC50" s="1622">
        <v>-5125611405</v>
      </c>
      <c r="AD50" s="1622">
        <v>-5123498998</v>
      </c>
      <c r="AE50" s="1622">
        <v>-5123251305</v>
      </c>
      <c r="AF50" s="1622">
        <v>-5750762443</v>
      </c>
      <c r="AG50" s="1622">
        <v>-5543257472</v>
      </c>
      <c r="AH50" s="1622">
        <v>-5773151023</v>
      </c>
      <c r="AI50" s="1622">
        <v>-6577657586</v>
      </c>
      <c r="AJ50" s="1622">
        <v>-6929735349</v>
      </c>
      <c r="AK50" s="1622">
        <v>-6946109301</v>
      </c>
      <c r="AL50" s="1622">
        <v>-6904841410</v>
      </c>
      <c r="AN50" s="498"/>
    </row>
    <row r="51" spans="1:40" ht="18" customHeight="1">
      <c r="A51" s="498"/>
      <c r="D51" s="1598">
        <v>115800</v>
      </c>
      <c r="E51" s="1364" t="s">
        <v>2</v>
      </c>
      <c r="F51" s="1366" t="s">
        <v>611</v>
      </c>
      <c r="G51" s="1364" t="s">
        <v>51</v>
      </c>
      <c r="H51" s="498">
        <v>0</v>
      </c>
      <c r="I51" s="498">
        <v>0</v>
      </c>
      <c r="J51" s="710">
        <v>0</v>
      </c>
      <c r="K51" s="710">
        <v>0</v>
      </c>
      <c r="L51" s="510">
        <f t="shared" si="14"/>
        <v>0</v>
      </c>
      <c r="N51" s="1673">
        <f>SUMIF('1.0'!$D:$D,T_BS!D51,'1.0'!$V:$V)</f>
        <v>0</v>
      </c>
      <c r="O51" s="710">
        <f>SUMIF('2.0'!$D:$D,T_BS!D51,'2.0'!$V:$V)</f>
        <v>0</v>
      </c>
      <c r="P51" s="509">
        <f>ROUND(SUMIF('3.0'!$D:$D,T_BS!D51,'3.0'!$H:$H),0)</f>
        <v>0</v>
      </c>
      <c r="Q51" s="720">
        <f>ROUND(SUMIF('4.0'!$D:$D,T_BS!D51,'4.0'!$V:$V),0)</f>
        <v>0</v>
      </c>
      <c r="R51" s="509">
        <f>ROUND(SUMIF('5.0'!$D:$D,T_BS!D51,'5.0'!$V:$V),0)</f>
        <v>0</v>
      </c>
      <c r="S51" s="720">
        <f>ROUND(SUMIF('6.0'!$D:$D,T_BS!D51,'6.0'!$V:$V),0)</f>
        <v>0</v>
      </c>
      <c r="T51" s="720">
        <f>ROUND(SUMIF('7.0'!$D:$D,T_BS!D51,'7.0'!$V:$V),0)</f>
        <v>0</v>
      </c>
      <c r="U51" s="720">
        <f>ROUND(SUMIF('8.0'!$D:$D,T_BS!D51,'8.0'!$H:$H),0)</f>
        <v>0</v>
      </c>
      <c r="V51" s="510">
        <f t="shared" si="9"/>
        <v>0</v>
      </c>
      <c r="X51" s="1647">
        <f t="shared" si="15"/>
        <v>0</v>
      </c>
      <c r="Z51" s="1622">
        <f t="shared" si="16"/>
        <v>0</v>
      </c>
      <c r="AB51" s="1622">
        <v>0</v>
      </c>
      <c r="AC51" s="1622">
        <v>0</v>
      </c>
      <c r="AD51" s="1622">
        <v>0</v>
      </c>
      <c r="AE51" s="1622">
        <v>0</v>
      </c>
      <c r="AF51" s="1622">
        <v>0</v>
      </c>
      <c r="AG51" s="1622">
        <v>0</v>
      </c>
      <c r="AH51" s="1622">
        <v>0</v>
      </c>
      <c r="AI51" s="1622">
        <v>0</v>
      </c>
      <c r="AJ51" s="1622">
        <v>0</v>
      </c>
      <c r="AK51" s="1622">
        <v>0</v>
      </c>
      <c r="AL51" s="1622">
        <v>0</v>
      </c>
      <c r="AN51" s="498"/>
    </row>
    <row r="52" spans="1:40" ht="18" customHeight="1">
      <c r="A52" s="498"/>
      <c r="D52" s="1593"/>
      <c r="E52" s="1594"/>
      <c r="F52" s="1595"/>
      <c r="G52" s="1594" t="s">
        <v>3</v>
      </c>
      <c r="H52" s="520">
        <f>SUM(H53:H56)</f>
        <v>128570015</v>
      </c>
      <c r="I52" s="506">
        <f>SUM(I53:I56)</f>
        <v>90690</v>
      </c>
      <c r="J52" s="506">
        <f>SUM(J53:J56)</f>
        <v>0</v>
      </c>
      <c r="K52" s="506">
        <f>SUM(K53:K56)</f>
        <v>1241569</v>
      </c>
      <c r="L52" s="507">
        <f>SUM(L53:L56)</f>
        <v>129902274</v>
      </c>
      <c r="N52" s="1637">
        <f t="shared" ref="N52:S52" si="17">SUM(N53:N56)</f>
        <v>0</v>
      </c>
      <c r="O52" s="506">
        <f t="shared" si="17"/>
        <v>0</v>
      </c>
      <c r="P52" s="506">
        <f t="shared" si="17"/>
        <v>0</v>
      </c>
      <c r="Q52" s="506">
        <f t="shared" si="17"/>
        <v>0</v>
      </c>
      <c r="R52" s="506">
        <f t="shared" si="17"/>
        <v>0</v>
      </c>
      <c r="S52" s="506">
        <f t="shared" si="17"/>
        <v>-5630944</v>
      </c>
      <c r="T52" s="506">
        <f>SUM(T53:T56)</f>
        <v>0</v>
      </c>
      <c r="U52" s="506">
        <f>SUM(U53:U56)</f>
        <v>0</v>
      </c>
      <c r="V52" s="507">
        <f>SUM(V53:V56)</f>
        <v>-5630944</v>
      </c>
      <c r="X52" s="1636">
        <f>SUM(X53:X56)</f>
        <v>124271330</v>
      </c>
      <c r="Z52" s="1636">
        <f>SUM(Z53:Z56)</f>
        <v>124271330</v>
      </c>
      <c r="AB52" s="1636">
        <v>68622916</v>
      </c>
      <c r="AC52" s="1636">
        <v>53293732</v>
      </c>
      <c r="AD52" s="1636">
        <v>0</v>
      </c>
      <c r="AE52" s="1636">
        <v>0</v>
      </c>
      <c r="AF52" s="1636">
        <v>0</v>
      </c>
      <c r="AG52" s="1636">
        <v>0</v>
      </c>
      <c r="AH52" s="1636">
        <v>0</v>
      </c>
      <c r="AI52" s="1636">
        <v>0</v>
      </c>
      <c r="AJ52" s="1636">
        <v>0</v>
      </c>
      <c r="AK52" s="1636">
        <f>SUM(AK53:AK56)</f>
        <v>222695846</v>
      </c>
      <c r="AL52" s="1636">
        <v>226315893</v>
      </c>
      <c r="AN52" s="498"/>
    </row>
    <row r="53" spans="1:40" ht="18" customHeight="1">
      <c r="A53" s="498"/>
      <c r="D53" s="1598">
        <v>113100</v>
      </c>
      <c r="E53" s="1364" t="s">
        <v>3</v>
      </c>
      <c r="F53" s="1366">
        <v>1401</v>
      </c>
      <c r="G53" s="1364" t="s">
        <v>52</v>
      </c>
      <c r="H53" s="498">
        <v>55746200</v>
      </c>
      <c r="I53" s="498">
        <v>90690</v>
      </c>
      <c r="J53" s="710">
        <v>0</v>
      </c>
      <c r="K53" s="710">
        <v>0</v>
      </c>
      <c r="L53" s="510">
        <f>SUM(H53:K53)</f>
        <v>55836890</v>
      </c>
      <c r="N53" s="1673">
        <f>SUMIF('1.0'!$D:$D,T_BS!D53,'1.0'!$V:$V)</f>
        <v>0</v>
      </c>
      <c r="O53" s="710">
        <f>SUMIF('2.0'!$D:$D,T_BS!D53,'2.0'!$V:$V)</f>
        <v>0</v>
      </c>
      <c r="P53" s="509">
        <f>ROUND(SUMIF('3.0'!$D:$D,T_BS!D53,'3.0'!$H:$H),0)</f>
        <v>0</v>
      </c>
      <c r="Q53" s="720">
        <f>ROUND(SUMIF('4.0'!$D:$D,T_BS!D53,'4.0'!$V:$V),0)</f>
        <v>0</v>
      </c>
      <c r="R53" s="509">
        <f>ROUND(SUMIF('5.0'!$D:$D,T_BS!D53,'5.0'!$V:$V),0)</f>
        <v>0</v>
      </c>
      <c r="S53" s="720">
        <f>ROUND(SUMIF('6.0'!$D:$D,T_BS!D53,'6.0'!$V:$V),0)</f>
        <v>-56374</v>
      </c>
      <c r="T53" s="720">
        <f>ROUND(SUMIF('7.0'!$D:$D,T_BS!D53,'7.0'!$V:$V),0)</f>
        <v>0</v>
      </c>
      <c r="U53" s="720">
        <f>ROUND(SUMIF('8.0'!$D:$D,T_BS!D53,'8.0'!$H:$H),0)</f>
        <v>0</v>
      </c>
      <c r="V53" s="510">
        <f t="shared" si="9"/>
        <v>-56374</v>
      </c>
      <c r="X53" s="1622">
        <f>V53+L53</f>
        <v>55780516</v>
      </c>
      <c r="Z53" s="1622">
        <f>X53-AG53</f>
        <v>55780516</v>
      </c>
      <c r="AB53" s="1622">
        <v>90690</v>
      </c>
      <c r="AC53" s="1622">
        <v>48907991</v>
      </c>
      <c r="AD53" s="1622">
        <v>0</v>
      </c>
      <c r="AE53" s="1622">
        <v>0</v>
      </c>
      <c r="AF53" s="1622">
        <v>0</v>
      </c>
      <c r="AG53" s="1622">
        <v>0</v>
      </c>
      <c r="AH53" s="1622">
        <v>0</v>
      </c>
      <c r="AI53" s="1622">
        <v>0</v>
      </c>
      <c r="AJ53" s="1622">
        <v>0</v>
      </c>
      <c r="AK53" s="1622">
        <v>0</v>
      </c>
      <c r="AL53" s="1622">
        <v>76408880</v>
      </c>
      <c r="AN53" s="498"/>
    </row>
    <row r="54" spans="1:40" ht="18" customHeight="1">
      <c r="A54" s="498"/>
      <c r="D54" s="1598">
        <v>113101</v>
      </c>
      <c r="E54" s="1364" t="s">
        <v>3</v>
      </c>
      <c r="F54" s="1366">
        <v>1401</v>
      </c>
      <c r="G54" s="1364" t="s">
        <v>53</v>
      </c>
      <c r="H54" s="498">
        <v>5574570</v>
      </c>
      <c r="I54" s="498">
        <v>0</v>
      </c>
      <c r="J54" s="710">
        <v>0</v>
      </c>
      <c r="K54" s="710">
        <v>0</v>
      </c>
      <c r="L54" s="510">
        <f>SUM(H54:K54)</f>
        <v>5574570</v>
      </c>
      <c r="N54" s="1673">
        <f>SUMIF('1.0'!$D:$D,T_BS!D54,'1.0'!$V:$V)</f>
        <v>0</v>
      </c>
      <c r="O54" s="710">
        <f>SUMIF('2.0'!$D:$D,T_BS!D54,'2.0'!$V:$V)</f>
        <v>0</v>
      </c>
      <c r="P54" s="509">
        <f>ROUND(SUMIF('3.0'!$D:$D,T_BS!D54,'3.0'!$H:$H),0)</f>
        <v>0</v>
      </c>
      <c r="Q54" s="720">
        <f>ROUND(SUMIF('4.0'!$D:$D,T_BS!D54,'4.0'!$V:$V),0)</f>
        <v>0</v>
      </c>
      <c r="R54" s="509">
        <f>ROUND(SUMIF('5.0'!$D:$D,T_BS!D54,'5.0'!$V:$V),0)</f>
        <v>0</v>
      </c>
      <c r="S54" s="720">
        <f>ROUND(SUMIF('6.0'!$D:$D,T_BS!D54,'6.0'!$V:$V),0)</f>
        <v>-5574570</v>
      </c>
      <c r="T54" s="720">
        <f>ROUND(SUMIF('7.0'!$D:$D,T_BS!D54,'7.0'!$V:$V),0)</f>
        <v>0</v>
      </c>
      <c r="U54" s="720">
        <f>ROUND(SUMIF('8.0'!$D:$D,T_BS!D54,'8.0'!$H:$H),0)</f>
        <v>0</v>
      </c>
      <c r="V54" s="510">
        <f t="shared" si="9"/>
        <v>-5574570</v>
      </c>
      <c r="X54" s="1622">
        <f>V54+L54</f>
        <v>0</v>
      </c>
      <c r="Z54" s="1622">
        <f>X54-AG54</f>
        <v>0</v>
      </c>
      <c r="AB54" s="1622">
        <v>0</v>
      </c>
      <c r="AC54" s="1622">
        <v>4028260</v>
      </c>
      <c r="AD54" s="1622">
        <v>0</v>
      </c>
      <c r="AE54" s="1622">
        <v>0</v>
      </c>
      <c r="AF54" s="1622">
        <v>0</v>
      </c>
      <c r="AG54" s="1622">
        <v>0</v>
      </c>
      <c r="AH54" s="1622">
        <v>0</v>
      </c>
      <c r="AI54" s="1622">
        <v>0</v>
      </c>
      <c r="AJ54" s="1622">
        <v>0</v>
      </c>
      <c r="AK54" s="1622">
        <v>0</v>
      </c>
      <c r="AL54" s="1622">
        <v>7640290</v>
      </c>
      <c r="AN54" s="498"/>
    </row>
    <row r="55" spans="1:40" ht="18" customHeight="1">
      <c r="A55" s="498"/>
      <c r="D55" s="1598">
        <v>113160</v>
      </c>
      <c r="E55" s="1364" t="s">
        <v>3</v>
      </c>
      <c r="F55" s="1366">
        <v>1401</v>
      </c>
      <c r="G55" s="1364" t="s">
        <v>54</v>
      </c>
      <c r="H55" s="498">
        <v>67249245</v>
      </c>
      <c r="I55" s="498">
        <v>0</v>
      </c>
      <c r="J55" s="710">
        <v>0</v>
      </c>
      <c r="K55" s="710">
        <v>1241569</v>
      </c>
      <c r="L55" s="510">
        <f>SUM(H55:K55)</f>
        <v>68490814</v>
      </c>
      <c r="N55" s="1673">
        <f>SUMIF('1.0'!$D:$D,T_BS!D55,'1.0'!$V:$V)</f>
        <v>0</v>
      </c>
      <c r="O55" s="710">
        <f>SUMIF('2.0'!$D:$D,T_BS!D55,'2.0'!$V:$V)</f>
        <v>0</v>
      </c>
      <c r="P55" s="509">
        <f>ROUND(SUMIF('3.0'!$D:$D,T_BS!D55,'3.0'!$H:$H),0)</f>
        <v>0</v>
      </c>
      <c r="Q55" s="720">
        <f>ROUND(SUMIF('4.0'!$D:$D,T_BS!D55,'4.0'!$V:$V),0)</f>
        <v>0</v>
      </c>
      <c r="R55" s="509">
        <f>ROUND(SUMIF('5.0'!$D:$D,T_BS!D55,'5.0'!$V:$V),0)</f>
        <v>0</v>
      </c>
      <c r="S55" s="720">
        <f>ROUND(SUMIF('6.0'!$D:$D,T_BS!D55,'6.0'!$V:$V),0)</f>
        <v>0</v>
      </c>
      <c r="T55" s="720">
        <f>ROUND(SUMIF('7.0'!$D:$D,T_BS!D55,'7.0'!$V:$V),0)</f>
        <v>0</v>
      </c>
      <c r="U55" s="720">
        <f>ROUND(SUMIF('8.0'!$D:$D,T_BS!D55,'8.0'!$H:$H),0)</f>
        <v>0</v>
      </c>
      <c r="V55" s="510">
        <f t="shared" si="9"/>
        <v>0</v>
      </c>
      <c r="X55" s="1622">
        <f>V55+L55</f>
        <v>68490814</v>
      </c>
      <c r="Z55" s="1622">
        <f>X55-AG55</f>
        <v>68490814</v>
      </c>
      <c r="AB55" s="1622">
        <v>68532226</v>
      </c>
      <c r="AC55" s="1622">
        <v>357481</v>
      </c>
      <c r="AD55" s="1622">
        <v>0</v>
      </c>
      <c r="AE55" s="1622">
        <v>0</v>
      </c>
      <c r="AF55" s="1622">
        <v>0</v>
      </c>
      <c r="AG55" s="1622">
        <v>0</v>
      </c>
      <c r="AH55" s="1622">
        <v>0</v>
      </c>
      <c r="AI55" s="1622">
        <v>0</v>
      </c>
      <c r="AJ55" s="1622">
        <v>0</v>
      </c>
      <c r="AK55" s="1622">
        <v>214111216</v>
      </c>
      <c r="AL55" s="1622">
        <v>141322383</v>
      </c>
      <c r="AN55" s="498"/>
    </row>
    <row r="56" spans="1:40" ht="18" customHeight="1">
      <c r="A56" s="498"/>
      <c r="D56" s="1598">
        <v>113161</v>
      </c>
      <c r="E56" s="1364" t="s">
        <v>3</v>
      </c>
      <c r="F56" s="1366">
        <v>1401</v>
      </c>
      <c r="G56" s="1364" t="s">
        <v>55</v>
      </c>
      <c r="H56" s="498">
        <v>0</v>
      </c>
      <c r="I56" s="498">
        <v>0</v>
      </c>
      <c r="J56" s="710">
        <v>0</v>
      </c>
      <c r="K56" s="710">
        <v>0</v>
      </c>
      <c r="L56" s="510">
        <f>SUM(H56:K56)</f>
        <v>0</v>
      </c>
      <c r="N56" s="1673">
        <f>SUMIF('1.0'!$D:$D,T_BS!D56,'1.0'!$V:$V)</f>
        <v>0</v>
      </c>
      <c r="O56" s="710">
        <f>SUMIF('2.0'!$D:$D,T_BS!D56,'2.0'!$V:$V)</f>
        <v>0</v>
      </c>
      <c r="P56" s="509">
        <f>ROUND(SUMIF('3.0'!$D:$D,T_BS!D56,'3.0'!$H:$H),0)</f>
        <v>0</v>
      </c>
      <c r="Q56" s="720">
        <f>ROUND(SUMIF('4.0'!$D:$D,T_BS!D56,'4.0'!$V:$V),0)</f>
        <v>0</v>
      </c>
      <c r="R56" s="509">
        <f>ROUND(SUMIF('5.0'!$D:$D,T_BS!D56,'5.0'!$V:$V),0)</f>
        <v>0</v>
      </c>
      <c r="S56" s="720">
        <f>ROUND(SUMIF('6.0'!$D:$D,T_BS!D56,'6.0'!$V:$V),0)</f>
        <v>0</v>
      </c>
      <c r="T56" s="720">
        <f>ROUND(SUMIF('7.0'!$D:$D,T_BS!D56,'7.0'!$V:$V),0)</f>
        <v>0</v>
      </c>
      <c r="U56" s="720">
        <f>ROUND(SUMIF('8.0'!$D:$D,T_BS!D56,'8.0'!$H:$H),0)</f>
        <v>0</v>
      </c>
      <c r="V56" s="510">
        <f t="shared" si="9"/>
        <v>0</v>
      </c>
      <c r="X56" s="1622">
        <f>V56+L56</f>
        <v>0</v>
      </c>
      <c r="Z56" s="1622">
        <f>X56-AG56</f>
        <v>0</v>
      </c>
      <c r="AB56" s="1622">
        <v>0</v>
      </c>
      <c r="AC56" s="1622">
        <v>0</v>
      </c>
      <c r="AD56" s="1622">
        <v>0</v>
      </c>
      <c r="AE56" s="1622">
        <v>0</v>
      </c>
      <c r="AF56" s="1622">
        <v>0</v>
      </c>
      <c r="AG56" s="1622">
        <v>0</v>
      </c>
      <c r="AH56" s="1622">
        <v>0</v>
      </c>
      <c r="AI56" s="1622">
        <v>0</v>
      </c>
      <c r="AJ56" s="1622">
        <v>0</v>
      </c>
      <c r="AK56" s="1622">
        <v>8584630</v>
      </c>
      <c r="AL56" s="1622">
        <v>944340</v>
      </c>
      <c r="AN56" s="498"/>
    </row>
    <row r="57" spans="1:40" ht="18" customHeight="1">
      <c r="A57" s="498"/>
      <c r="D57" s="1593"/>
      <c r="E57" s="1594"/>
      <c r="F57" s="1595"/>
      <c r="G57" s="1594" t="s">
        <v>4</v>
      </c>
      <c r="H57" s="520">
        <f>SUM(H58:H73)</f>
        <v>7597350448</v>
      </c>
      <c r="I57" s="506">
        <f>SUM(I58:I73)</f>
        <v>821918</v>
      </c>
      <c r="J57" s="506">
        <f>SUM(J58:J73)</f>
        <v>28899489</v>
      </c>
      <c r="K57" s="506">
        <f>SUM(K58:K73)</f>
        <v>1252159801</v>
      </c>
      <c r="L57" s="507">
        <f>SUM(L58:L73)</f>
        <v>8879231656</v>
      </c>
      <c r="N57" s="1637">
        <f t="shared" ref="N57:V57" si="18">SUM(N58:N73)</f>
        <v>0</v>
      </c>
      <c r="O57" s="506">
        <f t="shared" si="18"/>
        <v>0</v>
      </c>
      <c r="P57" s="506">
        <f t="shared" si="18"/>
        <v>-284268252</v>
      </c>
      <c r="Q57" s="506">
        <f t="shared" si="18"/>
        <v>0</v>
      </c>
      <c r="R57" s="506">
        <f t="shared" si="18"/>
        <v>0</v>
      </c>
      <c r="S57" s="506">
        <f t="shared" si="18"/>
        <v>-1128563830</v>
      </c>
      <c r="T57" s="506">
        <f t="shared" si="18"/>
        <v>0</v>
      </c>
      <c r="U57" s="506">
        <f t="shared" si="18"/>
        <v>0</v>
      </c>
      <c r="V57" s="507">
        <f t="shared" si="18"/>
        <v>-1412832082</v>
      </c>
      <c r="X57" s="1636">
        <f>SUM(X58:X73)</f>
        <v>7466399574</v>
      </c>
      <c r="Z57" s="1636">
        <f>SUM(Z58:Z73)</f>
        <v>-7792912499</v>
      </c>
      <c r="AB57" s="1636">
        <v>7168876636</v>
      </c>
      <c r="AC57" s="1636">
        <v>7974528404</v>
      </c>
      <c r="AD57" s="1636">
        <v>8210929207</v>
      </c>
      <c r="AE57" s="1636">
        <v>7617923968</v>
      </c>
      <c r="AF57" s="1636">
        <v>14849604037</v>
      </c>
      <c r="AG57" s="1636">
        <v>15259312073</v>
      </c>
      <c r="AH57" s="1636">
        <v>14740551138</v>
      </c>
      <c r="AI57" s="1636">
        <v>14285262065</v>
      </c>
      <c r="AJ57" s="1636">
        <v>14458119038</v>
      </c>
      <c r="AK57" s="1636">
        <f>SUM(AK58:AK73)</f>
        <v>11303673166</v>
      </c>
      <c r="AL57" s="1636">
        <v>3186447890</v>
      </c>
      <c r="AN57" s="498"/>
    </row>
    <row r="58" spans="1:40" ht="18" customHeight="1">
      <c r="A58" s="498"/>
      <c r="D58" s="1598">
        <v>112710</v>
      </c>
      <c r="E58" s="1364" t="s">
        <v>4</v>
      </c>
      <c r="F58" s="1366">
        <v>1605</v>
      </c>
      <c r="G58" s="1364" t="s">
        <v>56</v>
      </c>
      <c r="H58" s="498">
        <v>982611840</v>
      </c>
      <c r="I58" s="498">
        <v>0</v>
      </c>
      <c r="J58" s="710">
        <v>0</v>
      </c>
      <c r="K58" s="710">
        <v>29513339</v>
      </c>
      <c r="L58" s="510">
        <f t="shared" ref="L58:L73" si="19">SUM(H58:K58)</f>
        <v>1012125179</v>
      </c>
      <c r="N58" s="1673">
        <f>SUMIF('1.0'!$D:$D,T_BS!D58,'1.0'!$V:$V)</f>
        <v>0</v>
      </c>
      <c r="O58" s="710">
        <f>SUMIF('2.0'!$D:$D,T_BS!D58,'2.0'!$V:$V)</f>
        <v>0</v>
      </c>
      <c r="P58" s="509">
        <f>ROUND(SUMIF('3.0'!$D:$D,T_BS!D58,'3.0'!$H:$H),0)</f>
        <v>0</v>
      </c>
      <c r="Q58" s="720">
        <f>ROUND(SUMIF('4.0'!$D:$D,T_BS!D58,'4.0'!$V:$V),0)</f>
        <v>0</v>
      </c>
      <c r="R58" s="509">
        <f>ROUND(SUMIF('5.0'!$D:$D,T_BS!D58,'5.0'!$V:$V),0)</f>
        <v>0</v>
      </c>
      <c r="S58" s="720">
        <f>ROUND(SUMIF('6.0'!$D:$D,T_BS!D58,'6.0'!$V:$V),0)</f>
        <v>0</v>
      </c>
      <c r="T58" s="720">
        <f>ROUND(SUMIF('7.0'!$D:$D,T_BS!D58,'7.0'!$V:$V),0)</f>
        <v>0</v>
      </c>
      <c r="U58" s="720">
        <f>ROUND(SUMIF('8.0'!$D:$D,T_BS!D58,'8.0'!$H:$H),0)</f>
        <v>0</v>
      </c>
      <c r="V58" s="510">
        <f t="shared" si="9"/>
        <v>0</v>
      </c>
      <c r="X58" s="1647">
        <f t="shared" ref="X58:X73" si="20">V58+L58</f>
        <v>1012125179</v>
      </c>
      <c r="Z58" s="1622">
        <f t="shared" ref="Z58:Z73" si="21">X58-AG58</f>
        <v>-217601622</v>
      </c>
      <c r="AB58" s="1622">
        <v>1138413483</v>
      </c>
      <c r="AC58" s="1622">
        <v>1338098419</v>
      </c>
      <c r="AD58" s="1622">
        <v>1916470579</v>
      </c>
      <c r="AE58" s="1622">
        <v>1291954850</v>
      </c>
      <c r="AF58" s="1622">
        <v>1206272072</v>
      </c>
      <c r="AG58" s="1622">
        <v>1229726801</v>
      </c>
      <c r="AH58" s="1622">
        <v>714969338</v>
      </c>
      <c r="AI58" s="1622">
        <v>820948870</v>
      </c>
      <c r="AJ58" s="1622">
        <v>993762964</v>
      </c>
      <c r="AK58" s="1622">
        <v>774132556</v>
      </c>
      <c r="AL58" s="1622">
        <v>478766169</v>
      </c>
      <c r="AN58" s="498"/>
    </row>
    <row r="59" spans="1:40" ht="18" customHeight="1">
      <c r="A59" s="498"/>
      <c r="D59" s="1598">
        <v>112720</v>
      </c>
      <c r="E59" s="1364" t="s">
        <v>4</v>
      </c>
      <c r="F59" s="1366">
        <v>1605</v>
      </c>
      <c r="G59" s="1364" t="s">
        <v>57</v>
      </c>
      <c r="H59" s="498">
        <v>800534191</v>
      </c>
      <c r="I59" s="498">
        <v>0</v>
      </c>
      <c r="J59" s="710">
        <v>0</v>
      </c>
      <c r="K59" s="710">
        <v>0</v>
      </c>
      <c r="L59" s="510">
        <f t="shared" si="19"/>
        <v>800534191</v>
      </c>
      <c r="N59" s="1673">
        <f>SUMIF('1.0'!$D:$D,T_BS!D59,'1.0'!$V:$V)</f>
        <v>0</v>
      </c>
      <c r="O59" s="710">
        <f>SUMIF('2.0'!$D:$D,T_BS!D59,'2.0'!$V:$V)</f>
        <v>0</v>
      </c>
      <c r="P59" s="509">
        <f>ROUND(SUMIF('3.0'!$D:$D,T_BS!D59,'3.0'!$H:$H),0)</f>
        <v>0</v>
      </c>
      <c r="Q59" s="720">
        <f>ROUND(SUMIF('4.0'!$D:$D,T_BS!D59,'4.0'!$V:$V),0)</f>
        <v>0</v>
      </c>
      <c r="R59" s="509">
        <f>ROUND(SUMIF('5.0'!$D:$D,T_BS!D59,'5.0'!$V:$V),0)</f>
        <v>0</v>
      </c>
      <c r="S59" s="720">
        <f>ROUND(SUMIF('6.0'!$D:$D,T_BS!D59,'6.0'!$V:$V),0)</f>
        <v>0</v>
      </c>
      <c r="T59" s="720">
        <f>ROUND(SUMIF('7.0'!$D:$D,T_BS!D59,'7.0'!$V:$V),0)</f>
        <v>0</v>
      </c>
      <c r="U59" s="720">
        <f>ROUND(SUMIF('8.0'!$D:$D,T_BS!D59,'8.0'!$H:$H),0)</f>
        <v>0</v>
      </c>
      <c r="V59" s="510">
        <f t="shared" si="9"/>
        <v>0</v>
      </c>
      <c r="X59" s="1647">
        <f t="shared" si="20"/>
        <v>800534191</v>
      </c>
      <c r="Z59" s="1622">
        <f t="shared" si="21"/>
        <v>-315548163</v>
      </c>
      <c r="AB59" s="1622">
        <v>961235745</v>
      </c>
      <c r="AC59" s="1622">
        <v>1052487490</v>
      </c>
      <c r="AD59" s="1622">
        <v>1111553308</v>
      </c>
      <c r="AE59" s="1622">
        <v>1147089199</v>
      </c>
      <c r="AF59" s="1622">
        <v>1056424449</v>
      </c>
      <c r="AG59" s="1622">
        <v>1116082354</v>
      </c>
      <c r="AH59" s="1622">
        <v>1350535418</v>
      </c>
      <c r="AI59" s="1622">
        <v>1376672079</v>
      </c>
      <c r="AJ59" s="1622">
        <v>1430789177</v>
      </c>
      <c r="AK59" s="1622">
        <v>1002764268</v>
      </c>
      <c r="AL59" s="1622">
        <v>724491871</v>
      </c>
      <c r="AN59" s="498"/>
    </row>
    <row r="60" spans="1:40" ht="18" customHeight="1">
      <c r="A60" s="498"/>
      <c r="D60" s="1598">
        <v>112730</v>
      </c>
      <c r="E60" s="1364" t="s">
        <v>4</v>
      </c>
      <c r="F60" s="1366">
        <v>1605</v>
      </c>
      <c r="G60" s="1364" t="s">
        <v>58</v>
      </c>
      <c r="H60" s="498">
        <v>1092662363</v>
      </c>
      <c r="I60" s="498">
        <v>0</v>
      </c>
      <c r="J60" s="710">
        <v>0</v>
      </c>
      <c r="K60" s="710">
        <v>0</v>
      </c>
      <c r="L60" s="510">
        <f t="shared" si="19"/>
        <v>1092662363</v>
      </c>
      <c r="N60" s="1673">
        <f>SUMIF('1.0'!$D:$D,T_BS!D60,'1.0'!$V:$V)</f>
        <v>0</v>
      </c>
      <c r="O60" s="710">
        <f>SUMIF('2.0'!$D:$D,T_BS!D60,'2.0'!$V:$V)</f>
        <v>0</v>
      </c>
      <c r="P60" s="509">
        <f>ROUND(SUMIF('3.0'!$D:$D,T_BS!D60,'3.0'!$H:$H),0)</f>
        <v>0</v>
      </c>
      <c r="Q60" s="720">
        <f>ROUND(SUMIF('4.0'!$D:$D,T_BS!D60,'4.0'!$V:$V),0)</f>
        <v>0</v>
      </c>
      <c r="R60" s="509">
        <f>ROUND(SUMIF('5.0'!$D:$D,T_BS!D60,'5.0'!$V:$V),0)</f>
        <v>0</v>
      </c>
      <c r="S60" s="720">
        <f>ROUND(SUMIF('6.0'!$D:$D,T_BS!D60,'6.0'!$V:$V),0)</f>
        <v>0</v>
      </c>
      <c r="T60" s="720">
        <f>ROUND(SUMIF('7.0'!$D:$D,T_BS!D60,'7.0'!$V:$V),0)</f>
        <v>0</v>
      </c>
      <c r="U60" s="720">
        <f>ROUND(SUMIF('8.0'!$D:$D,T_BS!D60,'8.0'!$H:$H),0)</f>
        <v>0</v>
      </c>
      <c r="V60" s="510">
        <f t="shared" si="9"/>
        <v>0</v>
      </c>
      <c r="X60" s="1647">
        <f t="shared" si="20"/>
        <v>1092662363</v>
      </c>
      <c r="Z60" s="1622">
        <f t="shared" si="21"/>
        <v>966733351</v>
      </c>
      <c r="AB60" s="1622">
        <v>0</v>
      </c>
      <c r="AC60" s="1622">
        <v>354828709</v>
      </c>
      <c r="AD60" s="1622">
        <v>73277561</v>
      </c>
      <c r="AE60" s="1622">
        <v>219735996</v>
      </c>
      <c r="AF60" s="1622">
        <v>634918847</v>
      </c>
      <c r="AG60" s="1622">
        <v>125929012</v>
      </c>
      <c r="AH60" s="1622">
        <v>695414349</v>
      </c>
      <c r="AI60" s="1622">
        <v>667956148</v>
      </c>
      <c r="AJ60" s="1622">
        <v>23617862</v>
      </c>
      <c r="AK60" s="1622">
        <v>360609762</v>
      </c>
      <c r="AL60" s="1622">
        <v>0</v>
      </c>
      <c r="AN60" s="498"/>
    </row>
    <row r="61" spans="1:40" ht="18" customHeight="1">
      <c r="A61" s="498"/>
      <c r="D61" s="1598">
        <v>113340</v>
      </c>
      <c r="E61" s="1364" t="s">
        <v>4</v>
      </c>
      <c r="F61" s="1366">
        <v>1607</v>
      </c>
      <c r="G61" s="1364" t="s">
        <v>59</v>
      </c>
      <c r="H61" s="498">
        <v>66315496</v>
      </c>
      <c r="I61" s="498">
        <v>0</v>
      </c>
      <c r="J61" s="710">
        <v>0</v>
      </c>
      <c r="K61" s="710">
        <v>0</v>
      </c>
      <c r="L61" s="510">
        <f t="shared" si="19"/>
        <v>66315496</v>
      </c>
      <c r="N61" s="1673">
        <f>SUMIF('1.0'!$D:$D,T_BS!D61,'1.0'!$V:$V)</f>
        <v>0</v>
      </c>
      <c r="O61" s="710">
        <f>SUMIF('2.0'!$D:$D,T_BS!D61,'2.0'!$V:$V)</f>
        <v>0</v>
      </c>
      <c r="P61" s="509">
        <f>ROUND(SUMIF('3.0'!$D:$D,T_BS!D61,'3.0'!$H:$H),0)</f>
        <v>0</v>
      </c>
      <c r="Q61" s="720">
        <f>ROUND(SUMIF('4.0'!$D:$D,T_BS!D61,'4.0'!$V:$V),0)</f>
        <v>0</v>
      </c>
      <c r="R61" s="509">
        <f>ROUND(SUMIF('5.0'!$D:$D,T_BS!D61,'5.0'!$V:$V),0)</f>
        <v>0</v>
      </c>
      <c r="S61" s="720">
        <f>ROUND(SUMIF('6.0'!$D:$D,T_BS!D61,'6.0'!$V:$V),0)</f>
        <v>0</v>
      </c>
      <c r="T61" s="720">
        <f>ROUND(SUMIF('7.0'!$D:$D,T_BS!D61,'7.0'!$V:$V),0)</f>
        <v>0</v>
      </c>
      <c r="U61" s="720">
        <f>ROUND(SUMIF('8.0'!$D:$D,T_BS!D61,'8.0'!$H:$H),0)</f>
        <v>0</v>
      </c>
      <c r="V61" s="510">
        <f t="shared" si="9"/>
        <v>0</v>
      </c>
      <c r="X61" s="1647">
        <f t="shared" si="20"/>
        <v>66315496</v>
      </c>
      <c r="Z61" s="1622">
        <f t="shared" si="21"/>
        <v>-19882908</v>
      </c>
      <c r="AB61" s="1622">
        <v>66315496</v>
      </c>
      <c r="AC61" s="1622">
        <v>66315496</v>
      </c>
      <c r="AD61" s="1622">
        <v>66315496</v>
      </c>
      <c r="AE61" s="1622">
        <v>66315496</v>
      </c>
      <c r="AF61" s="1622">
        <v>86198404</v>
      </c>
      <c r="AG61" s="1622">
        <v>86198404</v>
      </c>
      <c r="AH61" s="1622">
        <v>130321076</v>
      </c>
      <c r="AI61" s="1622">
        <v>130321076</v>
      </c>
      <c r="AJ61" s="1622">
        <v>130321076</v>
      </c>
      <c r="AK61" s="1622">
        <v>93286021</v>
      </c>
      <c r="AL61" s="1622">
        <v>93286021</v>
      </c>
      <c r="AN61" s="498"/>
    </row>
    <row r="62" spans="1:40" ht="18" customHeight="1">
      <c r="A62" s="498"/>
      <c r="D62" s="1598">
        <v>112511</v>
      </c>
      <c r="E62" s="1364" t="s">
        <v>4</v>
      </c>
      <c r="F62" s="1366">
        <v>1601</v>
      </c>
      <c r="G62" s="1364" t="s">
        <v>60</v>
      </c>
      <c r="H62" s="498">
        <v>1992361804</v>
      </c>
      <c r="I62" s="498">
        <v>821918</v>
      </c>
      <c r="J62" s="710">
        <v>28899489</v>
      </c>
      <c r="K62" s="710">
        <v>94082632</v>
      </c>
      <c r="L62" s="510">
        <f t="shared" si="19"/>
        <v>2116165843</v>
      </c>
      <c r="N62" s="1673">
        <f>SUMIF('1.0'!$D:$D,T_BS!D62,'1.0'!$V:$V)</f>
        <v>0</v>
      </c>
      <c r="O62" s="710">
        <f>SUMIF('2.0'!$D:$D,T_BS!D62,'2.0'!$V:$V)</f>
        <v>0</v>
      </c>
      <c r="P62" s="509">
        <f>ROUND(SUMIF('3.0'!$D:$D,T_BS!D62,'3.0'!$H:$H),0)</f>
        <v>-284268252</v>
      </c>
      <c r="Q62" s="720">
        <f>ROUND(SUMIF('4.0'!$D:$D,T_BS!D62,'4.0'!$V:$V),0)</f>
        <v>0</v>
      </c>
      <c r="R62" s="509">
        <f>ROUND(SUMIF('5.0'!$D:$D,T_BS!D62,'5.0'!$V:$V),0)</f>
        <v>0</v>
      </c>
      <c r="S62" s="720">
        <f>ROUND(SUMIF('6.0'!$D:$D,T_BS!D62,'6.0'!$V:$V),0)</f>
        <v>0</v>
      </c>
      <c r="T62" s="720">
        <f>ROUND(SUMIF('7.0'!$D:$D,T_BS!D62,'7.0'!$V:$V),0)</f>
        <v>0</v>
      </c>
      <c r="U62" s="720">
        <f>ROUND(SUMIF('8.0'!$D:$D,T_BS!D62,'8.0'!$H:$H),0)</f>
        <v>0</v>
      </c>
      <c r="V62" s="510">
        <f t="shared" si="9"/>
        <v>-284268252</v>
      </c>
      <c r="X62" s="1647">
        <f t="shared" si="20"/>
        <v>1831897591</v>
      </c>
      <c r="Z62" s="1622">
        <f t="shared" si="21"/>
        <v>-8242873835</v>
      </c>
      <c r="AB62" s="1622">
        <v>2056005386</v>
      </c>
      <c r="AC62" s="1622">
        <v>2596728297</v>
      </c>
      <c r="AD62" s="1622">
        <v>3224506617</v>
      </c>
      <c r="AE62" s="1622">
        <v>2922311233</v>
      </c>
      <c r="AF62" s="1622">
        <v>9763156355</v>
      </c>
      <c r="AG62" s="1622">
        <v>10074771426</v>
      </c>
      <c r="AH62" s="1622">
        <v>9080194568</v>
      </c>
      <c r="AI62" s="1622">
        <v>8372397646</v>
      </c>
      <c r="AJ62" s="1622">
        <v>8508503853</v>
      </c>
      <c r="AK62" s="1622">
        <v>7964246289</v>
      </c>
      <c r="AL62" s="1622">
        <v>713958100</v>
      </c>
      <c r="AN62" s="498"/>
    </row>
    <row r="63" spans="1:40" ht="18" customHeight="1">
      <c r="A63" s="498"/>
      <c r="D63" s="1598">
        <v>112521</v>
      </c>
      <c r="E63" s="1364" t="s">
        <v>4</v>
      </c>
      <c r="F63" s="1366">
        <v>1601</v>
      </c>
      <c r="G63" s="1364" t="s">
        <v>61</v>
      </c>
      <c r="H63" s="498">
        <v>0</v>
      </c>
      <c r="I63" s="498">
        <v>0</v>
      </c>
      <c r="J63" s="710">
        <v>0</v>
      </c>
      <c r="K63" s="710">
        <v>0</v>
      </c>
      <c r="L63" s="510">
        <f t="shared" si="19"/>
        <v>0</v>
      </c>
      <c r="N63" s="1673">
        <f>SUMIF('1.0'!$D:$D,T_BS!D63,'1.0'!$V:$V)</f>
        <v>0</v>
      </c>
      <c r="O63" s="710">
        <f>SUMIF('2.0'!$D:$D,T_BS!D63,'2.0'!$V:$V)</f>
        <v>0</v>
      </c>
      <c r="P63" s="509">
        <f>ROUND(SUMIF('3.0'!$D:$D,T_BS!D63,'3.0'!$H:$H),0)</f>
        <v>0</v>
      </c>
      <c r="Q63" s="720">
        <f>ROUND(SUMIF('4.0'!$D:$D,T_BS!D63,'4.0'!$V:$V),0)</f>
        <v>0</v>
      </c>
      <c r="R63" s="509">
        <f>ROUND(SUMIF('5.0'!$D:$D,T_BS!D63,'5.0'!$V:$V),0)</f>
        <v>0</v>
      </c>
      <c r="S63" s="720">
        <f>ROUND(SUMIF('6.0'!$D:$D,T_BS!D63,'6.0'!$V:$V),0)</f>
        <v>0</v>
      </c>
      <c r="T63" s="720">
        <f>ROUND(SUMIF('7.0'!$D:$D,T_BS!D63,'7.0'!$V:$V),0)</f>
        <v>0</v>
      </c>
      <c r="U63" s="720">
        <f>ROUND(SUMIF('8.0'!$D:$D,T_BS!D63,'8.0'!$H:$H),0)</f>
        <v>0</v>
      </c>
      <c r="V63" s="510">
        <f t="shared" si="9"/>
        <v>0</v>
      </c>
      <c r="X63" s="1647">
        <f t="shared" si="20"/>
        <v>0</v>
      </c>
      <c r="Z63" s="1622">
        <f t="shared" si="21"/>
        <v>0</v>
      </c>
      <c r="AB63" s="1622">
        <v>0</v>
      </c>
      <c r="AC63" s="1622">
        <v>0</v>
      </c>
      <c r="AD63" s="1622">
        <v>0</v>
      </c>
      <c r="AE63" s="1622">
        <v>0</v>
      </c>
      <c r="AF63" s="1622">
        <v>0</v>
      </c>
      <c r="AG63" s="1622">
        <v>0</v>
      </c>
      <c r="AH63" s="1622">
        <v>0</v>
      </c>
      <c r="AI63" s="1622">
        <v>0</v>
      </c>
      <c r="AJ63" s="1622">
        <v>0</v>
      </c>
      <c r="AK63" s="1622">
        <v>0</v>
      </c>
      <c r="AL63" s="1622">
        <v>0</v>
      </c>
      <c r="AN63" s="498"/>
    </row>
    <row r="64" spans="1:40" ht="18" customHeight="1">
      <c r="A64" s="498"/>
      <c r="D64" s="1598">
        <v>112522</v>
      </c>
      <c r="E64" s="1364" t="s">
        <v>4</v>
      </c>
      <c r="F64" s="1366">
        <v>1601</v>
      </c>
      <c r="G64" s="1364" t="s">
        <v>62</v>
      </c>
      <c r="H64" s="498">
        <v>6486481</v>
      </c>
      <c r="I64" s="498">
        <v>0</v>
      </c>
      <c r="J64" s="710">
        <v>0</v>
      </c>
      <c r="K64" s="710">
        <v>0</v>
      </c>
      <c r="L64" s="510">
        <f t="shared" si="19"/>
        <v>6486481</v>
      </c>
      <c r="N64" s="1673">
        <f>SUMIF('1.0'!$D:$D,T_BS!D64,'1.0'!$V:$V)</f>
        <v>0</v>
      </c>
      <c r="O64" s="710">
        <f>SUMIF('2.0'!$D:$D,T_BS!D64,'2.0'!$V:$V)</f>
        <v>0</v>
      </c>
      <c r="P64" s="509">
        <f>ROUND(SUMIF('3.0'!$D:$D,T_BS!D64,'3.0'!$H:$H),0)</f>
        <v>0</v>
      </c>
      <c r="Q64" s="720">
        <f>ROUND(SUMIF('4.0'!$D:$D,T_BS!D64,'4.0'!$V:$V),0)</f>
        <v>0</v>
      </c>
      <c r="R64" s="509">
        <f>ROUND(SUMIF('5.0'!$D:$D,T_BS!D64,'5.0'!$V:$V),0)</f>
        <v>0</v>
      </c>
      <c r="S64" s="720">
        <f>ROUND(SUMIF('6.0'!$D:$D,T_BS!D64,'6.0'!$V:$V),0)</f>
        <v>0</v>
      </c>
      <c r="T64" s="720">
        <f>ROUND(SUMIF('7.0'!$D:$D,T_BS!D64,'7.0'!$V:$V),0)</f>
        <v>0</v>
      </c>
      <c r="U64" s="720">
        <f>ROUND(SUMIF('8.0'!$D:$D,T_BS!D64,'8.0'!$H:$H),0)</f>
        <v>0</v>
      </c>
      <c r="V64" s="510">
        <f t="shared" si="9"/>
        <v>0</v>
      </c>
      <c r="X64" s="1647">
        <f t="shared" si="20"/>
        <v>6486481</v>
      </c>
      <c r="Z64" s="1622">
        <f t="shared" si="21"/>
        <v>-226704898</v>
      </c>
      <c r="AB64" s="1622">
        <v>6486481</v>
      </c>
      <c r="AC64" s="1622">
        <v>6486481</v>
      </c>
      <c r="AD64" s="1622">
        <v>0</v>
      </c>
      <c r="AE64" s="1622">
        <v>6657005</v>
      </c>
      <c r="AF64" s="1622">
        <v>6657005</v>
      </c>
      <c r="AG64" s="1622">
        <v>233191379</v>
      </c>
      <c r="AH64" s="1622">
        <v>233191379</v>
      </c>
      <c r="AI64" s="1622">
        <v>233191379</v>
      </c>
      <c r="AJ64" s="1622">
        <v>233039921</v>
      </c>
      <c r="AK64" s="1622">
        <v>6519921</v>
      </c>
      <c r="AL64" s="1622">
        <v>0</v>
      </c>
      <c r="AN64" s="498"/>
    </row>
    <row r="65" spans="1:40" ht="18" customHeight="1">
      <c r="A65" s="498"/>
      <c r="D65" s="1598">
        <v>112531</v>
      </c>
      <c r="E65" s="1364" t="s">
        <v>4</v>
      </c>
      <c r="F65" s="1366">
        <v>1601</v>
      </c>
      <c r="G65" s="1364" t="s">
        <v>63</v>
      </c>
      <c r="H65" s="498">
        <v>517289858</v>
      </c>
      <c r="I65" s="498">
        <v>0</v>
      </c>
      <c r="J65" s="710">
        <v>0</v>
      </c>
      <c r="K65" s="710">
        <v>0</v>
      </c>
      <c r="L65" s="510">
        <f t="shared" si="19"/>
        <v>517289858</v>
      </c>
      <c r="N65" s="1673">
        <f>SUMIF('1.0'!$D:$D,T_BS!D65,'1.0'!$V:$V)</f>
        <v>0</v>
      </c>
      <c r="O65" s="710">
        <f>SUMIF('2.0'!$D:$D,T_BS!D65,'2.0'!$V:$V)</f>
        <v>0</v>
      </c>
      <c r="P65" s="509">
        <f>ROUND(SUMIF('3.0'!$D:$D,T_BS!D65,'3.0'!$H:$H),0)</f>
        <v>0</v>
      </c>
      <c r="Q65" s="720">
        <f>ROUND(SUMIF('4.0'!$D:$D,T_BS!D65,'4.0'!$V:$V),0)</f>
        <v>0</v>
      </c>
      <c r="R65" s="509">
        <f>ROUND(SUMIF('5.0'!$D:$D,T_BS!D65,'5.0'!$V:$V),0)</f>
        <v>0</v>
      </c>
      <c r="S65" s="720">
        <f>ROUND(SUMIF('6.0'!$D:$D,T_BS!D65,'6.0'!$V:$V),0)</f>
        <v>0</v>
      </c>
      <c r="T65" s="720">
        <f>ROUND(SUMIF('7.0'!$D:$D,T_BS!D65,'7.0'!$V:$V),0)</f>
        <v>0</v>
      </c>
      <c r="U65" s="720">
        <f>ROUND(SUMIF('8.0'!$D:$D,T_BS!D65,'8.0'!$H:$H),0)</f>
        <v>0</v>
      </c>
      <c r="V65" s="510">
        <f t="shared" si="9"/>
        <v>0</v>
      </c>
      <c r="X65" s="1647">
        <f t="shared" si="20"/>
        <v>517289858</v>
      </c>
      <c r="Z65" s="1622">
        <f t="shared" si="21"/>
        <v>198837490</v>
      </c>
      <c r="AB65" s="1622">
        <v>721125258</v>
      </c>
      <c r="AC65" s="1622">
        <v>617788015</v>
      </c>
      <c r="AD65" s="1622">
        <v>597811093</v>
      </c>
      <c r="AE65" s="1622">
        <v>602479613</v>
      </c>
      <c r="AF65" s="1622">
        <v>120289630</v>
      </c>
      <c r="AG65" s="1622">
        <v>318452368</v>
      </c>
      <c r="AH65" s="1622">
        <v>247972742</v>
      </c>
      <c r="AI65" s="1622">
        <v>420789679</v>
      </c>
      <c r="AJ65" s="1622">
        <v>868836165</v>
      </c>
      <c r="AK65" s="1622">
        <v>70376796</v>
      </c>
      <c r="AL65" s="1622">
        <v>318444611</v>
      </c>
      <c r="AN65" s="498"/>
    </row>
    <row r="66" spans="1:40" ht="18" customHeight="1">
      <c r="A66" s="498"/>
      <c r="D66" s="1598">
        <v>112533</v>
      </c>
      <c r="E66" s="1364" t="s">
        <v>4</v>
      </c>
      <c r="F66" s="1366">
        <v>1601</v>
      </c>
      <c r="G66" s="1364" t="s">
        <v>64</v>
      </c>
      <c r="H66" s="498">
        <v>0</v>
      </c>
      <c r="I66" s="498">
        <v>0</v>
      </c>
      <c r="J66" s="710">
        <v>0</v>
      </c>
      <c r="K66" s="710">
        <v>0</v>
      </c>
      <c r="L66" s="510">
        <f t="shared" si="19"/>
        <v>0</v>
      </c>
      <c r="N66" s="1673">
        <f>SUMIF('1.0'!$D:$D,T_BS!D66,'1.0'!$V:$V)</f>
        <v>0</v>
      </c>
      <c r="O66" s="710">
        <f>SUMIF('2.0'!$D:$D,T_BS!D66,'2.0'!$V:$V)</f>
        <v>0</v>
      </c>
      <c r="P66" s="509">
        <f>ROUND(SUMIF('3.0'!$D:$D,T_BS!D66,'3.0'!$H:$H),0)</f>
        <v>0</v>
      </c>
      <c r="Q66" s="720">
        <f>ROUND(SUMIF('4.0'!$D:$D,T_BS!D66,'4.0'!$V:$V),0)</f>
        <v>0</v>
      </c>
      <c r="R66" s="509">
        <f>ROUND(SUMIF('5.0'!$D:$D,T_BS!D66,'5.0'!$V:$V),0)</f>
        <v>0</v>
      </c>
      <c r="S66" s="720">
        <f>ROUND(SUMIF('6.0'!$D:$D,T_BS!D66,'6.0'!$V:$V),0)</f>
        <v>0</v>
      </c>
      <c r="T66" s="720">
        <f>ROUND(SUMIF('7.0'!$D:$D,T_BS!D66,'7.0'!$V:$V),0)</f>
        <v>0</v>
      </c>
      <c r="U66" s="720">
        <f>ROUND(SUMIF('8.0'!$D:$D,T_BS!D66,'8.0'!$H:$H),0)</f>
        <v>0</v>
      </c>
      <c r="V66" s="510">
        <f t="shared" si="9"/>
        <v>0</v>
      </c>
      <c r="X66" s="1647">
        <f t="shared" si="20"/>
        <v>0</v>
      </c>
      <c r="Z66" s="1622">
        <f t="shared" si="21"/>
        <v>0</v>
      </c>
      <c r="AB66" s="1622">
        <v>0</v>
      </c>
      <c r="AC66" s="1622">
        <v>0</v>
      </c>
      <c r="AD66" s="1622">
        <v>0</v>
      </c>
      <c r="AE66" s="1622">
        <v>0</v>
      </c>
      <c r="AF66" s="1622">
        <v>0</v>
      </c>
      <c r="AG66" s="1622">
        <v>0</v>
      </c>
      <c r="AH66" s="1622">
        <v>0</v>
      </c>
      <c r="AI66" s="1622">
        <v>0</v>
      </c>
      <c r="AJ66" s="1622">
        <v>0</v>
      </c>
      <c r="AK66" s="1622">
        <v>0</v>
      </c>
      <c r="AL66" s="1622">
        <v>0</v>
      </c>
      <c r="AN66" s="498"/>
    </row>
    <row r="67" spans="1:40" ht="18" customHeight="1">
      <c r="A67" s="498"/>
      <c r="D67" s="1598">
        <v>112536</v>
      </c>
      <c r="E67" s="1364" t="s">
        <v>4</v>
      </c>
      <c r="F67" s="1366">
        <v>1601</v>
      </c>
      <c r="G67" s="1364" t="s">
        <v>1691</v>
      </c>
      <c r="H67" s="498">
        <v>0</v>
      </c>
      <c r="I67" s="498">
        <v>0</v>
      </c>
      <c r="J67" s="710">
        <v>0</v>
      </c>
      <c r="K67" s="710">
        <v>0</v>
      </c>
      <c r="L67" s="510">
        <f t="shared" si="19"/>
        <v>0</v>
      </c>
      <c r="N67" s="1673">
        <f>SUMIF('1.0'!$D:$D,T_BS!D67,'1.0'!$V:$V)</f>
        <v>0</v>
      </c>
      <c r="O67" s="710">
        <f>SUMIF('2.0'!$D:$D,T_BS!D67,'2.0'!$V:$V)</f>
        <v>0</v>
      </c>
      <c r="P67" s="509">
        <f>ROUND(SUMIF('3.0'!$D:$D,T_BS!D67,'3.0'!$H:$H),0)</f>
        <v>0</v>
      </c>
      <c r="Q67" s="720">
        <f>ROUND(SUMIF('4.0'!$D:$D,T_BS!D67,'4.0'!$V:$V),0)</f>
        <v>0</v>
      </c>
      <c r="R67" s="509">
        <f>ROUND(SUMIF('5.0'!$D:$D,T_BS!D67,'5.0'!$V:$V),0)</f>
        <v>0</v>
      </c>
      <c r="S67" s="720">
        <f>ROUND(SUMIF('6.0'!$D:$D,T_BS!D67,'6.0'!$V:$V),0)</f>
        <v>0</v>
      </c>
      <c r="T67" s="720">
        <f>ROUND(SUMIF('7.0'!$D:$D,T_BS!D67,'7.0'!$V:$V),0)</f>
        <v>0</v>
      </c>
      <c r="U67" s="720">
        <f>ROUND(SUMIF('8.0'!$D:$D,T_BS!D67,'8.0'!$H:$H),0)</f>
        <v>0</v>
      </c>
      <c r="V67" s="510">
        <f t="shared" si="9"/>
        <v>0</v>
      </c>
      <c r="X67" s="1647">
        <f t="shared" si="20"/>
        <v>0</v>
      </c>
      <c r="Z67" s="1622">
        <f t="shared" si="21"/>
        <v>0</v>
      </c>
      <c r="AB67" s="1622">
        <v>0</v>
      </c>
      <c r="AC67" s="1622">
        <v>0</v>
      </c>
      <c r="AD67" s="1622">
        <v>0</v>
      </c>
      <c r="AE67" s="1622">
        <v>0</v>
      </c>
      <c r="AF67" s="1622">
        <v>0</v>
      </c>
      <c r="AG67" s="1622">
        <v>0</v>
      </c>
      <c r="AH67" s="1622">
        <v>0</v>
      </c>
      <c r="AI67" s="1622">
        <v>0</v>
      </c>
      <c r="AJ67" s="1622">
        <v>0</v>
      </c>
      <c r="AK67" s="1622">
        <v>0</v>
      </c>
      <c r="AL67" s="1622">
        <v>0</v>
      </c>
      <c r="AN67" s="498"/>
    </row>
    <row r="68" spans="1:40" ht="18" customHeight="1">
      <c r="A68" s="498"/>
      <c r="D68" s="1598">
        <v>112534</v>
      </c>
      <c r="E68" s="1364" t="s">
        <v>4</v>
      </c>
      <c r="F68" s="1366">
        <v>1601</v>
      </c>
      <c r="G68" s="1364" t="s">
        <v>65</v>
      </c>
      <c r="H68" s="498">
        <v>0</v>
      </c>
      <c r="I68" s="498">
        <v>0</v>
      </c>
      <c r="J68" s="710">
        <v>0</v>
      </c>
      <c r="K68" s="710">
        <v>0</v>
      </c>
      <c r="L68" s="510">
        <f t="shared" si="19"/>
        <v>0</v>
      </c>
      <c r="N68" s="1673">
        <f>SUMIF('1.0'!$D:$D,T_BS!D68,'1.0'!$V:$V)</f>
        <v>0</v>
      </c>
      <c r="O68" s="710">
        <f>SUMIF('2.0'!$D:$D,T_BS!D68,'2.0'!$V:$V)</f>
        <v>0</v>
      </c>
      <c r="P68" s="509">
        <f>ROUND(SUMIF('3.0'!$D:$D,T_BS!D68,'3.0'!$H:$H),0)</f>
        <v>0</v>
      </c>
      <c r="Q68" s="720">
        <f>ROUND(SUMIF('4.0'!$D:$D,T_BS!D68,'4.0'!$V:$V),0)</f>
        <v>0</v>
      </c>
      <c r="R68" s="509">
        <f>ROUND(SUMIF('5.0'!$D:$D,T_BS!D68,'5.0'!$V:$V),0)</f>
        <v>0</v>
      </c>
      <c r="S68" s="720">
        <f>ROUND(SUMIF('6.0'!$D:$D,T_BS!D68,'6.0'!$V:$V),0)</f>
        <v>0</v>
      </c>
      <c r="T68" s="720">
        <f>ROUND(SUMIF('7.0'!$D:$D,T_BS!D68,'7.0'!$V:$V),0)</f>
        <v>0</v>
      </c>
      <c r="U68" s="720">
        <f>ROUND(SUMIF('8.0'!$D:$D,T_BS!D68,'8.0'!$H:$H),0)</f>
        <v>0</v>
      </c>
      <c r="V68" s="510">
        <f t="shared" si="9"/>
        <v>0</v>
      </c>
      <c r="X68" s="1647">
        <f t="shared" si="20"/>
        <v>0</v>
      </c>
      <c r="Z68" s="1622">
        <f t="shared" si="21"/>
        <v>0</v>
      </c>
      <c r="AB68" s="1622">
        <v>0</v>
      </c>
      <c r="AC68" s="1622">
        <v>0</v>
      </c>
      <c r="AD68" s="1622">
        <v>0</v>
      </c>
      <c r="AE68" s="1622">
        <v>0</v>
      </c>
      <c r="AF68" s="1622">
        <v>0</v>
      </c>
      <c r="AG68" s="1622">
        <v>0</v>
      </c>
      <c r="AH68" s="1622">
        <v>0</v>
      </c>
      <c r="AI68" s="1622">
        <v>0</v>
      </c>
      <c r="AJ68" s="1622">
        <v>0</v>
      </c>
      <c r="AK68" s="1622">
        <v>0</v>
      </c>
      <c r="AL68" s="1622">
        <v>0</v>
      </c>
      <c r="AN68" s="498"/>
    </row>
    <row r="69" spans="1:40" ht="18" customHeight="1">
      <c r="A69" s="498"/>
      <c r="D69" s="1598">
        <v>112535</v>
      </c>
      <c r="E69" s="1364" t="s">
        <v>4</v>
      </c>
      <c r="F69" s="1366">
        <v>1601</v>
      </c>
      <c r="G69" s="1364" t="s">
        <v>66</v>
      </c>
      <c r="H69" s="498">
        <v>0</v>
      </c>
      <c r="I69" s="498">
        <v>0</v>
      </c>
      <c r="J69" s="710">
        <v>0</v>
      </c>
      <c r="K69" s="710">
        <v>0</v>
      </c>
      <c r="L69" s="510">
        <f t="shared" si="19"/>
        <v>0</v>
      </c>
      <c r="N69" s="1673">
        <f>SUMIF('1.0'!$D:$D,T_BS!D69,'1.0'!$V:$V)</f>
        <v>0</v>
      </c>
      <c r="O69" s="710">
        <f>SUMIF('2.0'!$D:$D,T_BS!D69,'2.0'!$V:$V)</f>
        <v>0</v>
      </c>
      <c r="P69" s="509">
        <f>ROUND(SUMIF('3.0'!$D:$D,T_BS!D69,'3.0'!$H:$H),0)</f>
        <v>0</v>
      </c>
      <c r="Q69" s="720">
        <f>ROUND(SUMIF('4.0'!$D:$D,T_BS!D69,'4.0'!$V:$V),0)</f>
        <v>0</v>
      </c>
      <c r="R69" s="509">
        <f>ROUND(SUMIF('5.0'!$D:$D,T_BS!D69,'5.0'!$V:$V),0)</f>
        <v>0</v>
      </c>
      <c r="S69" s="720">
        <f>ROUND(SUMIF('6.0'!$D:$D,T_BS!D69,'6.0'!$V:$V),0)</f>
        <v>0</v>
      </c>
      <c r="T69" s="720">
        <f>ROUND(SUMIF('7.0'!$D:$D,T_BS!D69,'7.0'!$V:$V),0)</f>
        <v>0</v>
      </c>
      <c r="U69" s="720">
        <f>ROUND(SUMIF('8.0'!$D:$D,T_BS!D69,'8.0'!$H:$H),0)</f>
        <v>0</v>
      </c>
      <c r="V69" s="510">
        <f t="shared" si="9"/>
        <v>0</v>
      </c>
      <c r="X69" s="1647">
        <f t="shared" si="20"/>
        <v>0</v>
      </c>
      <c r="Z69" s="1622">
        <f t="shared" si="21"/>
        <v>0</v>
      </c>
      <c r="AB69" s="1622">
        <v>0</v>
      </c>
      <c r="AC69" s="1622">
        <v>0</v>
      </c>
      <c r="AD69" s="1622">
        <v>0</v>
      </c>
      <c r="AE69" s="1622">
        <v>0</v>
      </c>
      <c r="AF69" s="1622">
        <v>0</v>
      </c>
      <c r="AG69" s="1622">
        <v>0</v>
      </c>
      <c r="AH69" s="1622">
        <v>0</v>
      </c>
      <c r="AI69" s="1622">
        <v>0</v>
      </c>
      <c r="AJ69" s="1622">
        <v>0</v>
      </c>
      <c r="AK69" s="1622">
        <v>0</v>
      </c>
      <c r="AL69" s="1622">
        <v>0</v>
      </c>
      <c r="AN69" s="498"/>
    </row>
    <row r="70" spans="1:40" ht="18" customHeight="1">
      <c r="A70" s="498"/>
      <c r="D70" s="1598">
        <v>112538</v>
      </c>
      <c r="E70" s="1364" t="s">
        <v>4</v>
      </c>
      <c r="F70" s="1366">
        <v>1601</v>
      </c>
      <c r="G70" s="1364" t="s">
        <v>1690</v>
      </c>
      <c r="H70" s="498">
        <v>1959538415</v>
      </c>
      <c r="I70" s="498">
        <v>0</v>
      </c>
      <c r="J70" s="710">
        <v>0</v>
      </c>
      <c r="K70" s="710">
        <v>0</v>
      </c>
      <c r="L70" s="510">
        <f t="shared" si="19"/>
        <v>1959538415</v>
      </c>
      <c r="N70" s="1673">
        <f>SUMIF('1.0'!$D:$D,T_BS!D70,'1.0'!$V:$V)</f>
        <v>0</v>
      </c>
      <c r="O70" s="710">
        <f>SUMIF('2.0'!$D:$D,T_BS!D70,'2.0'!$V:$V)</f>
        <v>0</v>
      </c>
      <c r="P70" s="509">
        <f>ROUND(SUMIF('3.0'!$D:$D,T_BS!D70,'3.0'!$H:$H),0)</f>
        <v>0</v>
      </c>
      <c r="Q70" s="720">
        <f>ROUND(SUMIF('4.0'!$D:$D,T_BS!D70,'4.0'!$V:$V),0)</f>
        <v>0</v>
      </c>
      <c r="R70" s="509">
        <f>ROUND(SUMIF('5.0'!$D:$D,T_BS!D70,'5.0'!$V:$V),0)</f>
        <v>0</v>
      </c>
      <c r="S70" s="720">
        <f>ROUND(SUMIF('6.0'!$D:$D,T_BS!D70,'6.0'!$V:$V),0)</f>
        <v>0</v>
      </c>
      <c r="T70" s="720">
        <f>ROUND(SUMIF('7.0'!$D:$D,T_BS!D70,'7.0'!$V:$V),0)</f>
        <v>0</v>
      </c>
      <c r="U70" s="720">
        <f>ROUND(SUMIF('8.0'!$D:$D,T_BS!D70,'8.0'!$H:$H),0)</f>
        <v>0</v>
      </c>
      <c r="V70" s="510">
        <f t="shared" si="9"/>
        <v>0</v>
      </c>
      <c r="X70" s="1647">
        <f t="shared" si="20"/>
        <v>1959538415</v>
      </c>
      <c r="Z70" s="1622">
        <f t="shared" si="21"/>
        <v>64128086</v>
      </c>
      <c r="AB70" s="1622">
        <v>2039744787</v>
      </c>
      <c r="AC70" s="1622">
        <v>1762245497</v>
      </c>
      <c r="AD70" s="1622">
        <v>1041444553</v>
      </c>
      <c r="AE70" s="1622">
        <v>1181830576</v>
      </c>
      <c r="AF70" s="1622">
        <v>1796137275</v>
      </c>
      <c r="AG70" s="1622">
        <v>1895410329</v>
      </c>
      <c r="AH70" s="1622">
        <v>2108402268</v>
      </c>
      <c r="AI70" s="1622">
        <v>2083435188</v>
      </c>
      <c r="AJ70" s="1622">
        <v>2089698020</v>
      </c>
      <c r="AK70" s="1622">
        <v>714544451</v>
      </c>
      <c r="AL70" s="1622">
        <v>541478512</v>
      </c>
      <c r="AN70" s="498"/>
    </row>
    <row r="71" spans="1:40" ht="18" customHeight="1">
      <c r="A71" s="498"/>
      <c r="D71" s="1598" t="s">
        <v>1853</v>
      </c>
      <c r="E71" s="1364" t="s">
        <v>4</v>
      </c>
      <c r="F71" s="1366">
        <v>1601</v>
      </c>
      <c r="G71" s="1364" t="s">
        <v>1854</v>
      </c>
      <c r="H71" s="498">
        <v>179550000</v>
      </c>
      <c r="I71" s="498">
        <v>0</v>
      </c>
      <c r="J71" s="710">
        <v>0</v>
      </c>
      <c r="K71" s="710">
        <v>0</v>
      </c>
      <c r="L71" s="510">
        <f t="shared" si="19"/>
        <v>179550000</v>
      </c>
      <c r="N71" s="1673">
        <f>SUMIF('1.0'!$D:$D,T_BS!D71,'1.0'!$V:$V)</f>
        <v>0</v>
      </c>
      <c r="O71" s="710">
        <f>SUMIF('2.0'!$D:$D,T_BS!D71,'2.0'!$V:$V)</f>
        <v>0</v>
      </c>
      <c r="P71" s="509">
        <f>ROUND(SUMIF('3.0'!$D:$D,T_BS!D71,'3.0'!$H:$H),0)</f>
        <v>0</v>
      </c>
      <c r="Q71" s="720">
        <f>ROUND(SUMIF('4.0'!$D:$D,T_BS!D71,'4.0'!$V:$V),0)</f>
        <v>0</v>
      </c>
      <c r="R71" s="509">
        <f>ROUND(SUMIF('5.0'!$D:$D,T_BS!D71,'5.0'!$V:$V),0)</f>
        <v>0</v>
      </c>
      <c r="S71" s="720">
        <f>ROUND(SUMIF('6.0'!$D:$D,T_BS!D71,'6.0'!$V:$V),0)</f>
        <v>0</v>
      </c>
      <c r="T71" s="720">
        <f>ROUND(SUMIF('7.0'!$D:$D,T_BS!D71,'7.0'!$V:$V),0)</f>
        <v>0</v>
      </c>
      <c r="U71" s="720">
        <f>ROUND(SUMIF('8.0'!$D:$D,T_BS!D71,'8.0'!$H:$H),0)</f>
        <v>0</v>
      </c>
      <c r="V71" s="510">
        <f>SUM(N71:U71)</f>
        <v>0</v>
      </c>
      <c r="X71" s="1647">
        <f t="shared" si="20"/>
        <v>179550000</v>
      </c>
      <c r="Z71" s="1622">
        <f t="shared" si="21"/>
        <v>0</v>
      </c>
      <c r="AB71" s="1622">
        <v>179550000</v>
      </c>
      <c r="AC71" s="1622">
        <v>179550000</v>
      </c>
      <c r="AD71" s="1622">
        <v>179550000</v>
      </c>
      <c r="AE71" s="1622">
        <v>179550000</v>
      </c>
      <c r="AF71" s="1622">
        <v>179550000</v>
      </c>
      <c r="AG71" s="1622">
        <v>179550000</v>
      </c>
      <c r="AH71" s="1622">
        <v>179550000</v>
      </c>
      <c r="AI71" s="1622">
        <v>179550000</v>
      </c>
      <c r="AJ71" s="1622">
        <v>179550000</v>
      </c>
      <c r="AK71" s="1622">
        <v>179550000</v>
      </c>
      <c r="AL71" s="1622">
        <v>179550000</v>
      </c>
      <c r="AN71" s="498"/>
    </row>
    <row r="72" spans="1:40" ht="18" customHeight="1">
      <c r="A72" s="498"/>
      <c r="D72" s="1598">
        <v>112900</v>
      </c>
      <c r="E72" s="1364" t="s">
        <v>4</v>
      </c>
      <c r="F72" s="1366">
        <v>112900</v>
      </c>
      <c r="G72" s="1364" t="s">
        <v>67</v>
      </c>
      <c r="H72" s="498">
        <v>0</v>
      </c>
      <c r="I72" s="498">
        <v>0</v>
      </c>
      <c r="J72" s="710">
        <v>0</v>
      </c>
      <c r="K72" s="710">
        <v>1128563830</v>
      </c>
      <c r="L72" s="510">
        <f t="shared" si="19"/>
        <v>1128563830</v>
      </c>
      <c r="N72" s="1673">
        <f>SUMIF('1.0'!$D:$D,T_BS!D72,'1.0'!$V:$V)</f>
        <v>0</v>
      </c>
      <c r="O72" s="710">
        <f>SUMIF('2.0'!$D:$D,T_BS!D72,'2.0'!$V:$V)</f>
        <v>0</v>
      </c>
      <c r="P72" s="509">
        <f>ROUND(SUMIF('3.0'!$D:$D,T_BS!D72,'3.0'!$H:$H),0)</f>
        <v>0</v>
      </c>
      <c r="Q72" s="720">
        <f>ROUND(SUMIF('4.0'!$D:$D,T_BS!D72,'4.0'!$V:$V),0)</f>
        <v>0</v>
      </c>
      <c r="R72" s="509">
        <f>ROUND(SUMIF('5.0'!$D:$D,T_BS!D72,'5.0'!$V:$V),0)</f>
        <v>0</v>
      </c>
      <c r="S72" s="720">
        <f>ROUND(SUMIF('6.0'!$D:$D,T_BS!D72,'6.0'!$V:$V),0)</f>
        <v>-1128563830</v>
      </c>
      <c r="T72" s="720">
        <f>ROUND(SUMIF('7.0'!$D:$D,T_BS!D72,'7.0'!$V:$V),0)</f>
        <v>0</v>
      </c>
      <c r="U72" s="720">
        <f>ROUND(SUMIF('8.0'!$D:$D,T_BS!D72,'8.0'!$H:$H),0)</f>
        <v>0</v>
      </c>
      <c r="V72" s="510">
        <f t="shared" si="9"/>
        <v>-1128563830</v>
      </c>
      <c r="X72" s="1647">
        <f t="shared" si="20"/>
        <v>0</v>
      </c>
      <c r="Z72" s="1622">
        <f t="shared" si="21"/>
        <v>0</v>
      </c>
      <c r="AB72" s="1622">
        <v>0</v>
      </c>
      <c r="AC72" s="1622">
        <v>0</v>
      </c>
      <c r="AD72" s="1622">
        <v>0</v>
      </c>
      <c r="AE72" s="1622">
        <v>0</v>
      </c>
      <c r="AF72" s="1622">
        <v>0</v>
      </c>
      <c r="AG72" s="1622">
        <v>0</v>
      </c>
      <c r="AH72" s="1622">
        <v>0</v>
      </c>
      <c r="AI72" s="1622">
        <v>0</v>
      </c>
      <c r="AJ72" s="1622">
        <v>0</v>
      </c>
      <c r="AK72" s="1622">
        <v>5200941</v>
      </c>
      <c r="AL72" s="1622">
        <v>567951</v>
      </c>
      <c r="AN72" s="498"/>
    </row>
    <row r="73" spans="1:40" ht="18" customHeight="1">
      <c r="A73" s="498"/>
      <c r="D73" s="1598" t="s">
        <v>68</v>
      </c>
      <c r="E73" s="1364" t="s">
        <v>4</v>
      </c>
      <c r="F73" s="1366">
        <v>112900</v>
      </c>
      <c r="G73" s="1364" t="s">
        <v>69</v>
      </c>
      <c r="H73" s="498">
        <v>0</v>
      </c>
      <c r="I73" s="498">
        <v>0</v>
      </c>
      <c r="J73" s="710">
        <v>0</v>
      </c>
      <c r="K73" s="710">
        <v>0</v>
      </c>
      <c r="L73" s="510">
        <f t="shared" si="19"/>
        <v>0</v>
      </c>
      <c r="N73" s="1673">
        <f>SUMIF('1.0'!$D:$D,T_BS!D73,'1.0'!$V:$V)</f>
        <v>0</v>
      </c>
      <c r="O73" s="710">
        <f>SUMIF('2.0'!$D:$D,T_BS!D73,'2.0'!$V:$V)</f>
        <v>0</v>
      </c>
      <c r="P73" s="509">
        <f>ROUND(SUMIF('3.0'!$D:$D,T_BS!D73,'3.0'!$H:$H),0)</f>
        <v>0</v>
      </c>
      <c r="Q73" s="720">
        <f>ROUND(SUMIF('4.0'!$D:$D,T_BS!D73,'4.0'!$V:$V),0)</f>
        <v>0</v>
      </c>
      <c r="R73" s="509">
        <f>ROUND(SUMIF('5.0'!$D:$D,T_BS!D73,'5.0'!$V:$V),0)</f>
        <v>0</v>
      </c>
      <c r="S73" s="720">
        <f>ROUND(SUMIF('6.0'!$D:$D,T_BS!D73,'6.0'!$V:$V),0)</f>
        <v>0</v>
      </c>
      <c r="T73" s="720">
        <f>ROUND(SUMIF('7.0'!$D:$D,T_BS!D73,'7.0'!$V:$V),0)</f>
        <v>0</v>
      </c>
      <c r="U73" s="720">
        <f>ROUND(SUMIF('8.0'!$D:$D,T_BS!D73,'8.0'!$H:$H),0)</f>
        <v>0</v>
      </c>
      <c r="V73" s="510">
        <f t="shared" si="9"/>
        <v>0</v>
      </c>
      <c r="X73" s="1647">
        <f t="shared" si="20"/>
        <v>0</v>
      </c>
      <c r="Z73" s="1622">
        <f t="shared" si="21"/>
        <v>0</v>
      </c>
      <c r="AB73" s="1622">
        <v>0</v>
      </c>
      <c r="AC73" s="1622">
        <v>0</v>
      </c>
      <c r="AD73" s="1622">
        <v>0</v>
      </c>
      <c r="AE73" s="1622">
        <v>0</v>
      </c>
      <c r="AF73" s="1622">
        <v>0</v>
      </c>
      <c r="AG73" s="1622">
        <v>0</v>
      </c>
      <c r="AH73" s="1622">
        <v>0</v>
      </c>
      <c r="AI73" s="1622">
        <v>0</v>
      </c>
      <c r="AJ73" s="1622">
        <v>0</v>
      </c>
      <c r="AK73" s="1622">
        <v>132442161</v>
      </c>
      <c r="AL73" s="1622">
        <v>135904655</v>
      </c>
      <c r="AN73" s="498"/>
    </row>
    <row r="74" spans="1:40" ht="18" customHeight="1">
      <c r="A74" s="498"/>
      <c r="D74" s="1588"/>
      <c r="E74" s="1589"/>
      <c r="F74" s="1590"/>
      <c r="G74" s="1589" t="s">
        <v>2443</v>
      </c>
      <c r="H74" s="1625">
        <f>SUM(H75,H84,H90,H94,H119,H144)</f>
        <v>58706217816</v>
      </c>
      <c r="I74" s="503">
        <f>SUM(I75,I84,I90,I94,I119,I144)</f>
        <v>327607936</v>
      </c>
      <c r="J74" s="503">
        <f>SUM(J75,J84,J90,J94,J119,J144)</f>
        <v>20918047</v>
      </c>
      <c r="K74" s="503">
        <f>SUM(K75,K84,K90,K94,K119,K144)</f>
        <v>977618333</v>
      </c>
      <c r="L74" s="504">
        <f>SUM(L75,L84,L90,L94,L119,L144)</f>
        <v>60032362132</v>
      </c>
      <c r="N74" s="1629">
        <f t="shared" ref="N74:V74" si="22">SUM(N75,N84,N90,N94,N119,N144)</f>
        <v>19842800</v>
      </c>
      <c r="O74" s="503">
        <f t="shared" si="22"/>
        <v>0</v>
      </c>
      <c r="P74" s="503">
        <f t="shared" si="22"/>
        <v>0</v>
      </c>
      <c r="Q74" s="503">
        <f t="shared" si="22"/>
        <v>0</v>
      </c>
      <c r="R74" s="503">
        <f t="shared" si="22"/>
        <v>1822249587</v>
      </c>
      <c r="S74" s="503">
        <f t="shared" si="22"/>
        <v>-20000000</v>
      </c>
      <c r="T74" s="503">
        <f t="shared" si="22"/>
        <v>678306860</v>
      </c>
      <c r="U74" s="503">
        <f t="shared" si="22"/>
        <v>-7964419878</v>
      </c>
      <c r="V74" s="504">
        <f t="shared" si="22"/>
        <v>-5464020631</v>
      </c>
      <c r="X74" s="1628">
        <f>SUM(X75,X84,X90,X94,X119,X144)</f>
        <v>54568341501</v>
      </c>
      <c r="Z74" s="1628">
        <f>SUM(Z75,Z84,Z90,Z94,Z119,Z144)</f>
        <v>-1256028882</v>
      </c>
      <c r="AB74" s="1628">
        <v>53427860047</v>
      </c>
      <c r="AC74" s="1628">
        <v>54043676858</v>
      </c>
      <c r="AD74" s="1628">
        <v>54405320689</v>
      </c>
      <c r="AE74" s="1628">
        <v>54798934325</v>
      </c>
      <c r="AF74" s="1628">
        <v>53679249191</v>
      </c>
      <c r="AG74" s="1628">
        <v>55824370383</v>
      </c>
      <c r="AH74" s="1628">
        <v>44627950168</v>
      </c>
      <c r="AI74" s="1628">
        <v>44708682156</v>
      </c>
      <c r="AJ74" s="1628">
        <v>45016072571</v>
      </c>
      <c r="AK74" s="1628">
        <f>SUM(AK75,AK84,AK90,AK94,AK119,AK144)</f>
        <v>24264474934</v>
      </c>
      <c r="AL74" s="1628">
        <v>26165503033</v>
      </c>
      <c r="AN74" s="498"/>
    </row>
    <row r="75" spans="1:40" ht="18" customHeight="1">
      <c r="A75" s="498"/>
      <c r="D75" s="1593"/>
      <c r="E75" s="1594"/>
      <c r="F75" s="1595"/>
      <c r="G75" s="1594" t="s">
        <v>71</v>
      </c>
      <c r="H75" s="520">
        <f>SUM(H76:H83)</f>
        <v>724379440</v>
      </c>
      <c r="I75" s="506">
        <f>SUM(I76:I83)</f>
        <v>144500172</v>
      </c>
      <c r="J75" s="506">
        <f>SUM(J76:J83)</f>
        <v>0</v>
      </c>
      <c r="K75" s="506">
        <f>SUM(K76:K83)</f>
        <v>546707946</v>
      </c>
      <c r="L75" s="507">
        <f>SUM(L76:L83)</f>
        <v>1415587558</v>
      </c>
      <c r="N75" s="1637">
        <f t="shared" ref="N75:V75" si="23">SUM(N76:N83)</f>
        <v>0</v>
      </c>
      <c r="O75" s="506">
        <f t="shared" si="23"/>
        <v>0</v>
      </c>
      <c r="P75" s="506">
        <f t="shared" si="23"/>
        <v>0</v>
      </c>
      <c r="Q75" s="506">
        <f t="shared" si="23"/>
        <v>0</v>
      </c>
      <c r="R75" s="506">
        <f t="shared" si="23"/>
        <v>0</v>
      </c>
      <c r="S75" s="506">
        <f t="shared" si="23"/>
        <v>0</v>
      </c>
      <c r="T75" s="506">
        <f t="shared" si="23"/>
        <v>0</v>
      </c>
      <c r="U75" s="506">
        <f t="shared" si="23"/>
        <v>0</v>
      </c>
      <c r="V75" s="507">
        <f t="shared" si="23"/>
        <v>0</v>
      </c>
      <c r="X75" s="1636">
        <f>SUM(X76:X83)</f>
        <v>1415587558</v>
      </c>
      <c r="Z75" s="1636">
        <f>SUM(Z76:Z83)</f>
        <v>-841731324</v>
      </c>
      <c r="AB75" s="1636">
        <v>1426231307</v>
      </c>
      <c r="AC75" s="1636">
        <v>2434335622</v>
      </c>
      <c r="AD75" s="1636">
        <v>2429199350</v>
      </c>
      <c r="AE75" s="1636">
        <v>2411946714</v>
      </c>
      <c r="AF75" s="1636">
        <v>2392857479</v>
      </c>
      <c r="AG75" s="1636">
        <v>2257318882</v>
      </c>
      <c r="AH75" s="1636">
        <v>1229655646</v>
      </c>
      <c r="AI75" s="1636">
        <v>1159401984</v>
      </c>
      <c r="AJ75" s="1636">
        <v>1707471369</v>
      </c>
      <c r="AK75" s="1636">
        <f>SUM(AK76:AK83)</f>
        <v>1673050849</v>
      </c>
      <c r="AL75" s="1636">
        <v>1650396445</v>
      </c>
      <c r="AN75" s="498"/>
    </row>
    <row r="76" spans="1:40" ht="18" customHeight="1">
      <c r="A76" s="498"/>
      <c r="D76" s="1598">
        <v>121551</v>
      </c>
      <c r="E76" s="1364" t="s">
        <v>1643</v>
      </c>
      <c r="F76" s="1366" t="s">
        <v>1872</v>
      </c>
      <c r="G76" s="1364" t="s">
        <v>72</v>
      </c>
      <c r="H76" s="498">
        <v>180500000</v>
      </c>
      <c r="I76" s="498">
        <v>0</v>
      </c>
      <c r="J76" s="710">
        <v>0</v>
      </c>
      <c r="K76" s="710">
        <v>17589777</v>
      </c>
      <c r="L76" s="510">
        <f t="shared" ref="L76:L83" si="24">SUM(H76:K76)</f>
        <v>198089777</v>
      </c>
      <c r="N76" s="1673">
        <f>SUMIF('1.0'!$D:$D,T_BS!D76,'1.0'!$V:$V)</f>
        <v>0</v>
      </c>
      <c r="O76" s="710">
        <f>SUMIF('2.0'!$D:$D,T_BS!D76,'2.0'!$V:$V)</f>
        <v>0</v>
      </c>
      <c r="P76" s="509">
        <f>ROUND(SUMIF('3.0'!$D:$D,T_BS!D76,'3.0'!$H:$H),0)</f>
        <v>0</v>
      </c>
      <c r="Q76" s="720">
        <f>ROUND(SUMIF('4.0'!$D:$D,T_BS!D76,'4.0'!$V:$V),0)</f>
        <v>0</v>
      </c>
      <c r="R76" s="509">
        <f>ROUND(SUMIF('5.0'!$D:$D,T_BS!D76,'5.0'!$V:$V),0)</f>
        <v>0</v>
      </c>
      <c r="S76" s="720">
        <f>ROUND(SUMIF('6.0'!$D:$D,T_BS!D76,'6.0'!$V:$V),0)</f>
        <v>0</v>
      </c>
      <c r="T76" s="720">
        <f>ROUND(SUMIF('7.0'!$D:$D,T_BS!D76,'7.0'!$V:$V),0)</f>
        <v>0</v>
      </c>
      <c r="U76" s="720">
        <f>ROUND(SUMIF('8.0'!$D:$D,T_BS!D76,'8.0'!$H:$H),0)</f>
        <v>0</v>
      </c>
      <c r="V76" s="510">
        <f t="shared" ref="V76:V83" si="25">SUM(N76:U76)</f>
        <v>0</v>
      </c>
      <c r="X76" s="1647">
        <f t="shared" ref="X76:X83" si="26">V76+L76</f>
        <v>198089777</v>
      </c>
      <c r="Z76" s="1622">
        <f t="shared" ref="Z76:Z83" si="27">X76-AG76</f>
        <v>8817617</v>
      </c>
      <c r="AB76" s="1622">
        <v>198676475</v>
      </c>
      <c r="AC76" s="1622">
        <v>198262895</v>
      </c>
      <c r="AD76" s="1622">
        <v>197139737</v>
      </c>
      <c r="AE76" s="1622">
        <v>196726885</v>
      </c>
      <c r="AF76" s="1622">
        <v>191064087</v>
      </c>
      <c r="AG76" s="1622">
        <v>189272160</v>
      </c>
      <c r="AH76" s="1622">
        <v>189284850</v>
      </c>
      <c r="AI76" s="1622">
        <v>109523620</v>
      </c>
      <c r="AJ76" s="1622">
        <v>109199080</v>
      </c>
      <c r="AK76" s="1622">
        <v>109245970</v>
      </c>
      <c r="AL76" s="1622">
        <v>109488340</v>
      </c>
      <c r="AN76" s="498"/>
    </row>
    <row r="77" spans="1:40" ht="18" customHeight="1">
      <c r="A77" s="498"/>
      <c r="D77" s="1598">
        <v>121511</v>
      </c>
      <c r="E77" s="1364" t="s">
        <v>1643</v>
      </c>
      <c r="F77" s="1631">
        <v>2101</v>
      </c>
      <c r="G77" s="1364" t="s">
        <v>73</v>
      </c>
      <c r="H77" s="498">
        <v>1257560</v>
      </c>
      <c r="I77" s="498">
        <v>0</v>
      </c>
      <c r="J77" s="710">
        <v>0</v>
      </c>
      <c r="K77" s="710">
        <v>0</v>
      </c>
      <c r="L77" s="510">
        <f t="shared" si="24"/>
        <v>1257560</v>
      </c>
      <c r="N77" s="1673">
        <f>SUMIF('1.0'!$D:$D,T_BS!D77,'1.0'!$V:$V)</f>
        <v>0</v>
      </c>
      <c r="O77" s="710">
        <f>SUMIF('2.0'!$D:$D,T_BS!D77,'2.0'!$V:$V)</f>
        <v>0</v>
      </c>
      <c r="P77" s="509">
        <f>ROUND(SUMIF('3.0'!$D:$D,T_BS!D77,'3.0'!$H:$H),0)</f>
        <v>0</v>
      </c>
      <c r="Q77" s="720">
        <f>ROUND(SUMIF('4.0'!$D:$D,T_BS!D77,'4.0'!$V:$V),0)</f>
        <v>0</v>
      </c>
      <c r="R77" s="509">
        <f>ROUND(SUMIF('5.0'!$D:$D,T_BS!D77,'5.0'!$V:$V),0)</f>
        <v>0</v>
      </c>
      <c r="S77" s="720">
        <f>ROUND(SUMIF('6.0'!$D:$D,T_BS!D77,'6.0'!$V:$V),0)</f>
        <v>0</v>
      </c>
      <c r="T77" s="720">
        <f>ROUND(SUMIF('7.0'!$D:$D,T_BS!D77,'7.0'!$V:$V),0)</f>
        <v>0</v>
      </c>
      <c r="U77" s="720">
        <f>ROUND(SUMIF('8.0'!$D:$D,T_BS!D77,'8.0'!$H:$H),0)</f>
        <v>0</v>
      </c>
      <c r="V77" s="510">
        <f t="shared" si="25"/>
        <v>0</v>
      </c>
      <c r="X77" s="1647">
        <f t="shared" si="26"/>
        <v>1257560</v>
      </c>
      <c r="Z77" s="1622">
        <f t="shared" si="27"/>
        <v>0</v>
      </c>
      <c r="AB77" s="1622">
        <v>1257560</v>
      </c>
      <c r="AC77" s="1622">
        <v>1257560</v>
      </c>
      <c r="AD77" s="1622">
        <v>1257560</v>
      </c>
      <c r="AE77" s="1622">
        <v>1257560</v>
      </c>
      <c r="AF77" s="1622">
        <v>1257560</v>
      </c>
      <c r="AG77" s="1622">
        <v>1257560</v>
      </c>
      <c r="AH77" s="1622">
        <v>1257560</v>
      </c>
      <c r="AI77" s="1622">
        <v>1257560</v>
      </c>
      <c r="AJ77" s="1622">
        <v>1257560</v>
      </c>
      <c r="AK77" s="1622">
        <v>1257560</v>
      </c>
      <c r="AL77" s="1622">
        <v>1257560</v>
      </c>
      <c r="AN77" s="498"/>
    </row>
    <row r="78" spans="1:40" ht="18" customHeight="1">
      <c r="A78" s="498"/>
      <c r="D78" s="1598">
        <v>121800</v>
      </c>
      <c r="E78" s="1364" t="s">
        <v>1643</v>
      </c>
      <c r="F78" s="1631">
        <v>2321</v>
      </c>
      <c r="G78" s="1364" t="s">
        <v>1692</v>
      </c>
      <c r="H78" s="498">
        <v>0</v>
      </c>
      <c r="I78" s="498">
        <v>0</v>
      </c>
      <c r="J78" s="710">
        <v>0</v>
      </c>
      <c r="K78" s="710">
        <v>0</v>
      </c>
      <c r="L78" s="510">
        <f t="shared" si="24"/>
        <v>0</v>
      </c>
      <c r="N78" s="1673">
        <f>SUMIF('1.0'!$D:$D,T_BS!D78,'1.0'!$V:$V)</f>
        <v>0</v>
      </c>
      <c r="O78" s="710">
        <f>SUMIF('2.0'!$D:$D,T_BS!D78,'2.0'!$V:$V)</f>
        <v>0</v>
      </c>
      <c r="P78" s="509">
        <f>ROUND(SUMIF('3.0'!$D:$D,T_BS!D78,'3.0'!$H:$H),0)</f>
        <v>0</v>
      </c>
      <c r="Q78" s="720">
        <f>ROUND(SUMIF('4.0'!$D:$D,T_BS!D78,'4.0'!$V:$V),0)</f>
        <v>0</v>
      </c>
      <c r="R78" s="509">
        <f>ROUND(SUMIF('5.0'!$D:$D,T_BS!D78,'5.0'!$V:$V),0)</f>
        <v>0</v>
      </c>
      <c r="S78" s="720">
        <f>ROUND(SUMIF('6.0'!$D:$D,T_BS!D78,'6.0'!$V:$V),0)</f>
        <v>0</v>
      </c>
      <c r="T78" s="720">
        <f>ROUND(SUMIF('7.0'!$D:$D,T_BS!D78,'7.0'!$V:$V),0)</f>
        <v>0</v>
      </c>
      <c r="U78" s="720">
        <f>ROUND(SUMIF('8.0'!$D:$D,T_BS!D78,'8.0'!$H:$H),0)</f>
        <v>0</v>
      </c>
      <c r="V78" s="510">
        <f t="shared" si="25"/>
        <v>0</v>
      </c>
      <c r="X78" s="1647">
        <f t="shared" si="26"/>
        <v>0</v>
      </c>
      <c r="Z78" s="1622">
        <f t="shared" si="27"/>
        <v>0</v>
      </c>
      <c r="AB78" s="1622">
        <v>0</v>
      </c>
      <c r="AC78" s="1622">
        <v>0</v>
      </c>
      <c r="AD78" s="1622">
        <v>0</v>
      </c>
      <c r="AE78" s="1622">
        <v>0</v>
      </c>
      <c r="AF78" s="1622">
        <v>0</v>
      </c>
      <c r="AG78" s="1622">
        <v>0</v>
      </c>
      <c r="AH78" s="1622">
        <v>0</v>
      </c>
      <c r="AI78" s="1622">
        <v>0</v>
      </c>
      <c r="AJ78" s="1622">
        <v>0</v>
      </c>
      <c r="AK78" s="1622">
        <v>0</v>
      </c>
      <c r="AL78" s="1622">
        <v>0</v>
      </c>
      <c r="AN78" s="498"/>
    </row>
    <row r="79" spans="1:40" ht="18" customHeight="1">
      <c r="A79" s="498"/>
      <c r="D79" s="1598">
        <v>121805</v>
      </c>
      <c r="E79" s="1364" t="s">
        <v>1643</v>
      </c>
      <c r="F79" s="1631">
        <v>2322</v>
      </c>
      <c r="G79" s="1364" t="s">
        <v>1693</v>
      </c>
      <c r="H79" s="498">
        <v>0</v>
      </c>
      <c r="I79" s="498">
        <v>0</v>
      </c>
      <c r="J79" s="710">
        <v>0</v>
      </c>
      <c r="K79" s="710">
        <v>0</v>
      </c>
      <c r="L79" s="510">
        <f t="shared" si="24"/>
        <v>0</v>
      </c>
      <c r="N79" s="1673">
        <f>SUMIF('1.0'!$D:$D,T_BS!D79,'1.0'!$V:$V)</f>
        <v>0</v>
      </c>
      <c r="O79" s="710">
        <f>SUMIF('2.0'!$D:$D,T_BS!D79,'2.0'!$V:$V)</f>
        <v>0</v>
      </c>
      <c r="P79" s="509">
        <f>ROUND(SUMIF('3.0'!$D:$D,T_BS!D79,'3.0'!$H:$H),0)</f>
        <v>0</v>
      </c>
      <c r="Q79" s="720">
        <f>ROUND(SUMIF('4.0'!$D:$D,T_BS!D79,'4.0'!$V:$V),0)</f>
        <v>0</v>
      </c>
      <c r="R79" s="509">
        <f>ROUND(SUMIF('5.0'!$D:$D,T_BS!D79,'5.0'!$V:$V),0)</f>
        <v>0</v>
      </c>
      <c r="S79" s="720">
        <f>ROUND(SUMIF('6.0'!$D:$D,T_BS!D79,'6.0'!$V:$V),0)</f>
        <v>0</v>
      </c>
      <c r="T79" s="720">
        <f>ROUND(SUMIF('7.0'!$D:$D,T_BS!D79,'7.0'!$V:$V),0)</f>
        <v>0</v>
      </c>
      <c r="U79" s="720">
        <f>ROUND(SUMIF('8.0'!$D:$D,T_BS!D79,'8.0'!$H:$H),0)</f>
        <v>0</v>
      </c>
      <c r="V79" s="510">
        <f t="shared" si="25"/>
        <v>0</v>
      </c>
      <c r="X79" s="1647">
        <f t="shared" si="26"/>
        <v>0</v>
      </c>
      <c r="Z79" s="1622">
        <f t="shared" si="27"/>
        <v>0</v>
      </c>
      <c r="AB79" s="1622">
        <v>0</v>
      </c>
      <c r="AC79" s="1622">
        <v>0</v>
      </c>
      <c r="AD79" s="1622">
        <v>0</v>
      </c>
      <c r="AE79" s="1622">
        <v>0</v>
      </c>
      <c r="AF79" s="1622">
        <v>0</v>
      </c>
      <c r="AG79" s="1622">
        <v>0</v>
      </c>
      <c r="AH79" s="1622">
        <v>0</v>
      </c>
      <c r="AI79" s="1622">
        <v>0</v>
      </c>
      <c r="AJ79" s="1622">
        <v>0</v>
      </c>
      <c r="AK79" s="1622">
        <v>0</v>
      </c>
      <c r="AL79" s="1622">
        <v>0</v>
      </c>
      <c r="AN79" s="498"/>
    </row>
    <row r="80" spans="1:40" ht="18" customHeight="1">
      <c r="A80" s="498"/>
      <c r="D80" s="1598" t="s">
        <v>1777</v>
      </c>
      <c r="E80" s="1364" t="s">
        <v>1643</v>
      </c>
      <c r="F80" s="1631">
        <v>2650</v>
      </c>
      <c r="G80" s="1364" t="s">
        <v>1778</v>
      </c>
      <c r="H80" s="498">
        <v>0</v>
      </c>
      <c r="I80" s="498">
        <v>0</v>
      </c>
      <c r="J80" s="710">
        <v>0</v>
      </c>
      <c r="K80" s="710">
        <v>0</v>
      </c>
      <c r="L80" s="510">
        <f t="shared" si="24"/>
        <v>0</v>
      </c>
      <c r="N80" s="1673">
        <f>SUMIF('1.0'!$D:$D,T_BS!D80,'1.0'!$V:$V)</f>
        <v>0</v>
      </c>
      <c r="O80" s="710">
        <f>SUMIF('2.0'!$D:$D,T_BS!D80,'2.0'!$V:$V)</f>
        <v>0</v>
      </c>
      <c r="P80" s="509">
        <f>ROUND(SUMIF('3.0'!$D:$D,T_BS!D80,'3.0'!$H:$H),0)</f>
        <v>0</v>
      </c>
      <c r="Q80" s="720">
        <f>ROUND(SUMIF('4.0'!$D:$D,T_BS!D80,'4.0'!$V:$V),0)</f>
        <v>0</v>
      </c>
      <c r="R80" s="509">
        <f>ROUND(SUMIF('5.0'!$D:$D,T_BS!D80,'5.0'!$V:$V),0)</f>
        <v>0</v>
      </c>
      <c r="S80" s="720">
        <f>ROUND(SUMIF('6.0'!$D:$D,T_BS!D80,'6.0'!$V:$V),0)</f>
        <v>0</v>
      </c>
      <c r="T80" s="720">
        <f>ROUND(SUMIF('7.0'!$D:$D,T_BS!D80,'7.0'!$V:$V),0)</f>
        <v>0</v>
      </c>
      <c r="U80" s="720">
        <f>ROUND(SUMIF('8.0'!$D:$D,T_BS!D80,'8.0'!$H:$H),0)</f>
        <v>0</v>
      </c>
      <c r="V80" s="510">
        <f t="shared" si="25"/>
        <v>0</v>
      </c>
      <c r="X80" s="1647">
        <f t="shared" si="26"/>
        <v>0</v>
      </c>
      <c r="Z80" s="1622">
        <f t="shared" si="27"/>
        <v>0</v>
      </c>
      <c r="AB80" s="1622">
        <v>0</v>
      </c>
      <c r="AC80" s="1622">
        <v>0</v>
      </c>
      <c r="AD80" s="1622">
        <v>0</v>
      </c>
      <c r="AE80" s="1622">
        <v>0</v>
      </c>
      <c r="AF80" s="1622">
        <v>0</v>
      </c>
      <c r="AG80" s="1622">
        <v>0</v>
      </c>
      <c r="AH80" s="1622">
        <v>0</v>
      </c>
      <c r="AI80" s="1622">
        <v>0</v>
      </c>
      <c r="AJ80" s="1622">
        <v>0</v>
      </c>
      <c r="AK80" s="1622">
        <v>0</v>
      </c>
      <c r="AL80" s="1622">
        <v>0</v>
      </c>
      <c r="AN80" s="498"/>
    </row>
    <row r="81" spans="1:40" ht="18" customHeight="1">
      <c r="A81" s="498"/>
      <c r="D81" s="1598">
        <v>121602</v>
      </c>
      <c r="E81" s="1364" t="s">
        <v>1643</v>
      </c>
      <c r="F81" s="1631">
        <v>2311</v>
      </c>
      <c r="G81" s="1364" t="s">
        <v>1694</v>
      </c>
      <c r="H81" s="498">
        <v>0</v>
      </c>
      <c r="I81" s="498">
        <v>0</v>
      </c>
      <c r="J81" s="710">
        <v>0</v>
      </c>
      <c r="K81" s="710">
        <v>0</v>
      </c>
      <c r="L81" s="510">
        <f t="shared" si="24"/>
        <v>0</v>
      </c>
      <c r="N81" s="1673">
        <f>SUMIF('1.0'!$D:$D,T_BS!D81,'1.0'!$V:$V)</f>
        <v>0</v>
      </c>
      <c r="O81" s="710">
        <f>SUMIF('2.0'!$D:$D,T_BS!D81,'2.0'!$V:$V)</f>
        <v>0</v>
      </c>
      <c r="P81" s="509">
        <f>ROUND(SUMIF('3.0'!$D:$D,T_BS!D81,'3.0'!$H:$H),0)</f>
        <v>0</v>
      </c>
      <c r="Q81" s="720">
        <f>ROUND(SUMIF('4.0'!$D:$D,T_BS!D81,'4.0'!$V:$V),0)</f>
        <v>0</v>
      </c>
      <c r="R81" s="509">
        <f>ROUND(SUMIF('5.0'!$D:$D,T_BS!D81,'5.0'!$V:$V),0)</f>
        <v>0</v>
      </c>
      <c r="S81" s="720">
        <f>ROUND(SUMIF('6.0'!$D:$D,T_BS!D81,'6.0'!$V:$V),0)</f>
        <v>0</v>
      </c>
      <c r="T81" s="720">
        <f>ROUND(SUMIF('7.0'!$D:$D,T_BS!D81,'7.0'!$V:$V),0)</f>
        <v>0</v>
      </c>
      <c r="U81" s="720">
        <f>ROUND(SUMIF('8.0'!$D:$D,T_BS!D81,'8.0'!$H:$H),0)</f>
        <v>0</v>
      </c>
      <c r="V81" s="510">
        <f t="shared" si="25"/>
        <v>0</v>
      </c>
      <c r="X81" s="1647">
        <f t="shared" si="26"/>
        <v>0</v>
      </c>
      <c r="Z81" s="1622">
        <f t="shared" si="27"/>
        <v>0</v>
      </c>
      <c r="AB81" s="1622">
        <v>0</v>
      </c>
      <c r="AC81" s="1622">
        <v>0</v>
      </c>
      <c r="AD81" s="1622">
        <v>0</v>
      </c>
      <c r="AE81" s="1622">
        <v>0</v>
      </c>
      <c r="AF81" s="1622">
        <v>0</v>
      </c>
      <c r="AG81" s="1622">
        <v>0</v>
      </c>
      <c r="AH81" s="1622">
        <v>0</v>
      </c>
      <c r="AI81" s="1622">
        <v>0</v>
      </c>
      <c r="AJ81" s="1622">
        <v>0</v>
      </c>
      <c r="AK81" s="1622">
        <v>0</v>
      </c>
      <c r="AL81" s="1622">
        <v>0</v>
      </c>
      <c r="AN81" s="498"/>
    </row>
    <row r="82" spans="1:40" ht="18" customHeight="1">
      <c r="A82" s="498"/>
      <c r="D82" s="1598">
        <v>121532</v>
      </c>
      <c r="E82" s="1364" t="s">
        <v>1643</v>
      </c>
      <c r="F82" s="1631" t="s">
        <v>1873</v>
      </c>
      <c r="G82" s="1364" t="s">
        <v>74</v>
      </c>
      <c r="H82" s="498">
        <v>-57378120</v>
      </c>
      <c r="I82" s="498">
        <v>-5499828</v>
      </c>
      <c r="J82" s="710">
        <v>0</v>
      </c>
      <c r="K82" s="710">
        <v>-46576970</v>
      </c>
      <c r="L82" s="510">
        <f t="shared" si="24"/>
        <v>-109454918</v>
      </c>
      <c r="N82" s="1673">
        <f>SUMIF('1.0'!$D:$D,T_BS!D82,'1.0'!$V:$V)</f>
        <v>0</v>
      </c>
      <c r="O82" s="710">
        <f>SUMIF('2.0'!$D:$D,T_BS!D82,'2.0'!$V:$V)</f>
        <v>0</v>
      </c>
      <c r="P82" s="509">
        <f>ROUND(SUMIF('3.0'!$D:$D,T_BS!D82,'3.0'!$H:$H),0)</f>
        <v>0</v>
      </c>
      <c r="Q82" s="720">
        <f>ROUND(SUMIF('4.0'!$D:$D,T_BS!D82,'4.0'!$V:$V),0)</f>
        <v>0</v>
      </c>
      <c r="R82" s="509">
        <f>ROUND(SUMIF('5.0'!$D:$D,T_BS!D82,'5.0'!$V:$V),0)</f>
        <v>0</v>
      </c>
      <c r="S82" s="720">
        <f>ROUND(SUMIF('6.0'!$D:$D,T_BS!D82,'6.0'!$V:$V),0)</f>
        <v>0</v>
      </c>
      <c r="T82" s="720">
        <f>ROUND(SUMIF('7.0'!$D:$D,T_BS!D82,'7.0'!$V:$V),0)</f>
        <v>0</v>
      </c>
      <c r="U82" s="720">
        <f>ROUND(SUMIF('8.0'!$D:$D,T_BS!D82,'8.0'!$H:$H),0)</f>
        <v>0</v>
      </c>
      <c r="V82" s="510">
        <f t="shared" si="25"/>
        <v>0</v>
      </c>
      <c r="X82" s="1647">
        <f t="shared" si="26"/>
        <v>-109454918</v>
      </c>
      <c r="Z82" s="1622">
        <f t="shared" si="27"/>
        <v>119069866</v>
      </c>
      <c r="AB82" s="1622">
        <v>-118599883</v>
      </c>
      <c r="AC82" s="1622">
        <v>-196545944</v>
      </c>
      <c r="AD82" s="1622">
        <v>-200487185</v>
      </c>
      <c r="AE82" s="1622">
        <v>-202904494</v>
      </c>
      <c r="AF82" s="1622">
        <v>-244055864</v>
      </c>
      <c r="AG82" s="1622">
        <v>-228524784</v>
      </c>
      <c r="AH82" s="1622">
        <v>-140373215</v>
      </c>
      <c r="AI82" s="1622">
        <v>-146755525</v>
      </c>
      <c r="AJ82" s="1622">
        <v>-114575271</v>
      </c>
      <c r="AK82" s="1622">
        <v>-136538681</v>
      </c>
      <c r="AL82" s="1622">
        <v>-159435455</v>
      </c>
      <c r="AN82" s="498"/>
    </row>
    <row r="83" spans="1:40" ht="18" customHeight="1">
      <c r="A83" s="498"/>
      <c r="D83" s="1598">
        <v>121531</v>
      </c>
      <c r="E83" s="1364" t="s">
        <v>1643</v>
      </c>
      <c r="F83" s="1366" t="s">
        <v>1872</v>
      </c>
      <c r="G83" s="1364" t="s">
        <v>75</v>
      </c>
      <c r="H83" s="498">
        <v>600000000</v>
      </c>
      <c r="I83" s="498">
        <v>150000000</v>
      </c>
      <c r="J83" s="710">
        <v>0</v>
      </c>
      <c r="K83" s="710">
        <v>575695139</v>
      </c>
      <c r="L83" s="510">
        <f t="shared" si="24"/>
        <v>1325695139</v>
      </c>
      <c r="N83" s="1673">
        <f>SUMIF('1.0'!$D:$D,T_BS!D83,'1.0'!$V:$V)</f>
        <v>0</v>
      </c>
      <c r="O83" s="710">
        <f>SUMIF('2.0'!$D:$D,T_BS!D83,'2.0'!$V:$V)</f>
        <v>0</v>
      </c>
      <c r="P83" s="509">
        <f>ROUND(SUMIF('3.0'!$D:$D,T_BS!D83,'3.0'!$H:$H),0)</f>
        <v>0</v>
      </c>
      <c r="Q83" s="720">
        <f>ROUND(SUMIF('4.0'!$D:$D,T_BS!D83,'4.0'!$V:$V),0)</f>
        <v>0</v>
      </c>
      <c r="R83" s="509">
        <f>ROUND(SUMIF('5.0'!$D:$D,T_BS!D83,'5.0'!$V:$V),0)</f>
        <v>0</v>
      </c>
      <c r="S83" s="720">
        <f>ROUND(SUMIF('6.0'!$D:$D,T_BS!D83,'6.0'!$V:$V),0)</f>
        <v>0</v>
      </c>
      <c r="T83" s="720">
        <f>ROUND(SUMIF('7.0'!$D:$D,T_BS!D83,'7.0'!$V:$V),0)</f>
        <v>0</v>
      </c>
      <c r="U83" s="720">
        <f>ROUND(SUMIF('8.0'!$D:$D,T_BS!D83,'8.0'!$H:$H),0)</f>
        <v>0</v>
      </c>
      <c r="V83" s="510">
        <f t="shared" si="25"/>
        <v>0</v>
      </c>
      <c r="X83" s="1647">
        <f t="shared" si="26"/>
        <v>1325695139</v>
      </c>
      <c r="Z83" s="1622">
        <f t="shared" si="27"/>
        <v>-969618807</v>
      </c>
      <c r="AB83" s="1622">
        <v>1344897155</v>
      </c>
      <c r="AC83" s="1622">
        <v>2431361111</v>
      </c>
      <c r="AD83" s="1622">
        <v>2431289238</v>
      </c>
      <c r="AE83" s="1622">
        <v>2416866763</v>
      </c>
      <c r="AF83" s="1622">
        <v>2444591696</v>
      </c>
      <c r="AG83" s="1622">
        <v>2295313946</v>
      </c>
      <c r="AH83" s="1622">
        <v>1179486451</v>
      </c>
      <c r="AI83" s="1622">
        <v>1195376329</v>
      </c>
      <c r="AJ83" s="1622">
        <v>1711590000</v>
      </c>
      <c r="AK83" s="1622">
        <v>1699086000</v>
      </c>
      <c r="AL83" s="1622">
        <v>1699086000</v>
      </c>
      <c r="AN83" s="498"/>
    </row>
    <row r="84" spans="1:40" ht="18" customHeight="1">
      <c r="A84" s="498"/>
      <c r="D84" s="1593"/>
      <c r="E84" s="1594"/>
      <c r="F84" s="1595"/>
      <c r="G84" s="1594" t="s">
        <v>76</v>
      </c>
      <c r="H84" s="520">
        <f>SUM(H85:H89)</f>
        <v>26244925537</v>
      </c>
      <c r="I84" s="506">
        <f>SUM(I85:I89)</f>
        <v>0</v>
      </c>
      <c r="J84" s="506">
        <f>SUM(J85:J89)</f>
        <v>0</v>
      </c>
      <c r="K84" s="506">
        <f>SUM(K85:K89)</f>
        <v>0</v>
      </c>
      <c r="L84" s="507">
        <f>SUM(L85:L89)</f>
        <v>26244925537</v>
      </c>
      <c r="N84" s="1637">
        <f t="shared" ref="N84:S84" si="28">SUM(N85:N89)</f>
        <v>0</v>
      </c>
      <c r="O84" s="506">
        <f t="shared" si="28"/>
        <v>0</v>
      </c>
      <c r="P84" s="506">
        <f t="shared" si="28"/>
        <v>0</v>
      </c>
      <c r="Q84" s="506">
        <f t="shared" si="28"/>
        <v>0</v>
      </c>
      <c r="R84" s="506">
        <f t="shared" si="28"/>
        <v>0</v>
      </c>
      <c r="S84" s="506">
        <f t="shared" si="28"/>
        <v>0</v>
      </c>
      <c r="T84" s="506">
        <f>SUM(T85:T89)</f>
        <v>0</v>
      </c>
      <c r="U84" s="506">
        <f>SUM(U85:U89)</f>
        <v>0</v>
      </c>
      <c r="V84" s="507">
        <f>SUM(V85:V89)</f>
        <v>0</v>
      </c>
      <c r="X84" s="1636">
        <f>SUM(X85:X89)</f>
        <v>26244925537</v>
      </c>
      <c r="Z84" s="1636">
        <f>SUM(Z85:Z89)</f>
        <v>-4527184282</v>
      </c>
      <c r="AB84" s="1636">
        <v>24244880842</v>
      </c>
      <c r="AC84" s="1636">
        <v>23989780542</v>
      </c>
      <c r="AD84" s="1636">
        <v>23989780542</v>
      </c>
      <c r="AE84" s="1636">
        <v>23989780542</v>
      </c>
      <c r="AF84" s="1636">
        <v>29873678142</v>
      </c>
      <c r="AG84" s="1636">
        <v>30772109819</v>
      </c>
      <c r="AH84" s="1636">
        <v>20001800000</v>
      </c>
      <c r="AI84" s="1636">
        <v>20001800000</v>
      </c>
      <c r="AJ84" s="1636">
        <v>20001800000</v>
      </c>
      <c r="AK84" s="1636">
        <f>SUM(AK85:AK89)</f>
        <v>0</v>
      </c>
      <c r="AL84" s="1636">
        <v>0</v>
      </c>
      <c r="AN84" s="498"/>
    </row>
    <row r="85" spans="1:40" ht="18" customHeight="1">
      <c r="A85" s="498"/>
      <c r="D85" s="1598">
        <v>121410</v>
      </c>
      <c r="E85" s="1364" t="s">
        <v>76</v>
      </c>
      <c r="F85" s="1631">
        <v>2604</v>
      </c>
      <c r="G85" s="1364" t="s">
        <v>2387</v>
      </c>
      <c r="H85" s="498">
        <v>26244925537</v>
      </c>
      <c r="I85" s="498">
        <v>0</v>
      </c>
      <c r="J85" s="710">
        <v>0</v>
      </c>
      <c r="K85" s="710">
        <v>0</v>
      </c>
      <c r="L85" s="510">
        <f>SUM(H85:K85)</f>
        <v>26244925537</v>
      </c>
      <c r="N85" s="1673">
        <f>SUMIF('1.0'!$D:$D,T_BS!D85,'1.0'!$V:$V)</f>
        <v>0</v>
      </c>
      <c r="O85" s="710">
        <f>SUMIF('2.0'!$D:$D,T_BS!D85,'2.0'!$V:$V)</f>
        <v>0</v>
      </c>
      <c r="P85" s="509">
        <f>ROUND(SUMIF('3.0'!$D:$D,T_BS!D85,'3.0'!$H:$H),0)</f>
        <v>0</v>
      </c>
      <c r="Q85" s="720">
        <f>ROUND(SUMIF('4.0'!$D:$D,T_BS!D85,'4.0'!$V:$V),0)</f>
        <v>0</v>
      </c>
      <c r="R85" s="509">
        <f>ROUND(SUMIF('5.0'!$D:$D,T_BS!D85,'5.0'!$V:$V),0)</f>
        <v>0</v>
      </c>
      <c r="S85" s="720">
        <f>ROUND(SUMIF('6.0'!$D:$D,T_BS!D85,'6.0'!$V:$V),0)</f>
        <v>0</v>
      </c>
      <c r="T85" s="720">
        <f>ROUND(SUMIF('7.0'!$D:$D,T_BS!D85,'7.0'!$V:$V),0)</f>
        <v>0</v>
      </c>
      <c r="U85" s="720">
        <f>ROUND(SUMIF('8.0'!$D:$D,T_BS!D85,'8.0'!$H:$H),0)</f>
        <v>0</v>
      </c>
      <c r="V85" s="510">
        <f>SUM(N85:U85)</f>
        <v>0</v>
      </c>
      <c r="X85" s="1647">
        <f>V85+L85</f>
        <v>26244925537</v>
      </c>
      <c r="Z85" s="1622">
        <f>X85-AG85</f>
        <v>5810571224</v>
      </c>
      <c r="AB85" s="1622">
        <v>0</v>
      </c>
      <c r="AC85" s="1622">
        <v>23989780542</v>
      </c>
      <c r="AD85" s="1622">
        <v>23989780542</v>
      </c>
      <c r="AE85" s="1622">
        <v>0</v>
      </c>
      <c r="AF85" s="1622">
        <v>0</v>
      </c>
      <c r="AG85" s="1622">
        <v>20434354313</v>
      </c>
      <c r="AH85" s="1622">
        <v>20001800000</v>
      </c>
      <c r="AI85" s="1622">
        <v>20001800000</v>
      </c>
      <c r="AJ85" s="1622">
        <v>20001800000</v>
      </c>
      <c r="AK85" s="1622">
        <v>0</v>
      </c>
      <c r="AL85" s="1622">
        <v>0</v>
      </c>
      <c r="AN85" s="498"/>
    </row>
    <row r="86" spans="1:40" s="1659" customFormat="1" ht="18" customHeight="1">
      <c r="A86" s="575"/>
      <c r="B86" s="1089"/>
      <c r="C86" s="1089"/>
      <c r="D86" s="1681" t="s">
        <v>2386</v>
      </c>
      <c r="E86" s="1089" t="s">
        <v>76</v>
      </c>
      <c r="F86" s="1677">
        <v>2603</v>
      </c>
      <c r="G86" s="1089" t="s">
        <v>2388</v>
      </c>
      <c r="H86" s="498">
        <v>0</v>
      </c>
      <c r="I86" s="498">
        <v>0</v>
      </c>
      <c r="J86" s="710">
        <v>0</v>
      </c>
      <c r="K86" s="710">
        <v>0</v>
      </c>
      <c r="L86" s="1646">
        <f>SUM(H86:K86)</f>
        <v>0</v>
      </c>
      <c r="N86" s="1642">
        <f>SUMIF('1.0'!$D:$D,T_BS!D86,'1.0'!$V:$V)</f>
        <v>0</v>
      </c>
      <c r="O86" s="925">
        <f>SUMIF('2.0'!$D:$D,T_BS!D86,'2.0'!$V:$V)</f>
        <v>0</v>
      </c>
      <c r="P86" s="925">
        <f>ROUND(SUMIF('3.0'!$D:$D,T_BS!D86,'3.0'!$H:$H),0)</f>
        <v>0</v>
      </c>
      <c r="Q86" s="1119">
        <f>ROUND(SUMIF('4.0'!$D:$D,T_BS!D86,'4.0'!$V:$V),0)</f>
        <v>0</v>
      </c>
      <c r="R86" s="925">
        <f>ROUND(SUMIF('5.0'!$D:$D,T_BS!D86,'5.0'!$V:$V),0)</f>
        <v>0</v>
      </c>
      <c r="S86" s="1119">
        <f>ROUND(SUMIF('6.0'!$D:$D,T_BS!D86,'6.0'!$V:$V),0)</f>
        <v>0</v>
      </c>
      <c r="T86" s="1119">
        <f>ROUND(SUMIF('7.0'!$D:$D,T_BS!D86,'7.0'!$V:$V),0)</f>
        <v>0</v>
      </c>
      <c r="U86" s="1119">
        <f>ROUND(SUMIF('8.0'!$D:$D,T_BS!D86,'8.0'!$H:$H),0)</f>
        <v>0</v>
      </c>
      <c r="V86" s="1646">
        <f>SUM(N86:U86)</f>
        <v>0</v>
      </c>
      <c r="X86" s="1647">
        <f>V86+L86</f>
        <v>0</v>
      </c>
      <c r="Z86" s="1622">
        <f>X86-AG86</f>
        <v>-10337755506</v>
      </c>
      <c r="AB86" s="1647">
        <v>24244880842</v>
      </c>
      <c r="AC86" s="1647">
        <v>0</v>
      </c>
      <c r="AD86" s="1647">
        <v>0</v>
      </c>
      <c r="AE86" s="1647">
        <v>23989780542</v>
      </c>
      <c r="AF86" s="1647">
        <v>29873678142</v>
      </c>
      <c r="AG86" s="1647">
        <v>10337755506</v>
      </c>
      <c r="AH86" s="1647"/>
      <c r="AI86" s="1647"/>
      <c r="AJ86" s="1647"/>
      <c r="AK86" s="1647"/>
      <c r="AL86" s="1647">
        <v>0</v>
      </c>
      <c r="AN86" s="498"/>
    </row>
    <row r="87" spans="1:40" ht="18" customHeight="1">
      <c r="A87" s="498"/>
      <c r="D87" s="1639" t="s">
        <v>221</v>
      </c>
      <c r="E87" s="1364" t="s">
        <v>76</v>
      </c>
      <c r="F87" s="1366" t="s">
        <v>611</v>
      </c>
      <c r="G87" s="1364" t="s">
        <v>78</v>
      </c>
      <c r="H87" s="498">
        <v>0</v>
      </c>
      <c r="I87" s="498">
        <v>0</v>
      </c>
      <c r="J87" s="710">
        <v>0</v>
      </c>
      <c r="K87" s="710">
        <v>0</v>
      </c>
      <c r="L87" s="510">
        <f>SUM(H87:K87)</f>
        <v>0</v>
      </c>
      <c r="N87" s="1673">
        <f>SUMIF('1.0'!$D:$D,T_BS!D87,'1.0'!$V:$V)</f>
        <v>0</v>
      </c>
      <c r="O87" s="710">
        <f>SUMIF('2.0'!$D:$D,T_BS!D87,'2.0'!$V:$V)</f>
        <v>0</v>
      </c>
      <c r="P87" s="509">
        <f>ROUND(SUMIF('3.0'!$D:$D,T_BS!D87,'3.0'!$H:$H),0)</f>
        <v>0</v>
      </c>
      <c r="Q87" s="720">
        <f>ROUND(SUMIF('4.0'!$D:$D,T_BS!D87,'4.0'!$V:$V),0)</f>
        <v>0</v>
      </c>
      <c r="R87" s="509">
        <f>ROUND(SUMIF('5.0'!$D:$D,T_BS!D87,'5.0'!$V:$V),0)</f>
        <v>0</v>
      </c>
      <c r="S87" s="720">
        <f>ROUND(SUMIF('6.0'!$D:$D,T_BS!D87,'6.0'!$V:$V),0)</f>
        <v>0</v>
      </c>
      <c r="T87" s="720">
        <f>ROUND(SUMIF('7.0'!$D:$D,T_BS!D87,'7.0'!$V:$V),0)</f>
        <v>0</v>
      </c>
      <c r="U87" s="720">
        <f>ROUND(SUMIF('8.0'!$D:$D,T_BS!D87,'8.0'!$H:$H),0)</f>
        <v>0</v>
      </c>
      <c r="V87" s="510">
        <f>SUM(N87:U87)</f>
        <v>0</v>
      </c>
      <c r="X87" s="1647">
        <f>V87+L87</f>
        <v>0</v>
      </c>
      <c r="Z87" s="1622">
        <f>X87-AG87</f>
        <v>0</v>
      </c>
      <c r="AB87" s="1622">
        <v>0</v>
      </c>
      <c r="AC87" s="1622">
        <v>0</v>
      </c>
      <c r="AD87" s="1622">
        <v>0</v>
      </c>
      <c r="AE87" s="1622">
        <v>0</v>
      </c>
      <c r="AF87" s="1622">
        <v>0</v>
      </c>
      <c r="AG87" s="1622">
        <v>0</v>
      </c>
      <c r="AH87" s="1622">
        <v>0</v>
      </c>
      <c r="AI87" s="1622">
        <v>0</v>
      </c>
      <c r="AJ87" s="1622">
        <v>0</v>
      </c>
      <c r="AK87" s="1622">
        <v>0</v>
      </c>
      <c r="AL87" s="1622">
        <v>0</v>
      </c>
      <c r="AN87" s="498"/>
    </row>
    <row r="88" spans="1:40" ht="18" customHeight="1">
      <c r="A88" s="498"/>
      <c r="D88" s="1639" t="s">
        <v>222</v>
      </c>
      <c r="E88" s="1364" t="s">
        <v>76</v>
      </c>
      <c r="F88" s="1366" t="s">
        <v>611</v>
      </c>
      <c r="G88" s="1364" t="s">
        <v>79</v>
      </c>
      <c r="H88" s="498">
        <v>0</v>
      </c>
      <c r="I88" s="498">
        <v>0</v>
      </c>
      <c r="J88" s="710">
        <v>0</v>
      </c>
      <c r="K88" s="710">
        <v>0</v>
      </c>
      <c r="L88" s="510">
        <f>SUM(H88:K88)</f>
        <v>0</v>
      </c>
      <c r="N88" s="1673">
        <f>SUMIF('1.0'!$D:$D,T_BS!D88,'1.0'!$V:$V)</f>
        <v>0</v>
      </c>
      <c r="O88" s="710">
        <f>SUMIF('2.0'!$D:$D,T_BS!D88,'2.0'!$V:$V)</f>
        <v>0</v>
      </c>
      <c r="P88" s="509">
        <f>ROUND(SUMIF('3.0'!$D:$D,T_BS!D88,'3.0'!$H:$H),0)</f>
        <v>0</v>
      </c>
      <c r="Q88" s="720">
        <f>ROUND(SUMIF('4.0'!$D:$D,T_BS!D88,'4.0'!$V:$V),0)</f>
        <v>0</v>
      </c>
      <c r="R88" s="509">
        <f>ROUND(SUMIF('5.0'!$D:$D,T_BS!D88,'5.0'!$V:$V),0)</f>
        <v>0</v>
      </c>
      <c r="S88" s="720">
        <f>ROUND(SUMIF('6.0'!$D:$D,T_BS!D88,'6.0'!$V:$V),0)</f>
        <v>0</v>
      </c>
      <c r="T88" s="720">
        <f>ROUND(SUMIF('7.0'!$D:$D,T_BS!D88,'7.0'!$V:$V),0)</f>
        <v>0</v>
      </c>
      <c r="U88" s="720">
        <f>ROUND(SUMIF('8.0'!$D:$D,T_BS!D88,'8.0'!$H:$H),0)</f>
        <v>0</v>
      </c>
      <c r="V88" s="510">
        <f>SUM(N88:U88)</f>
        <v>0</v>
      </c>
      <c r="X88" s="1647">
        <f>V88+L88</f>
        <v>0</v>
      </c>
      <c r="Z88" s="1622">
        <f>X88-AG88</f>
        <v>0</v>
      </c>
      <c r="AB88" s="1622">
        <v>0</v>
      </c>
      <c r="AC88" s="1622">
        <v>0</v>
      </c>
      <c r="AD88" s="1622">
        <v>0</v>
      </c>
      <c r="AE88" s="1622">
        <v>0</v>
      </c>
      <c r="AF88" s="1622">
        <v>0</v>
      </c>
      <c r="AG88" s="1622">
        <v>0</v>
      </c>
      <c r="AH88" s="1622">
        <v>0</v>
      </c>
      <c r="AI88" s="1622">
        <v>0</v>
      </c>
      <c r="AJ88" s="1622">
        <v>0</v>
      </c>
      <c r="AK88" s="1622">
        <v>0</v>
      </c>
      <c r="AL88" s="1622">
        <v>0</v>
      </c>
      <c r="AN88" s="498"/>
    </row>
    <row r="89" spans="1:40" ht="18" customHeight="1">
      <c r="A89" s="498"/>
      <c r="D89" s="1639" t="s">
        <v>223</v>
      </c>
      <c r="E89" s="1364" t="s">
        <v>76</v>
      </c>
      <c r="F89" s="1366" t="s">
        <v>611</v>
      </c>
      <c r="G89" s="1364" t="s">
        <v>42</v>
      </c>
      <c r="H89" s="498">
        <v>0</v>
      </c>
      <c r="I89" s="498">
        <v>0</v>
      </c>
      <c r="J89" s="710">
        <v>0</v>
      </c>
      <c r="K89" s="710">
        <v>0</v>
      </c>
      <c r="L89" s="510">
        <f>SUM(H89:K89)</f>
        <v>0</v>
      </c>
      <c r="N89" s="1673">
        <f>SUMIF('1.0'!$D:$D,T_BS!D89,'1.0'!$V:$V)</f>
        <v>0</v>
      </c>
      <c r="O89" s="710">
        <f>SUMIF('2.0'!$D:$D,T_BS!D89,'2.0'!$V:$V)</f>
        <v>0</v>
      </c>
      <c r="P89" s="509">
        <f>ROUND(SUMIF('3.0'!$D:$D,T_BS!D89,'3.0'!$H:$H),0)</f>
        <v>0</v>
      </c>
      <c r="Q89" s="720">
        <f>ROUND(SUMIF('4.0'!$D:$D,T_BS!D89,'4.0'!$V:$V),0)</f>
        <v>0</v>
      </c>
      <c r="R89" s="509">
        <f>ROUND(SUMIF('5.0'!$D:$D,T_BS!D89,'5.0'!$V:$V),0)</f>
        <v>0</v>
      </c>
      <c r="S89" s="720">
        <f>ROUND(SUMIF('6.0'!$D:$D,T_BS!D89,'6.0'!$V:$V),0)</f>
        <v>0</v>
      </c>
      <c r="T89" s="720">
        <f>ROUND(SUMIF('7.0'!$D:$D,T_BS!D89,'7.0'!$V:$V),0)</f>
        <v>0</v>
      </c>
      <c r="U89" s="720">
        <f>ROUND(SUMIF('8.0'!$D:$D,T_BS!D89,'8.0'!$H:$H),0)</f>
        <v>0</v>
      </c>
      <c r="V89" s="510">
        <f>SUM(N89:U89)</f>
        <v>0</v>
      </c>
      <c r="X89" s="1647">
        <f>V89+L89</f>
        <v>0</v>
      </c>
      <c r="Z89" s="1622">
        <f>X89-AG89</f>
        <v>0</v>
      </c>
      <c r="AB89" s="1622">
        <v>0</v>
      </c>
      <c r="AC89" s="1622">
        <v>0</v>
      </c>
      <c r="AD89" s="1622">
        <v>0</v>
      </c>
      <c r="AE89" s="1622">
        <v>0</v>
      </c>
      <c r="AF89" s="1622">
        <v>0</v>
      </c>
      <c r="AG89" s="1622">
        <v>0</v>
      </c>
      <c r="AH89" s="1622">
        <v>0</v>
      </c>
      <c r="AI89" s="1622">
        <v>0</v>
      </c>
      <c r="AJ89" s="1622">
        <v>0</v>
      </c>
      <c r="AK89" s="1622">
        <v>0</v>
      </c>
      <c r="AL89" s="1622">
        <v>0</v>
      </c>
      <c r="AN89" s="498"/>
    </row>
    <row r="90" spans="1:40" ht="18" customHeight="1">
      <c r="A90" s="498"/>
      <c r="D90" s="1593"/>
      <c r="E90" s="1594"/>
      <c r="F90" s="1595"/>
      <c r="G90" s="1594" t="s">
        <v>80</v>
      </c>
      <c r="H90" s="520">
        <f>SUM(H91:H93)</f>
        <v>16711734856</v>
      </c>
      <c r="I90" s="506">
        <f>SUM(I91:I93)</f>
        <v>0</v>
      </c>
      <c r="J90" s="506">
        <f>SUM(J91:J93)</f>
        <v>0</v>
      </c>
      <c r="K90" s="506">
        <f>SUM(K91:K93)</f>
        <v>0</v>
      </c>
      <c r="L90" s="507">
        <f>SUM(L91:L93)</f>
        <v>16711734856</v>
      </c>
      <c r="N90" s="1637">
        <f t="shared" ref="N90:V90" si="29">SUM(N91:N93)</f>
        <v>0</v>
      </c>
      <c r="O90" s="506">
        <f t="shared" si="29"/>
        <v>0</v>
      </c>
      <c r="P90" s="506">
        <f t="shared" si="29"/>
        <v>0</v>
      </c>
      <c r="Q90" s="506">
        <f t="shared" si="29"/>
        <v>0</v>
      </c>
      <c r="R90" s="506">
        <f t="shared" si="29"/>
        <v>0</v>
      </c>
      <c r="S90" s="506">
        <f t="shared" si="29"/>
        <v>-20000000</v>
      </c>
      <c r="T90" s="506">
        <f t="shared" si="29"/>
        <v>678306860</v>
      </c>
      <c r="U90" s="506">
        <f t="shared" si="29"/>
        <v>-9428949995</v>
      </c>
      <c r="V90" s="507">
        <f t="shared" si="29"/>
        <v>-8770643135</v>
      </c>
      <c r="X90" s="1636">
        <f>SUM(X91:X93)</f>
        <v>7941091721</v>
      </c>
      <c r="Z90" s="1636">
        <f>SUM(Z91:Z93)</f>
        <v>7665704580</v>
      </c>
      <c r="AB90" s="1636">
        <v>7941091721</v>
      </c>
      <c r="AC90" s="1636">
        <v>8284812074</v>
      </c>
      <c r="AD90" s="1636">
        <v>8284812074</v>
      </c>
      <c r="AE90" s="1636">
        <v>8284812074</v>
      </c>
      <c r="AF90" s="1636">
        <v>276089605</v>
      </c>
      <c r="AG90" s="1636">
        <v>275387141</v>
      </c>
      <c r="AH90" s="1636">
        <v>251229861</v>
      </c>
      <c r="AI90" s="1636">
        <v>251229861</v>
      </c>
      <c r="AJ90" s="1636">
        <v>251229861</v>
      </c>
      <c r="AK90" s="1636">
        <f>SUM(AK91:AK93)</f>
        <v>0</v>
      </c>
      <c r="AL90" s="1636">
        <v>0</v>
      </c>
      <c r="AN90" s="498"/>
    </row>
    <row r="91" spans="1:40" ht="18" customHeight="1">
      <c r="A91" s="498"/>
      <c r="D91" s="1598">
        <v>900019</v>
      </c>
      <c r="E91" s="1364" t="s">
        <v>81</v>
      </c>
      <c r="F91" s="1366" t="s">
        <v>611</v>
      </c>
      <c r="G91" s="1364" t="s">
        <v>81</v>
      </c>
      <c r="H91" s="498">
        <v>75917896695</v>
      </c>
      <c r="I91" s="498">
        <v>0</v>
      </c>
      <c r="J91" s="710">
        <v>0</v>
      </c>
      <c r="K91" s="710">
        <v>0</v>
      </c>
      <c r="L91" s="510">
        <f>SUM(H91:K91)</f>
        <v>75917896695</v>
      </c>
      <c r="N91" s="1673">
        <f>SUMIF('1.0'!$D:$D,T_BS!D91,'1.0'!$V:$V)</f>
        <v>0</v>
      </c>
      <c r="O91" s="710">
        <f>SUMIF('2.0'!$D:$D,T_BS!D91,'2.0'!$V:$V)</f>
        <v>0</v>
      </c>
      <c r="P91" s="509">
        <f>ROUND(SUMIF('3.0'!$D:$D,T_BS!D91,'3.0'!$H:$H),0)</f>
        <v>0</v>
      </c>
      <c r="Q91" s="710">
        <f>ROUND(SUMIF('4.0'!$D:$D,T_BS!D91,'4.0'!$V:$V),0)</f>
        <v>0</v>
      </c>
      <c r="R91" s="509">
        <f>ROUND(SUMIF('5.0'!$D:$D,T_BS!D91,'5.0'!$V:$V),0)</f>
        <v>0</v>
      </c>
      <c r="S91" s="710">
        <f>ROUND(SUMIF('6.0'!$D:$D,T_BS!D91,'6.0'!$V:$V),0)</f>
        <v>-20000000</v>
      </c>
      <c r="T91" s="710">
        <f>ROUND(SUMIF('7.0'!$D:$D,T_BS!D91,'7.0'!$V:$V),0)</f>
        <v>0</v>
      </c>
      <c r="U91" s="710">
        <f>ROUND(SUMIF('8.0'!$D:$D,T_BS!D91,'8.0'!$H:$H),0)</f>
        <v>-75897896695</v>
      </c>
      <c r="V91" s="510">
        <f>SUM(N91:U91)</f>
        <v>-75917896695</v>
      </c>
      <c r="X91" s="1622">
        <f>V91+L91</f>
        <v>0</v>
      </c>
      <c r="Z91" s="1622">
        <f>X91-AG91</f>
        <v>0</v>
      </c>
      <c r="AB91" s="1622">
        <v>0</v>
      </c>
      <c r="AC91" s="1622">
        <v>0</v>
      </c>
      <c r="AD91" s="1622">
        <v>0</v>
      </c>
      <c r="AE91" s="1622">
        <v>0</v>
      </c>
      <c r="AF91" s="1622">
        <v>0</v>
      </c>
      <c r="AG91" s="1622">
        <v>0</v>
      </c>
      <c r="AH91" s="1622">
        <v>0</v>
      </c>
      <c r="AI91" s="1622">
        <v>0</v>
      </c>
      <c r="AJ91" s="1622">
        <v>0</v>
      </c>
      <c r="AK91" s="1622">
        <v>0</v>
      </c>
      <c r="AL91" s="1622">
        <v>0</v>
      </c>
      <c r="AN91" s="498"/>
    </row>
    <row r="92" spans="1:40" ht="18" customHeight="1">
      <c r="A92" s="498"/>
      <c r="D92" s="1598" t="s">
        <v>1831</v>
      </c>
      <c r="E92" s="1364" t="s">
        <v>1832</v>
      </c>
      <c r="F92" s="1366" t="s">
        <v>611</v>
      </c>
      <c r="G92" s="1364" t="s">
        <v>1832</v>
      </c>
      <c r="H92" s="498">
        <v>-66468946700</v>
      </c>
      <c r="I92" s="498">
        <v>0</v>
      </c>
      <c r="J92" s="710">
        <v>0</v>
      </c>
      <c r="K92" s="710">
        <v>0</v>
      </c>
      <c r="L92" s="510">
        <f>SUM(H92:K92)</f>
        <v>-66468946700</v>
      </c>
      <c r="N92" s="1673">
        <f>SUMIF('1.0'!$D:$D,T_BS!D92,'1.0'!$V:$V)</f>
        <v>0</v>
      </c>
      <c r="O92" s="710">
        <f>SUMIF('2.0'!$D:$D,T_BS!D92,'2.0'!$V:$V)</f>
        <v>0</v>
      </c>
      <c r="P92" s="509">
        <f>ROUND(SUMIF('3.0'!$D:$D,T_BS!D92,'3.0'!$H:$H),0)</f>
        <v>0</v>
      </c>
      <c r="Q92" s="710">
        <f>ROUND(SUMIF('4.0'!$D:$D,T_BS!D92,'4.0'!$V:$V),0)</f>
        <v>0</v>
      </c>
      <c r="R92" s="509">
        <f>ROUND(SUMIF('5.0'!$D:$D,T_BS!D92,'5.0'!$V:$V),0)</f>
        <v>0</v>
      </c>
      <c r="S92" s="710">
        <f>ROUND(SUMIF('6.0'!$D:$D,T_BS!D92,'6.0'!$V:$V),0)</f>
        <v>0</v>
      </c>
      <c r="T92" s="710">
        <f>ROUND(SUMIF('7.0'!$D:$D,T_BS!D92,'7.0'!$V:$V),0)</f>
        <v>0</v>
      </c>
      <c r="U92" s="710">
        <f>ROUND(SUMIF('8.0'!$D:$D,T_BS!D92,'8.0'!$H:$H),0)</f>
        <v>66468946700</v>
      </c>
      <c r="V92" s="510">
        <f>SUM(N92:U92)</f>
        <v>66468946700</v>
      </c>
      <c r="X92" s="1622">
        <f>V92+L92</f>
        <v>0</v>
      </c>
      <c r="Z92" s="1622">
        <f>X92-AG92</f>
        <v>0</v>
      </c>
      <c r="AB92" s="1622">
        <v>0</v>
      </c>
      <c r="AC92" s="1622">
        <v>0</v>
      </c>
      <c r="AD92" s="1622">
        <v>0</v>
      </c>
      <c r="AE92" s="1622">
        <v>0</v>
      </c>
      <c r="AF92" s="1622">
        <v>0</v>
      </c>
      <c r="AG92" s="1622">
        <v>0</v>
      </c>
      <c r="AH92" s="1622">
        <v>0</v>
      </c>
      <c r="AI92" s="1622">
        <v>0</v>
      </c>
      <c r="AJ92" s="1622">
        <v>0</v>
      </c>
      <c r="AK92" s="1622">
        <v>0</v>
      </c>
      <c r="AL92" s="1622">
        <v>0</v>
      </c>
      <c r="AN92" s="498"/>
    </row>
    <row r="93" spans="1:40" ht="18" customHeight="1">
      <c r="A93" s="498"/>
      <c r="D93" s="1598" t="s">
        <v>82</v>
      </c>
      <c r="E93" s="1364" t="s">
        <v>83</v>
      </c>
      <c r="F93" s="1366">
        <v>2202</v>
      </c>
      <c r="G93" s="1364" t="s">
        <v>83</v>
      </c>
      <c r="H93" s="498">
        <v>7262784861</v>
      </c>
      <c r="I93" s="498">
        <v>0</v>
      </c>
      <c r="J93" s="710">
        <v>0</v>
      </c>
      <c r="K93" s="710">
        <v>0</v>
      </c>
      <c r="L93" s="510">
        <f>SUM(H93:K93)</f>
        <v>7262784861</v>
      </c>
      <c r="N93" s="1673">
        <f>SUMIF('1.0'!$D:$D,T_BS!D93,'1.0'!$V:$V)</f>
        <v>0</v>
      </c>
      <c r="O93" s="710">
        <f>SUMIF('2.0'!$D:$D,T_BS!D93,'2.0'!$V:$V)</f>
        <v>0</v>
      </c>
      <c r="P93" s="509">
        <f>ROUND(SUMIF('3.0'!$D:$D,T_BS!D93,'3.0'!$H:$H),0)</f>
        <v>0</v>
      </c>
      <c r="Q93" s="710">
        <f>ROUND(SUMIF('4.0'!$D:$D,T_BS!D93,'4.0'!$V:$V),0)</f>
        <v>0</v>
      </c>
      <c r="R93" s="509">
        <f>ROUND(SUMIF('5.0'!$D:$D,T_BS!D93,'5.0'!$V:$V),0)</f>
        <v>0</v>
      </c>
      <c r="S93" s="710">
        <f>ROUND(SUMIF('6.0'!$D:$D,T_BS!D93,'6.0'!$V:$V),0)</f>
        <v>0</v>
      </c>
      <c r="T93" s="710">
        <f>ROUND(SUMIF('7.0'!$D:$D,T_BS!D93,'7.0'!$V:$V),0)</f>
        <v>678306860</v>
      </c>
      <c r="U93" s="710">
        <f>ROUND(SUMIF('8.0'!$D:$D,T_BS!D93,'8.0'!$H:$H),0)</f>
        <v>0</v>
      </c>
      <c r="V93" s="510">
        <f>SUM(N93:U93)</f>
        <v>678306860</v>
      </c>
      <c r="X93" s="1622">
        <f>V93+L93</f>
        <v>7941091721</v>
      </c>
      <c r="Z93" s="1622">
        <f>X93-AG93</f>
        <v>7665704580</v>
      </c>
      <c r="AB93" s="1622">
        <v>7941091721</v>
      </c>
      <c r="AC93" s="1622">
        <v>8284812074</v>
      </c>
      <c r="AD93" s="1622">
        <v>8284812074</v>
      </c>
      <c r="AE93" s="1622">
        <v>8284812074</v>
      </c>
      <c r="AF93" s="1622">
        <v>276089605</v>
      </c>
      <c r="AG93" s="1622">
        <v>275387141</v>
      </c>
      <c r="AH93" s="1622">
        <v>251229861</v>
      </c>
      <c r="AI93" s="1622">
        <v>251229861</v>
      </c>
      <c r="AJ93" s="1622">
        <v>251229861</v>
      </c>
      <c r="AK93" s="1622">
        <v>0</v>
      </c>
      <c r="AL93" s="1622">
        <v>0</v>
      </c>
      <c r="AN93" s="498"/>
    </row>
    <row r="94" spans="1:40" ht="18" customHeight="1">
      <c r="A94" s="498"/>
      <c r="D94" s="1593"/>
      <c r="E94" s="1594"/>
      <c r="F94" s="1595"/>
      <c r="G94" s="1594" t="s">
        <v>5</v>
      </c>
      <c r="H94" s="520">
        <f>SUM(H95:H118)</f>
        <v>3715616034</v>
      </c>
      <c r="I94" s="506">
        <f>SUM(I95:I118)</f>
        <v>175860792</v>
      </c>
      <c r="J94" s="506">
        <f>SUM(J95:J118)</f>
        <v>20918047</v>
      </c>
      <c r="K94" s="506">
        <f>SUM(K95:K118)</f>
        <v>412410834</v>
      </c>
      <c r="L94" s="507">
        <f>SUM(L95:L118)</f>
        <v>4324805707</v>
      </c>
      <c r="N94" s="1637">
        <f t="shared" ref="N94:V94" si="30">SUM(N95:N118)</f>
        <v>0</v>
      </c>
      <c r="O94" s="506">
        <f t="shared" si="30"/>
        <v>0</v>
      </c>
      <c r="P94" s="506">
        <f t="shared" si="30"/>
        <v>0</v>
      </c>
      <c r="Q94" s="506">
        <f t="shared" si="30"/>
        <v>0</v>
      </c>
      <c r="R94" s="506">
        <f t="shared" si="30"/>
        <v>0</v>
      </c>
      <c r="S94" s="506">
        <f t="shared" si="30"/>
        <v>0</v>
      </c>
      <c r="T94" s="506">
        <f t="shared" si="30"/>
        <v>0</v>
      </c>
      <c r="U94" s="506">
        <f t="shared" si="30"/>
        <v>0</v>
      </c>
      <c r="V94" s="507">
        <f t="shared" si="30"/>
        <v>0</v>
      </c>
      <c r="X94" s="1636">
        <f>SUM(X95:X118)</f>
        <v>4324805707</v>
      </c>
      <c r="Z94" s="1636">
        <f>SUM(Z95:Z118)</f>
        <v>-2427438697</v>
      </c>
      <c r="AB94" s="1636">
        <v>4868566741</v>
      </c>
      <c r="AC94" s="1636">
        <v>5189451594</v>
      </c>
      <c r="AD94" s="1636">
        <v>5418571101</v>
      </c>
      <c r="AE94" s="1636">
        <v>5685824617</v>
      </c>
      <c r="AF94" s="1636">
        <v>6034542963</v>
      </c>
      <c r="AG94" s="1636">
        <v>6752244404</v>
      </c>
      <c r="AH94" s="1636">
        <v>6583860465</v>
      </c>
      <c r="AI94" s="1636">
        <v>6514457817</v>
      </c>
      <c r="AJ94" s="1636">
        <v>6121639158</v>
      </c>
      <c r="AK94" s="1636">
        <f>SUM(AK95:AK118)</f>
        <v>6731213024</v>
      </c>
      <c r="AL94" s="1636">
        <v>7654582035</v>
      </c>
      <c r="AN94" s="498"/>
    </row>
    <row r="95" spans="1:40" ht="18" customHeight="1">
      <c r="A95" s="498"/>
      <c r="D95" s="1598">
        <v>123700</v>
      </c>
      <c r="E95" s="1364" t="s">
        <v>5</v>
      </c>
      <c r="F95" s="1366">
        <v>2401</v>
      </c>
      <c r="G95" s="1364" t="s">
        <v>84</v>
      </c>
      <c r="H95" s="498">
        <v>31456249</v>
      </c>
      <c r="I95" s="498">
        <v>0</v>
      </c>
      <c r="J95" s="710">
        <v>0</v>
      </c>
      <c r="K95" s="710">
        <v>0</v>
      </c>
      <c r="L95" s="510">
        <f t="shared" ref="L95:L118" si="31">SUM(H95:K95)</f>
        <v>31456249</v>
      </c>
      <c r="N95" s="1673">
        <f>SUMIF('1.0'!$D:$D,T_BS!D95,'1.0'!$V:$V)</f>
        <v>0</v>
      </c>
      <c r="O95" s="710">
        <f>SUMIF('2.0'!$D:$D,T_BS!D95,'2.0'!$V:$V)</f>
        <v>0</v>
      </c>
      <c r="P95" s="509">
        <f>ROUND(SUMIF('3.0'!$D:$D,T_BS!D95,'3.0'!$H:$H),0)</f>
        <v>0</v>
      </c>
      <c r="Q95" s="720">
        <f>ROUND(SUMIF('4.0'!$D:$D,T_BS!D95,'4.0'!$V:$V),0)</f>
        <v>0</v>
      </c>
      <c r="R95" s="509">
        <f>ROUND(SUMIF('5.0'!$D:$D,T_BS!D95,'5.0'!$V:$V),0)</f>
        <v>0</v>
      </c>
      <c r="S95" s="720">
        <f>ROUND(SUMIF('6.0'!$D:$D,T_BS!D95,'6.0'!$V:$V),0)</f>
        <v>0</v>
      </c>
      <c r="T95" s="720">
        <f>ROUND(SUMIF('7.0'!$D:$D,T_BS!D95,'7.0'!$V:$V),0)</f>
        <v>0</v>
      </c>
      <c r="U95" s="720">
        <f>ROUND(SUMIF('8.0'!$D:$D,T_BS!D95,'8.0'!$H:$H),0)</f>
        <v>0</v>
      </c>
      <c r="V95" s="510">
        <f t="shared" ref="V95:V118" si="32">SUM(N95:U95)</f>
        <v>0</v>
      </c>
      <c r="X95" s="1647">
        <f t="shared" ref="X95:X118" si="33">V95+L95</f>
        <v>31456249</v>
      </c>
      <c r="Z95" s="1622">
        <f t="shared" ref="Z95:Z118" si="34">X95-AG95</f>
        <v>0</v>
      </c>
      <c r="AB95" s="1622">
        <v>31456249</v>
      </c>
      <c r="AC95" s="1622">
        <v>31456249</v>
      </c>
      <c r="AD95" s="1622">
        <v>31456249</v>
      </c>
      <c r="AE95" s="1622">
        <v>31456249</v>
      </c>
      <c r="AF95" s="1622">
        <v>31456249</v>
      </c>
      <c r="AG95" s="1622">
        <v>31456249</v>
      </c>
      <c r="AH95" s="1622">
        <v>31456249</v>
      </c>
      <c r="AI95" s="1622">
        <v>31456249</v>
      </c>
      <c r="AJ95" s="1622">
        <v>31456249</v>
      </c>
      <c r="AK95" s="1622">
        <v>31456249</v>
      </c>
      <c r="AL95" s="1622">
        <v>31456249</v>
      </c>
      <c r="AN95" s="498"/>
    </row>
    <row r="96" spans="1:40" ht="18" customHeight="1">
      <c r="A96" s="498"/>
      <c r="D96" s="1598">
        <v>123750</v>
      </c>
      <c r="E96" s="1364" t="s">
        <v>5</v>
      </c>
      <c r="F96" s="1366">
        <v>2402</v>
      </c>
      <c r="G96" s="1364" t="s">
        <v>85</v>
      </c>
      <c r="H96" s="498">
        <v>-27730513</v>
      </c>
      <c r="I96" s="498">
        <v>0</v>
      </c>
      <c r="J96" s="710">
        <v>0</v>
      </c>
      <c r="K96" s="710">
        <v>0</v>
      </c>
      <c r="L96" s="510">
        <f t="shared" si="31"/>
        <v>-27730513</v>
      </c>
      <c r="N96" s="1673">
        <f>SUMIF('1.0'!$D:$D,T_BS!D96,'1.0'!$V:$V)</f>
        <v>0</v>
      </c>
      <c r="O96" s="710">
        <f>SUMIF('2.0'!$D:$D,T_BS!D96,'2.0'!$V:$V)</f>
        <v>0</v>
      </c>
      <c r="P96" s="509">
        <f>ROUND(SUMIF('3.0'!$D:$D,T_BS!D96,'3.0'!$H:$H),0)</f>
        <v>0</v>
      </c>
      <c r="Q96" s="720">
        <f>ROUND(SUMIF('4.0'!$D:$D,T_BS!D96,'4.0'!$V:$V),0)</f>
        <v>0</v>
      </c>
      <c r="R96" s="509">
        <f>ROUND(SUMIF('5.0'!$D:$D,T_BS!D96,'5.0'!$V:$V),0)</f>
        <v>0</v>
      </c>
      <c r="S96" s="720">
        <f>ROUND(SUMIF('6.0'!$D:$D,T_BS!D96,'6.0'!$V:$V),0)</f>
        <v>0</v>
      </c>
      <c r="T96" s="720">
        <f>ROUND(SUMIF('7.0'!$D:$D,T_BS!D96,'7.0'!$V:$V),0)</f>
        <v>0</v>
      </c>
      <c r="U96" s="720">
        <f>ROUND(SUMIF('8.0'!$D:$D,T_BS!D96,'8.0'!$H:$H),0)</f>
        <v>0</v>
      </c>
      <c r="V96" s="510">
        <f t="shared" si="32"/>
        <v>0</v>
      </c>
      <c r="X96" s="1647">
        <f t="shared" si="33"/>
        <v>-27730513</v>
      </c>
      <c r="Z96" s="1622">
        <f t="shared" si="34"/>
        <v>-1560600</v>
      </c>
      <c r="AB96" s="1622">
        <v>-27574453</v>
      </c>
      <c r="AC96" s="1622">
        <v>-27418393</v>
      </c>
      <c r="AD96" s="1622">
        <v>-27262333</v>
      </c>
      <c r="AE96" s="1622">
        <v>-27106273</v>
      </c>
      <c r="AF96" s="1622">
        <v>-26638093</v>
      </c>
      <c r="AG96" s="1622">
        <v>-26169913</v>
      </c>
      <c r="AH96" s="1622">
        <v>-25857786</v>
      </c>
      <c r="AI96" s="1622">
        <v>-25701726</v>
      </c>
      <c r="AJ96" s="1622">
        <v>-25233546</v>
      </c>
      <c r="AK96" s="1622">
        <v>-24765366</v>
      </c>
      <c r="AL96" s="1622">
        <v>-24297186</v>
      </c>
      <c r="AN96" s="498"/>
    </row>
    <row r="97" spans="1:40" ht="18" customHeight="1">
      <c r="A97" s="498"/>
      <c r="D97" s="1598">
        <v>123900</v>
      </c>
      <c r="E97" s="1364" t="s">
        <v>5</v>
      </c>
      <c r="F97" s="1366">
        <v>2404</v>
      </c>
      <c r="G97" s="1364" t="s">
        <v>86</v>
      </c>
      <c r="H97" s="498">
        <v>209637249</v>
      </c>
      <c r="I97" s="498">
        <v>0</v>
      </c>
      <c r="J97" s="710">
        <v>0</v>
      </c>
      <c r="K97" s="710">
        <v>0</v>
      </c>
      <c r="L97" s="510">
        <f t="shared" si="31"/>
        <v>209637249</v>
      </c>
      <c r="N97" s="1673">
        <f>SUMIF('1.0'!$D:$D,T_BS!D97,'1.0'!$V:$V)</f>
        <v>0</v>
      </c>
      <c r="O97" s="710">
        <f>SUMIF('2.0'!$D:$D,T_BS!D97,'2.0'!$V:$V)</f>
        <v>0</v>
      </c>
      <c r="P97" s="509">
        <f>ROUND(SUMIF('3.0'!$D:$D,T_BS!D97,'3.0'!$H:$H),0)</f>
        <v>0</v>
      </c>
      <c r="Q97" s="720">
        <f>ROUND(SUMIF('4.0'!$D:$D,T_BS!D97,'4.0'!$V:$V),0)</f>
        <v>0</v>
      </c>
      <c r="R97" s="509">
        <f>ROUND(SUMIF('5.0'!$D:$D,T_BS!D97,'5.0'!$V:$V),0)</f>
        <v>0</v>
      </c>
      <c r="S97" s="720">
        <f>ROUND(SUMIF('6.0'!$D:$D,T_BS!D97,'6.0'!$V:$V),0)</f>
        <v>0</v>
      </c>
      <c r="T97" s="720">
        <f>ROUND(SUMIF('7.0'!$D:$D,T_BS!D97,'7.0'!$V:$V),0)</f>
        <v>0</v>
      </c>
      <c r="U97" s="720">
        <f>ROUND(SUMIF('8.0'!$D:$D,T_BS!D97,'8.0'!$H:$H),0)</f>
        <v>0</v>
      </c>
      <c r="V97" s="510">
        <f t="shared" si="32"/>
        <v>0</v>
      </c>
      <c r="X97" s="1647">
        <f t="shared" si="33"/>
        <v>209637249</v>
      </c>
      <c r="Z97" s="1622">
        <f t="shared" si="34"/>
        <v>0</v>
      </c>
      <c r="AB97" s="1622">
        <v>209637249</v>
      </c>
      <c r="AC97" s="1622">
        <v>209637249</v>
      </c>
      <c r="AD97" s="1622">
        <v>209637249</v>
      </c>
      <c r="AE97" s="1622">
        <v>209637249</v>
      </c>
      <c r="AF97" s="1622">
        <v>209637249</v>
      </c>
      <c r="AG97" s="1622">
        <v>209637249</v>
      </c>
      <c r="AH97" s="1622">
        <v>209637249</v>
      </c>
      <c r="AI97" s="1622">
        <v>209637249</v>
      </c>
      <c r="AJ97" s="1622">
        <v>209637249</v>
      </c>
      <c r="AK97" s="1622">
        <v>209637249</v>
      </c>
      <c r="AL97" s="1622">
        <v>209637249</v>
      </c>
      <c r="AN97" s="498"/>
    </row>
    <row r="98" spans="1:40" ht="18" customHeight="1">
      <c r="A98" s="498"/>
      <c r="D98" s="1598">
        <v>123950</v>
      </c>
      <c r="E98" s="1364" t="s">
        <v>5</v>
      </c>
      <c r="F98" s="1366">
        <v>2405</v>
      </c>
      <c r="G98" s="1364" t="s">
        <v>87</v>
      </c>
      <c r="H98" s="498">
        <v>-164352480</v>
      </c>
      <c r="I98" s="498">
        <v>0</v>
      </c>
      <c r="J98" s="710">
        <v>0</v>
      </c>
      <c r="K98" s="710">
        <v>0</v>
      </c>
      <c r="L98" s="510">
        <f t="shared" si="31"/>
        <v>-164352480</v>
      </c>
      <c r="N98" s="1673">
        <f>SUMIF('1.0'!$D:$D,T_BS!D98,'1.0'!$V:$V)</f>
        <v>0</v>
      </c>
      <c r="O98" s="710">
        <f>SUMIF('2.0'!$D:$D,T_BS!D98,'2.0'!$V:$V)</f>
        <v>0</v>
      </c>
      <c r="P98" s="509">
        <f>ROUND(SUMIF('3.0'!$D:$D,T_BS!D98,'3.0'!$H:$H),0)</f>
        <v>0</v>
      </c>
      <c r="Q98" s="720">
        <f>ROUND(SUMIF('4.0'!$D:$D,T_BS!D98,'4.0'!$V:$V),0)</f>
        <v>0</v>
      </c>
      <c r="R98" s="509">
        <f>ROUND(SUMIF('5.0'!$D:$D,T_BS!D98,'5.0'!$V:$V),0)</f>
        <v>0</v>
      </c>
      <c r="S98" s="720">
        <f>ROUND(SUMIF('6.0'!$D:$D,T_BS!D98,'6.0'!$V:$V),0)</f>
        <v>0</v>
      </c>
      <c r="T98" s="720">
        <f>ROUND(SUMIF('7.0'!$D:$D,T_BS!D98,'7.0'!$V:$V),0)</f>
        <v>0</v>
      </c>
      <c r="U98" s="720">
        <f>ROUND(SUMIF('8.0'!$D:$D,T_BS!D98,'8.0'!$H:$H),0)</f>
        <v>0</v>
      </c>
      <c r="V98" s="510">
        <f t="shared" si="32"/>
        <v>0</v>
      </c>
      <c r="X98" s="1647">
        <f t="shared" si="33"/>
        <v>-164352480</v>
      </c>
      <c r="Z98" s="1622">
        <f t="shared" si="34"/>
        <v>-16124810</v>
      </c>
      <c r="AB98" s="1622">
        <v>-162739999</v>
      </c>
      <c r="AC98" s="1622">
        <v>-161127518</v>
      </c>
      <c r="AD98" s="1622">
        <v>-159515037</v>
      </c>
      <c r="AE98" s="1622">
        <v>-157902556</v>
      </c>
      <c r="AF98" s="1622">
        <v>-153065113</v>
      </c>
      <c r="AG98" s="1622">
        <v>-148227670</v>
      </c>
      <c r="AH98" s="1622">
        <v>-145002708</v>
      </c>
      <c r="AI98" s="1622">
        <v>-143390227</v>
      </c>
      <c r="AJ98" s="1622">
        <v>-138552784</v>
      </c>
      <c r="AK98" s="1622">
        <v>-133715341</v>
      </c>
      <c r="AL98" s="1622">
        <v>-128877898</v>
      </c>
      <c r="AN98" s="498"/>
    </row>
    <row r="99" spans="1:40" ht="18" customHeight="1">
      <c r="A99" s="498"/>
      <c r="D99" s="1598">
        <v>123960</v>
      </c>
      <c r="E99" s="1364" t="s">
        <v>5</v>
      </c>
      <c r="F99" s="1366">
        <v>2406</v>
      </c>
      <c r="G99" s="1364" t="s">
        <v>88</v>
      </c>
      <c r="H99" s="498">
        <v>-19482073</v>
      </c>
      <c r="I99" s="498">
        <v>0</v>
      </c>
      <c r="J99" s="710">
        <v>0</v>
      </c>
      <c r="K99" s="710">
        <v>0</v>
      </c>
      <c r="L99" s="510">
        <f t="shared" si="31"/>
        <v>-19482073</v>
      </c>
      <c r="N99" s="1673">
        <f>SUMIF('1.0'!$D:$D,T_BS!D99,'1.0'!$V:$V)</f>
        <v>0</v>
      </c>
      <c r="O99" s="710">
        <f>SUMIF('2.0'!$D:$D,T_BS!D99,'2.0'!$V:$V)</f>
        <v>0</v>
      </c>
      <c r="P99" s="509">
        <f>ROUND(SUMIF('3.0'!$D:$D,T_BS!D99,'3.0'!$H:$H),0)</f>
        <v>0</v>
      </c>
      <c r="Q99" s="720">
        <f>ROUND(SUMIF('4.0'!$D:$D,T_BS!D99,'4.0'!$V:$V),0)</f>
        <v>0</v>
      </c>
      <c r="R99" s="509">
        <f>ROUND(SUMIF('5.0'!$D:$D,T_BS!D99,'5.0'!$V:$V),0)</f>
        <v>0</v>
      </c>
      <c r="S99" s="720">
        <f>ROUND(SUMIF('6.0'!$D:$D,T_BS!D99,'6.0'!$V:$V),0)</f>
        <v>0</v>
      </c>
      <c r="T99" s="720">
        <f>ROUND(SUMIF('7.0'!$D:$D,T_BS!D99,'7.0'!$V:$V),0)</f>
        <v>0</v>
      </c>
      <c r="U99" s="720">
        <f>ROUND(SUMIF('8.0'!$D:$D,T_BS!D99,'8.0'!$H:$H),0)</f>
        <v>0</v>
      </c>
      <c r="V99" s="510">
        <f t="shared" si="32"/>
        <v>0</v>
      </c>
      <c r="X99" s="1647">
        <f t="shared" si="33"/>
        <v>-19482073</v>
      </c>
      <c r="Z99" s="1622">
        <f t="shared" si="34"/>
        <v>0</v>
      </c>
      <c r="AB99" s="1622">
        <v>-19482073</v>
      </c>
      <c r="AC99" s="1622">
        <v>-19482073</v>
      </c>
      <c r="AD99" s="1622">
        <v>-19482073</v>
      </c>
      <c r="AE99" s="1622">
        <v>-19482073</v>
      </c>
      <c r="AF99" s="1622">
        <v>-19482073</v>
      </c>
      <c r="AG99" s="1622">
        <v>-19482073</v>
      </c>
      <c r="AH99" s="1622">
        <v>-19482073</v>
      </c>
      <c r="AI99" s="1622">
        <v>-19482073</v>
      </c>
      <c r="AJ99" s="1622">
        <v>-19482073</v>
      </c>
      <c r="AK99" s="1622">
        <v>-19482073</v>
      </c>
      <c r="AL99" s="1622">
        <v>-19482073</v>
      </c>
      <c r="AN99" s="498"/>
    </row>
    <row r="100" spans="1:40" ht="18" customHeight="1">
      <c r="A100" s="498"/>
      <c r="D100" s="1598">
        <v>124000</v>
      </c>
      <c r="E100" s="1364" t="s">
        <v>5</v>
      </c>
      <c r="F100" s="1366">
        <v>2407</v>
      </c>
      <c r="G100" s="1364" t="s">
        <v>89</v>
      </c>
      <c r="H100" s="498">
        <v>525142471</v>
      </c>
      <c r="I100" s="498">
        <v>0</v>
      </c>
      <c r="J100" s="710">
        <v>0</v>
      </c>
      <c r="K100" s="710">
        <v>0</v>
      </c>
      <c r="L100" s="510">
        <f t="shared" si="31"/>
        <v>525142471</v>
      </c>
      <c r="N100" s="1673">
        <f>SUMIF('1.0'!$D:$D,T_BS!D100,'1.0'!$V:$V)</f>
        <v>0</v>
      </c>
      <c r="O100" s="710">
        <f>SUMIF('2.0'!$D:$D,T_BS!D100,'2.0'!$V:$V)</f>
        <v>0</v>
      </c>
      <c r="P100" s="509">
        <f>ROUND(SUMIF('3.0'!$D:$D,T_BS!D100,'3.0'!$H:$H),0)</f>
        <v>0</v>
      </c>
      <c r="Q100" s="720">
        <f>ROUND(SUMIF('4.0'!$D:$D,T_BS!D100,'4.0'!$V:$V),0)</f>
        <v>0</v>
      </c>
      <c r="R100" s="509">
        <f>ROUND(SUMIF('5.0'!$D:$D,T_BS!D100,'5.0'!$V:$V),0)</f>
        <v>0</v>
      </c>
      <c r="S100" s="720">
        <f>ROUND(SUMIF('6.0'!$D:$D,T_BS!D100,'6.0'!$V:$V),0)</f>
        <v>0</v>
      </c>
      <c r="T100" s="720">
        <f>ROUND(SUMIF('7.0'!$D:$D,T_BS!D100,'7.0'!$V:$V),0)</f>
        <v>0</v>
      </c>
      <c r="U100" s="720">
        <f>ROUND(SUMIF('8.0'!$D:$D,T_BS!D100,'8.0'!$H:$H),0)</f>
        <v>0</v>
      </c>
      <c r="V100" s="510">
        <f t="shared" si="32"/>
        <v>0</v>
      </c>
      <c r="X100" s="1647">
        <f t="shared" si="33"/>
        <v>525142471</v>
      </c>
      <c r="Z100" s="1622">
        <f t="shared" si="34"/>
        <v>26672500</v>
      </c>
      <c r="AB100" s="1622">
        <v>525142471</v>
      </c>
      <c r="AC100" s="1622">
        <v>525142471</v>
      </c>
      <c r="AD100" s="1622">
        <v>525142471</v>
      </c>
      <c r="AE100" s="1622">
        <v>522469971</v>
      </c>
      <c r="AF100" s="1622">
        <v>522469971</v>
      </c>
      <c r="AG100" s="1622">
        <v>498469971</v>
      </c>
      <c r="AH100" s="1622">
        <v>480329381</v>
      </c>
      <c r="AI100" s="1622">
        <v>480329381</v>
      </c>
      <c r="AJ100" s="1622">
        <v>480329381</v>
      </c>
      <c r="AK100" s="1622">
        <v>480329381</v>
      </c>
      <c r="AL100" s="1622">
        <v>480329381</v>
      </c>
      <c r="AN100" s="498"/>
    </row>
    <row r="101" spans="1:40" ht="18" customHeight="1">
      <c r="A101" s="498"/>
      <c r="D101" s="1598">
        <v>124050</v>
      </c>
      <c r="E101" s="1364" t="s">
        <v>5</v>
      </c>
      <c r="F101" s="1366">
        <v>2408</v>
      </c>
      <c r="G101" s="1364" t="s">
        <v>90</v>
      </c>
      <c r="H101" s="498">
        <v>-485619674</v>
      </c>
      <c r="I101" s="498">
        <v>0</v>
      </c>
      <c r="J101" s="710">
        <v>0</v>
      </c>
      <c r="K101" s="710">
        <v>0</v>
      </c>
      <c r="L101" s="510">
        <f t="shared" si="31"/>
        <v>-485619674</v>
      </c>
      <c r="N101" s="1673">
        <f>SUMIF('1.0'!$D:$D,T_BS!D101,'1.0'!$V:$V)</f>
        <v>0</v>
      </c>
      <c r="O101" s="710">
        <f>SUMIF('2.0'!$D:$D,T_BS!D101,'2.0'!$V:$V)</f>
        <v>0</v>
      </c>
      <c r="P101" s="509">
        <f>ROUND(SUMIF('3.0'!$D:$D,T_BS!D101,'3.0'!$H:$H),0)</f>
        <v>0</v>
      </c>
      <c r="Q101" s="720">
        <f>ROUND(SUMIF('4.0'!$D:$D,T_BS!D101,'4.0'!$V:$V),0)</f>
        <v>0</v>
      </c>
      <c r="R101" s="509">
        <f>ROUND(SUMIF('5.0'!$D:$D,T_BS!D101,'5.0'!$V:$V),0)</f>
        <v>0</v>
      </c>
      <c r="S101" s="720">
        <f>ROUND(SUMIF('6.0'!$D:$D,T_BS!D101,'6.0'!$V:$V),0)</f>
        <v>0</v>
      </c>
      <c r="T101" s="720">
        <f>ROUND(SUMIF('7.0'!$D:$D,T_BS!D101,'7.0'!$V:$V),0)</f>
        <v>0</v>
      </c>
      <c r="U101" s="720">
        <f>ROUND(SUMIF('8.0'!$D:$D,T_BS!D101,'8.0'!$H:$H),0)</f>
        <v>0</v>
      </c>
      <c r="V101" s="510">
        <f t="shared" si="32"/>
        <v>0</v>
      </c>
      <c r="X101" s="1647">
        <f t="shared" si="33"/>
        <v>-485619674</v>
      </c>
      <c r="Z101" s="1622">
        <f t="shared" si="34"/>
        <v>-16485057</v>
      </c>
      <c r="AB101" s="1622">
        <v>-484624291</v>
      </c>
      <c r="AC101" s="1622">
        <v>-483498184</v>
      </c>
      <c r="AD101" s="1622">
        <v>-481941024</v>
      </c>
      <c r="AE101" s="1622">
        <v>-480228627</v>
      </c>
      <c r="AF101" s="1622">
        <v>-474729869</v>
      </c>
      <c r="AG101" s="1622">
        <v>-469134617</v>
      </c>
      <c r="AH101" s="1622">
        <v>-466258108</v>
      </c>
      <c r="AI101" s="1622">
        <v>-464848670</v>
      </c>
      <c r="AJ101" s="1622">
        <v>-460620356</v>
      </c>
      <c r="AK101" s="1622">
        <v>-456392042</v>
      </c>
      <c r="AL101" s="1622">
        <v>-452163728</v>
      </c>
      <c r="AN101" s="498"/>
    </row>
    <row r="102" spans="1:40" ht="18" customHeight="1">
      <c r="A102" s="498"/>
      <c r="D102" s="1598">
        <v>124160</v>
      </c>
      <c r="E102" s="1364" t="s">
        <v>5</v>
      </c>
      <c r="F102" s="1366">
        <v>2409</v>
      </c>
      <c r="G102" s="1364" t="s">
        <v>91</v>
      </c>
      <c r="H102" s="498">
        <v>-524300</v>
      </c>
      <c r="I102" s="498">
        <v>0</v>
      </c>
      <c r="J102" s="710">
        <v>0</v>
      </c>
      <c r="K102" s="710">
        <v>0</v>
      </c>
      <c r="L102" s="510">
        <f t="shared" si="31"/>
        <v>-524300</v>
      </c>
      <c r="N102" s="1673">
        <f>SUMIF('1.0'!$D:$D,T_BS!D102,'1.0'!$V:$V)</f>
        <v>0</v>
      </c>
      <c r="O102" s="710">
        <f>SUMIF('2.0'!$D:$D,T_BS!D102,'2.0'!$V:$V)</f>
        <v>0</v>
      </c>
      <c r="P102" s="509">
        <f>ROUND(SUMIF('3.0'!$D:$D,T_BS!D102,'3.0'!$H:$H),0)</f>
        <v>0</v>
      </c>
      <c r="Q102" s="720">
        <f>ROUND(SUMIF('4.0'!$D:$D,T_BS!D102,'4.0'!$V:$V),0)</f>
        <v>0</v>
      </c>
      <c r="R102" s="509">
        <f>ROUND(SUMIF('5.0'!$D:$D,T_BS!D102,'5.0'!$V:$V),0)</f>
        <v>0</v>
      </c>
      <c r="S102" s="720">
        <f>ROUND(SUMIF('6.0'!$D:$D,T_BS!D102,'6.0'!$V:$V),0)</f>
        <v>0</v>
      </c>
      <c r="T102" s="720">
        <f>ROUND(SUMIF('7.0'!$D:$D,T_BS!D102,'7.0'!$V:$V),0)</f>
        <v>0</v>
      </c>
      <c r="U102" s="720">
        <f>ROUND(SUMIF('8.0'!$D:$D,T_BS!D102,'8.0'!$H:$H),0)</f>
        <v>0</v>
      </c>
      <c r="V102" s="510">
        <f t="shared" si="32"/>
        <v>0</v>
      </c>
      <c r="X102" s="1647">
        <f t="shared" si="33"/>
        <v>-524300</v>
      </c>
      <c r="Z102" s="1622">
        <f t="shared" si="34"/>
        <v>0</v>
      </c>
      <c r="AB102" s="1622">
        <v>-524300</v>
      </c>
      <c r="AC102" s="1622">
        <v>-524300</v>
      </c>
      <c r="AD102" s="1622">
        <v>-524300</v>
      </c>
      <c r="AE102" s="1622">
        <v>-524300</v>
      </c>
      <c r="AF102" s="1622">
        <v>-524300</v>
      </c>
      <c r="AG102" s="1622">
        <v>-524300</v>
      </c>
      <c r="AH102" s="1622">
        <v>-524300</v>
      </c>
      <c r="AI102" s="1622">
        <v>-524300</v>
      </c>
      <c r="AJ102" s="1622">
        <v>-524300</v>
      </c>
      <c r="AK102" s="1622">
        <v>-524300</v>
      </c>
      <c r="AL102" s="1622">
        <v>-524300</v>
      </c>
      <c r="AN102" s="498"/>
    </row>
    <row r="103" spans="1:40" ht="18" customHeight="1">
      <c r="A103" s="498"/>
      <c r="D103" s="1598">
        <v>124200</v>
      </c>
      <c r="E103" s="1364" t="s">
        <v>5</v>
      </c>
      <c r="F103" s="1366">
        <v>2407</v>
      </c>
      <c r="G103" s="1364" t="s">
        <v>92</v>
      </c>
      <c r="H103" s="498">
        <v>3393106621</v>
      </c>
      <c r="I103" s="498">
        <v>0</v>
      </c>
      <c r="J103" s="710">
        <v>0</v>
      </c>
      <c r="K103" s="710">
        <v>0</v>
      </c>
      <c r="L103" s="510">
        <f t="shared" si="31"/>
        <v>3393106621</v>
      </c>
      <c r="N103" s="1673">
        <f>SUMIF('1.0'!$D:$D,T_BS!D103,'1.0'!$V:$V)</f>
        <v>0</v>
      </c>
      <c r="O103" s="710">
        <f>SUMIF('2.0'!$D:$D,T_BS!D103,'2.0'!$V:$V)</f>
        <v>0</v>
      </c>
      <c r="P103" s="509">
        <f>ROUND(SUMIF('3.0'!$D:$D,T_BS!D103,'3.0'!$H:$H),0)</f>
        <v>0</v>
      </c>
      <c r="Q103" s="720">
        <f>ROUND(SUMIF('4.0'!$D:$D,T_BS!D103,'4.0'!$V:$V),0)</f>
        <v>0</v>
      </c>
      <c r="R103" s="509">
        <f>ROUND(SUMIF('5.0'!$D:$D,T_BS!D103,'5.0'!$V:$V),0)</f>
        <v>0</v>
      </c>
      <c r="S103" s="720">
        <f>ROUND(SUMIF('6.0'!$D:$D,T_BS!D103,'6.0'!$V:$V),0)</f>
        <v>0</v>
      </c>
      <c r="T103" s="720">
        <f>ROUND(SUMIF('7.0'!$D:$D,T_BS!D103,'7.0'!$V:$V),0)</f>
        <v>0</v>
      </c>
      <c r="U103" s="720">
        <f>ROUND(SUMIF('8.0'!$D:$D,T_BS!D103,'8.0'!$H:$H),0)</f>
        <v>0</v>
      </c>
      <c r="V103" s="510">
        <f t="shared" si="32"/>
        <v>0</v>
      </c>
      <c r="X103" s="1647">
        <f t="shared" si="33"/>
        <v>3393106621</v>
      </c>
      <c r="Z103" s="1622">
        <f t="shared" si="34"/>
        <v>275560348</v>
      </c>
      <c r="AB103" s="1622">
        <v>3387306621</v>
      </c>
      <c r="AC103" s="1622">
        <v>3333394965</v>
      </c>
      <c r="AD103" s="1622">
        <v>3280794965</v>
      </c>
      <c r="AE103" s="1622">
        <v>3259433865</v>
      </c>
      <c r="AF103" s="1622">
        <v>3159510305</v>
      </c>
      <c r="AG103" s="1622">
        <v>3117546273</v>
      </c>
      <c r="AH103" s="1622">
        <v>3550429644</v>
      </c>
      <c r="AI103" s="1622">
        <v>3550429644</v>
      </c>
      <c r="AJ103" s="1622">
        <v>3154019184</v>
      </c>
      <c r="AK103" s="1622">
        <v>3008819184</v>
      </c>
      <c r="AL103" s="1622">
        <v>3004319184</v>
      </c>
      <c r="AN103" s="498"/>
    </row>
    <row r="104" spans="1:40" ht="18" customHeight="1">
      <c r="A104" s="498"/>
      <c r="D104" s="1598">
        <v>124250</v>
      </c>
      <c r="E104" s="1364" t="s">
        <v>5</v>
      </c>
      <c r="F104" s="1366">
        <v>2408</v>
      </c>
      <c r="G104" s="1364" t="s">
        <v>93</v>
      </c>
      <c r="H104" s="498">
        <v>-2600385613</v>
      </c>
      <c r="I104" s="498">
        <v>0</v>
      </c>
      <c r="J104" s="710">
        <v>0</v>
      </c>
      <c r="K104" s="710">
        <v>0</v>
      </c>
      <c r="L104" s="510">
        <f t="shared" si="31"/>
        <v>-2600385613</v>
      </c>
      <c r="N104" s="1673">
        <f>SUMIF('1.0'!$D:$D,T_BS!D104,'1.0'!$V:$V)</f>
        <v>0</v>
      </c>
      <c r="O104" s="710">
        <f>SUMIF('2.0'!$D:$D,T_BS!D104,'2.0'!$V:$V)</f>
        <v>0</v>
      </c>
      <c r="P104" s="509">
        <f>ROUND(SUMIF('3.0'!$D:$D,T_BS!D104,'3.0'!$H:$H),0)</f>
        <v>0</v>
      </c>
      <c r="Q104" s="720">
        <f>ROUND(SUMIF('4.0'!$D:$D,T_BS!D104,'4.0'!$V:$V),0)</f>
        <v>0</v>
      </c>
      <c r="R104" s="509">
        <f>ROUND(SUMIF('5.0'!$D:$D,T_BS!D104,'5.0'!$V:$V),0)</f>
        <v>0</v>
      </c>
      <c r="S104" s="720">
        <f>ROUND(SUMIF('6.0'!$D:$D,T_BS!D104,'6.0'!$V:$V),0)</f>
        <v>0</v>
      </c>
      <c r="T104" s="720">
        <f>ROUND(SUMIF('7.0'!$D:$D,T_BS!D104,'7.0'!$V:$V),0)</f>
        <v>0</v>
      </c>
      <c r="U104" s="720">
        <f>ROUND(SUMIF('8.0'!$D:$D,T_BS!D104,'8.0'!$H:$H),0)</f>
        <v>0</v>
      </c>
      <c r="V104" s="510">
        <f t="shared" si="32"/>
        <v>0</v>
      </c>
      <c r="X104" s="1647">
        <f t="shared" si="33"/>
        <v>-2600385613</v>
      </c>
      <c r="Z104" s="1622">
        <f t="shared" si="34"/>
        <v>-505127440</v>
      </c>
      <c r="AB104" s="1622">
        <v>-2558403519</v>
      </c>
      <c r="AC104" s="1622">
        <v>-2527104743</v>
      </c>
      <c r="AD104" s="1622">
        <v>-2480114280</v>
      </c>
      <c r="AE104" s="1622">
        <v>-2432689959</v>
      </c>
      <c r="AF104" s="1622">
        <v>-2266921306</v>
      </c>
      <c r="AG104" s="1622">
        <v>-2095258173</v>
      </c>
      <c r="AH104" s="1622">
        <v>-2730577959</v>
      </c>
      <c r="AI104" s="1622">
        <v>-2680151052</v>
      </c>
      <c r="AJ104" s="1622">
        <v>-2543356996</v>
      </c>
      <c r="AK104" s="1622">
        <v>-2439881255</v>
      </c>
      <c r="AL104" s="1622">
        <v>-2329952243</v>
      </c>
      <c r="AN104" s="498"/>
    </row>
    <row r="105" spans="1:40" ht="18" customHeight="1">
      <c r="A105" s="498"/>
      <c r="D105" s="1598">
        <v>124260</v>
      </c>
      <c r="E105" s="1364" t="s">
        <v>5</v>
      </c>
      <c r="F105" s="1366">
        <v>2409</v>
      </c>
      <c r="G105" s="1364" t="s">
        <v>94</v>
      </c>
      <c r="H105" s="498">
        <v>-265588806</v>
      </c>
      <c r="I105" s="498">
        <v>0</v>
      </c>
      <c r="J105" s="710">
        <v>0</v>
      </c>
      <c r="K105" s="710">
        <v>0</v>
      </c>
      <c r="L105" s="510">
        <f t="shared" si="31"/>
        <v>-265588806</v>
      </c>
      <c r="N105" s="1673">
        <f>SUMIF('1.0'!$D:$D,T_BS!D105,'1.0'!$V:$V)</f>
        <v>0</v>
      </c>
      <c r="O105" s="710">
        <f>SUMIF('2.0'!$D:$D,T_BS!D105,'2.0'!$V:$V)</f>
        <v>0</v>
      </c>
      <c r="P105" s="509">
        <f>ROUND(SUMIF('3.0'!$D:$D,T_BS!D105,'3.0'!$H:$H),0)</f>
        <v>0</v>
      </c>
      <c r="Q105" s="720">
        <f>ROUND(SUMIF('4.0'!$D:$D,T_BS!D105,'4.0'!$V:$V),0)</f>
        <v>0</v>
      </c>
      <c r="R105" s="509">
        <f>ROUND(SUMIF('5.0'!$D:$D,T_BS!D105,'5.0'!$V:$V),0)</f>
        <v>0</v>
      </c>
      <c r="S105" s="720">
        <f>ROUND(SUMIF('6.0'!$D:$D,T_BS!D105,'6.0'!$V:$V),0)</f>
        <v>0</v>
      </c>
      <c r="T105" s="720">
        <f>ROUND(SUMIF('7.0'!$D:$D,T_BS!D105,'7.0'!$V:$V),0)</f>
        <v>0</v>
      </c>
      <c r="U105" s="720">
        <f>ROUND(SUMIF('8.0'!$D:$D,T_BS!D105,'8.0'!$H:$H),0)</f>
        <v>0</v>
      </c>
      <c r="V105" s="510">
        <f t="shared" si="32"/>
        <v>0</v>
      </c>
      <c r="X105" s="1647">
        <f t="shared" si="33"/>
        <v>-265588806</v>
      </c>
      <c r="Z105" s="1622">
        <f t="shared" si="34"/>
        <v>-62650038</v>
      </c>
      <c r="AB105" s="1622">
        <v>-265588806</v>
      </c>
      <c r="AC105" s="1622">
        <v>-202938768</v>
      </c>
      <c r="AD105" s="1622">
        <v>-202938768</v>
      </c>
      <c r="AE105" s="1622">
        <v>-202938768</v>
      </c>
      <c r="AF105" s="1622">
        <v>-202938768</v>
      </c>
      <c r="AG105" s="1622">
        <v>-202938768</v>
      </c>
      <c r="AH105" s="1622">
        <v>-202938768</v>
      </c>
      <c r="AI105" s="1622">
        <v>-202938768</v>
      </c>
      <c r="AJ105" s="1622">
        <v>-202938768</v>
      </c>
      <c r="AK105" s="1622">
        <v>-202938768</v>
      </c>
      <c r="AL105" s="1622">
        <v>-202938768</v>
      </c>
      <c r="AN105" s="498"/>
    </row>
    <row r="106" spans="1:40" ht="18" customHeight="1">
      <c r="A106" s="498"/>
      <c r="D106" s="1598">
        <v>124300</v>
      </c>
      <c r="E106" s="1364" t="s">
        <v>5</v>
      </c>
      <c r="F106" s="1366">
        <v>2413</v>
      </c>
      <c r="G106" s="1364" t="s">
        <v>95</v>
      </c>
      <c r="H106" s="498">
        <v>4619709481</v>
      </c>
      <c r="I106" s="498">
        <v>14490000</v>
      </c>
      <c r="J106" s="710">
        <v>112363033</v>
      </c>
      <c r="K106" s="710">
        <v>57463687</v>
      </c>
      <c r="L106" s="510">
        <f t="shared" si="31"/>
        <v>4804026201</v>
      </c>
      <c r="N106" s="1673">
        <f>SUMIF('1.0'!$D:$D,T_BS!D106,'1.0'!$V:$V)</f>
        <v>0</v>
      </c>
      <c r="O106" s="710">
        <f>SUMIF('2.0'!$D:$D,T_BS!D106,'2.0'!$V:$V)</f>
        <v>0</v>
      </c>
      <c r="P106" s="509">
        <f>ROUND(SUMIF('3.0'!$D:$D,T_BS!D106,'3.0'!$H:$H),0)</f>
        <v>0</v>
      </c>
      <c r="Q106" s="720">
        <f>ROUND(SUMIF('4.0'!$D:$D,T_BS!D106,'4.0'!$V:$V),0)</f>
        <v>0</v>
      </c>
      <c r="R106" s="509">
        <f>ROUND(SUMIF('5.0'!$D:$D,T_BS!D106,'5.0'!$V:$V),0)</f>
        <v>0</v>
      </c>
      <c r="S106" s="720">
        <f>ROUND(SUMIF('6.0'!$D:$D,T_BS!D106,'6.0'!$V:$V),0)</f>
        <v>0</v>
      </c>
      <c r="T106" s="720">
        <f>ROUND(SUMIF('7.0'!$D:$D,T_BS!D106,'7.0'!$V:$V),0)</f>
        <v>0</v>
      </c>
      <c r="U106" s="720">
        <f>ROUND(SUMIF('8.0'!$D:$D,T_BS!D106,'8.0'!$H:$H),0)</f>
        <v>0</v>
      </c>
      <c r="V106" s="510">
        <f t="shared" si="32"/>
        <v>0</v>
      </c>
      <c r="X106" s="1647">
        <f t="shared" si="33"/>
        <v>4804026201</v>
      </c>
      <c r="Z106" s="1622">
        <f t="shared" si="34"/>
        <v>-40047708</v>
      </c>
      <c r="AB106" s="1622">
        <v>4788047061</v>
      </c>
      <c r="AC106" s="1622">
        <v>4772708899</v>
      </c>
      <c r="AD106" s="1622">
        <v>4719794005</v>
      </c>
      <c r="AE106" s="1622">
        <v>4710550725</v>
      </c>
      <c r="AF106" s="1622">
        <v>4999820613</v>
      </c>
      <c r="AG106" s="1622">
        <v>4844073909</v>
      </c>
      <c r="AH106" s="1622">
        <v>4700510916</v>
      </c>
      <c r="AI106" s="1622">
        <v>4544581417</v>
      </c>
      <c r="AJ106" s="1622">
        <v>4436368294</v>
      </c>
      <c r="AK106" s="1622">
        <v>4893734518</v>
      </c>
      <c r="AL106" s="1622">
        <v>4516482740</v>
      </c>
      <c r="AN106" s="498"/>
    </row>
    <row r="107" spans="1:40" ht="18" customHeight="1">
      <c r="A107" s="498"/>
      <c r="D107" s="1598">
        <v>124350</v>
      </c>
      <c r="E107" s="1364" t="s">
        <v>5</v>
      </c>
      <c r="F107" s="1366">
        <v>2414</v>
      </c>
      <c r="G107" s="1364" t="s">
        <v>96</v>
      </c>
      <c r="H107" s="498">
        <v>-2972193611</v>
      </c>
      <c r="I107" s="498">
        <v>-2889831</v>
      </c>
      <c r="J107" s="710">
        <v>-91444986</v>
      </c>
      <c r="K107" s="710">
        <v>-28402415</v>
      </c>
      <c r="L107" s="510">
        <f t="shared" si="31"/>
        <v>-3094930843</v>
      </c>
      <c r="N107" s="1673">
        <f>SUMIF('1.0'!$D:$D,T_BS!D107,'1.0'!$V:$V)</f>
        <v>0</v>
      </c>
      <c r="O107" s="710">
        <f>SUMIF('2.0'!$D:$D,T_BS!D107,'2.0'!$V:$V)</f>
        <v>0</v>
      </c>
      <c r="P107" s="509">
        <f>ROUND(SUMIF('3.0'!$D:$D,T_BS!D107,'3.0'!$H:$H),0)</f>
        <v>0</v>
      </c>
      <c r="Q107" s="720">
        <f>ROUND(SUMIF('4.0'!$D:$D,T_BS!D107,'4.0'!$V:$V),0)</f>
        <v>0</v>
      </c>
      <c r="R107" s="509">
        <f>ROUND(SUMIF('5.0'!$D:$D,T_BS!D107,'5.0'!$V:$V),0)</f>
        <v>0</v>
      </c>
      <c r="S107" s="720">
        <f>ROUND(SUMIF('6.0'!$D:$D,T_BS!D107,'6.0'!$V:$V),0)</f>
        <v>0</v>
      </c>
      <c r="T107" s="720">
        <f>ROUND(SUMIF('7.0'!$D:$D,T_BS!D107,'7.0'!$V:$V),0)</f>
        <v>0</v>
      </c>
      <c r="U107" s="720">
        <f>ROUND(SUMIF('8.0'!$D:$D,T_BS!D107,'8.0'!$H:$H),0)</f>
        <v>0</v>
      </c>
      <c r="V107" s="510">
        <f t="shared" si="32"/>
        <v>0</v>
      </c>
      <c r="X107" s="1647">
        <f t="shared" si="33"/>
        <v>-3094930843</v>
      </c>
      <c r="Z107" s="1622">
        <f t="shared" si="34"/>
        <v>-446697189</v>
      </c>
      <c r="AB107" s="1622">
        <v>-3058594112</v>
      </c>
      <c r="AC107" s="1622">
        <v>-2997901576</v>
      </c>
      <c r="AD107" s="1622">
        <v>-2940119249</v>
      </c>
      <c r="AE107" s="1622">
        <v>-2883908685</v>
      </c>
      <c r="AF107" s="1622">
        <v>-2815961855</v>
      </c>
      <c r="AG107" s="1622">
        <v>-2648233654</v>
      </c>
      <c r="AH107" s="1622">
        <v>-2350801555</v>
      </c>
      <c r="AI107" s="1622">
        <v>-2308940933</v>
      </c>
      <c r="AJ107" s="1622">
        <v>-2190348666</v>
      </c>
      <c r="AK107" s="1622">
        <v>-2569289018</v>
      </c>
      <c r="AL107" s="1622">
        <v>-2440259159</v>
      </c>
      <c r="AN107" s="498"/>
    </row>
    <row r="108" spans="1:40" ht="18" customHeight="1">
      <c r="A108" s="498"/>
      <c r="D108" s="1598">
        <v>124360</v>
      </c>
      <c r="E108" s="1364" t="s">
        <v>5</v>
      </c>
      <c r="F108" s="1366">
        <v>2415</v>
      </c>
      <c r="G108" s="1364" t="s">
        <v>97</v>
      </c>
      <c r="H108" s="498">
        <v>-235586662</v>
      </c>
      <c r="I108" s="498">
        <v>0</v>
      </c>
      <c r="J108" s="710">
        <v>0</v>
      </c>
      <c r="K108" s="710">
        <v>0</v>
      </c>
      <c r="L108" s="510">
        <f t="shared" si="31"/>
        <v>-235586662</v>
      </c>
      <c r="N108" s="1673">
        <f>SUMIF('1.0'!$D:$D,T_BS!D108,'1.0'!$V:$V)</f>
        <v>0</v>
      </c>
      <c r="O108" s="710">
        <f>SUMIF('2.0'!$D:$D,T_BS!D108,'2.0'!$V:$V)</f>
        <v>0</v>
      </c>
      <c r="P108" s="509">
        <f>ROUND(SUMIF('3.0'!$D:$D,T_BS!D108,'3.0'!$H:$H),0)</f>
        <v>0</v>
      </c>
      <c r="Q108" s="720">
        <f>ROUND(SUMIF('4.0'!$D:$D,T_BS!D108,'4.0'!$V:$V),0)</f>
        <v>0</v>
      </c>
      <c r="R108" s="509">
        <f>ROUND(SUMIF('5.0'!$D:$D,T_BS!D108,'5.0'!$V:$V),0)</f>
        <v>0</v>
      </c>
      <c r="S108" s="720">
        <f>ROUND(SUMIF('6.0'!$D:$D,T_BS!D108,'6.0'!$V:$V),0)</f>
        <v>0</v>
      </c>
      <c r="T108" s="720">
        <f>ROUND(SUMIF('7.0'!$D:$D,T_BS!D108,'7.0'!$V:$V),0)</f>
        <v>0</v>
      </c>
      <c r="U108" s="720">
        <f>ROUND(SUMIF('8.0'!$D:$D,T_BS!D108,'8.0'!$H:$H),0)</f>
        <v>0</v>
      </c>
      <c r="V108" s="510">
        <f t="shared" si="32"/>
        <v>0</v>
      </c>
      <c r="X108" s="1647">
        <f t="shared" si="33"/>
        <v>-235586662</v>
      </c>
      <c r="Z108" s="1622">
        <f t="shared" si="34"/>
        <v>271307642</v>
      </c>
      <c r="AB108" s="1622">
        <v>-235586662</v>
      </c>
      <c r="AC108" s="1622">
        <v>-235586662</v>
      </c>
      <c r="AD108" s="1622">
        <v>-235355578</v>
      </c>
      <c r="AE108" s="1622">
        <v>-235355578</v>
      </c>
      <c r="AF108" s="1622">
        <v>-506894304</v>
      </c>
      <c r="AG108" s="1622">
        <v>-506894304</v>
      </c>
      <c r="AH108" s="1622">
        <v>-536564494</v>
      </c>
      <c r="AI108" s="1622">
        <v>-539840294</v>
      </c>
      <c r="AJ108" s="1622">
        <v>-539840294</v>
      </c>
      <c r="AK108" s="1622">
        <v>-540095083</v>
      </c>
      <c r="AL108" s="1622">
        <v>-540095083</v>
      </c>
      <c r="AN108" s="498"/>
    </row>
    <row r="109" spans="1:40" ht="18" customHeight="1">
      <c r="A109" s="498"/>
      <c r="D109" s="1598">
        <v>124400</v>
      </c>
      <c r="E109" s="1364" t="s">
        <v>5</v>
      </c>
      <c r="F109" s="1366">
        <v>2413</v>
      </c>
      <c r="G109" s="1364" t="s">
        <v>98</v>
      </c>
      <c r="H109" s="498">
        <v>1095992369</v>
      </c>
      <c r="I109" s="498">
        <v>3350000</v>
      </c>
      <c r="J109" s="710">
        <v>0</v>
      </c>
      <c r="K109" s="710">
        <v>0</v>
      </c>
      <c r="L109" s="510">
        <f t="shared" si="31"/>
        <v>1099342369</v>
      </c>
      <c r="N109" s="1673">
        <f>SUMIF('1.0'!$D:$D,T_BS!D109,'1.0'!$V:$V)</f>
        <v>0</v>
      </c>
      <c r="O109" s="710">
        <f>SUMIF('2.0'!$D:$D,T_BS!D109,'2.0'!$V:$V)</f>
        <v>0</v>
      </c>
      <c r="P109" s="509">
        <f>ROUND(SUMIF('3.0'!$D:$D,T_BS!D109,'3.0'!$H:$H),0)</f>
        <v>0</v>
      </c>
      <c r="Q109" s="720">
        <f>ROUND(SUMIF('4.0'!$D:$D,T_BS!D109,'4.0'!$V:$V),0)</f>
        <v>0</v>
      </c>
      <c r="R109" s="509">
        <f>ROUND(SUMIF('5.0'!$D:$D,T_BS!D109,'5.0'!$V:$V),0)</f>
        <v>0</v>
      </c>
      <c r="S109" s="720">
        <f>ROUND(SUMIF('6.0'!$D:$D,T_BS!D109,'6.0'!$V:$V),0)</f>
        <v>0</v>
      </c>
      <c r="T109" s="720">
        <f>ROUND(SUMIF('7.0'!$D:$D,T_BS!D109,'7.0'!$V:$V),0)</f>
        <v>0</v>
      </c>
      <c r="U109" s="720">
        <f>ROUND(SUMIF('8.0'!$D:$D,T_BS!D109,'8.0'!$H:$H),0)</f>
        <v>0</v>
      </c>
      <c r="V109" s="510">
        <f t="shared" si="32"/>
        <v>0</v>
      </c>
      <c r="X109" s="1647">
        <f t="shared" si="33"/>
        <v>1099342369</v>
      </c>
      <c r="Z109" s="1622">
        <f t="shared" si="34"/>
        <v>-2265207249</v>
      </c>
      <c r="AB109" s="1622">
        <v>1099342369</v>
      </c>
      <c r="AC109" s="1622">
        <v>1099342369</v>
      </c>
      <c r="AD109" s="1622">
        <v>1099342369</v>
      </c>
      <c r="AE109" s="1622">
        <v>1099342369</v>
      </c>
      <c r="AF109" s="1622">
        <v>3367899618</v>
      </c>
      <c r="AG109" s="1622">
        <v>3364549618</v>
      </c>
      <c r="AH109" s="1622">
        <v>3293114228</v>
      </c>
      <c r="AI109" s="1622">
        <v>3029894228</v>
      </c>
      <c r="AJ109" s="1622">
        <v>3029894228</v>
      </c>
      <c r="AK109" s="1622">
        <v>3029894228</v>
      </c>
      <c r="AL109" s="1622">
        <v>3029894228</v>
      </c>
      <c r="AN109" s="498"/>
    </row>
    <row r="110" spans="1:40" ht="18" customHeight="1">
      <c r="A110" s="498"/>
      <c r="D110" s="1598">
        <v>124450</v>
      </c>
      <c r="E110" s="1364" t="s">
        <v>5</v>
      </c>
      <c r="F110" s="1366">
        <v>2414</v>
      </c>
      <c r="G110" s="1364" t="s">
        <v>99</v>
      </c>
      <c r="H110" s="498">
        <v>-799959634</v>
      </c>
      <c r="I110" s="498">
        <v>-650833</v>
      </c>
      <c r="J110" s="710">
        <v>0</v>
      </c>
      <c r="K110" s="710">
        <v>0</v>
      </c>
      <c r="L110" s="510">
        <f t="shared" si="31"/>
        <v>-800610467</v>
      </c>
      <c r="N110" s="1673">
        <f>SUMIF('1.0'!$D:$D,T_BS!D110,'1.0'!$V:$V)</f>
        <v>0</v>
      </c>
      <c r="O110" s="710">
        <f>SUMIF('2.0'!$D:$D,T_BS!D110,'2.0'!$V:$V)</f>
        <v>0</v>
      </c>
      <c r="P110" s="509">
        <f>ROUND(SUMIF('3.0'!$D:$D,T_BS!D110,'3.0'!$H:$H),0)</f>
        <v>0</v>
      </c>
      <c r="Q110" s="720">
        <f>ROUND(SUMIF('4.0'!$D:$D,T_BS!D110,'4.0'!$V:$V),0)</f>
        <v>0</v>
      </c>
      <c r="R110" s="509">
        <f>ROUND(SUMIF('5.0'!$D:$D,T_BS!D110,'5.0'!$V:$V),0)</f>
        <v>0</v>
      </c>
      <c r="S110" s="720">
        <f>ROUND(SUMIF('6.0'!$D:$D,T_BS!D110,'6.0'!$V:$V),0)</f>
        <v>0</v>
      </c>
      <c r="T110" s="720">
        <f>ROUND(SUMIF('7.0'!$D:$D,T_BS!D110,'7.0'!$V:$V),0)</f>
        <v>0</v>
      </c>
      <c r="U110" s="720">
        <f>ROUND(SUMIF('8.0'!$D:$D,T_BS!D110,'8.0'!$H:$H),0)</f>
        <v>0</v>
      </c>
      <c r="V110" s="510">
        <f t="shared" si="32"/>
        <v>0</v>
      </c>
      <c r="X110" s="1647">
        <f t="shared" si="33"/>
        <v>-800610467</v>
      </c>
      <c r="Z110" s="1622">
        <f t="shared" si="34"/>
        <v>522847510</v>
      </c>
      <c r="AB110" s="1622">
        <v>-794649462</v>
      </c>
      <c r="AC110" s="1622">
        <v>-787860660</v>
      </c>
      <c r="AD110" s="1622">
        <v>-781071867</v>
      </c>
      <c r="AE110" s="1622">
        <v>-774283074</v>
      </c>
      <c r="AF110" s="1622">
        <v>-1343916857</v>
      </c>
      <c r="AG110" s="1622">
        <v>-1323457977</v>
      </c>
      <c r="AH110" s="1622">
        <v>-1309303077</v>
      </c>
      <c r="AI110" s="1622">
        <v>-1310495535</v>
      </c>
      <c r="AJ110" s="1622">
        <v>-1307238909</v>
      </c>
      <c r="AK110" s="1622">
        <v>-1303982283</v>
      </c>
      <c r="AL110" s="1622">
        <v>-1300725657</v>
      </c>
      <c r="AN110" s="498"/>
    </row>
    <row r="111" spans="1:40" ht="18" customHeight="1">
      <c r="A111" s="498"/>
      <c r="D111" s="1598">
        <v>124600</v>
      </c>
      <c r="E111" s="1364" t="s">
        <v>5</v>
      </c>
      <c r="F111" s="1366">
        <v>2415</v>
      </c>
      <c r="G111" s="1364" t="s">
        <v>100</v>
      </c>
      <c r="H111" s="498">
        <v>-23940000</v>
      </c>
      <c r="I111" s="498">
        <v>0</v>
      </c>
      <c r="J111" s="710">
        <v>0</v>
      </c>
      <c r="K111" s="710">
        <v>0</v>
      </c>
      <c r="L111" s="510">
        <f t="shared" si="31"/>
        <v>-23940000</v>
      </c>
      <c r="N111" s="1673">
        <f>SUMIF('1.0'!$D:$D,T_BS!D111,'1.0'!$V:$V)</f>
        <v>0</v>
      </c>
      <c r="O111" s="710">
        <f>SUMIF('2.0'!$D:$D,T_BS!D111,'2.0'!$V:$V)</f>
        <v>0</v>
      </c>
      <c r="P111" s="509">
        <f>ROUND(SUMIF('3.0'!$D:$D,T_BS!D111,'3.0'!$H:$H),0)</f>
        <v>0</v>
      </c>
      <c r="Q111" s="720">
        <f>ROUND(SUMIF('4.0'!$D:$D,T_BS!D111,'4.0'!$V:$V),0)</f>
        <v>0</v>
      </c>
      <c r="R111" s="509">
        <f>ROUND(SUMIF('5.0'!$D:$D,T_BS!D111,'5.0'!$V:$V),0)</f>
        <v>0</v>
      </c>
      <c r="S111" s="720">
        <f>ROUND(SUMIF('6.0'!$D:$D,T_BS!D111,'6.0'!$V:$V),0)</f>
        <v>0</v>
      </c>
      <c r="T111" s="720">
        <f>ROUND(SUMIF('7.0'!$D:$D,T_BS!D111,'7.0'!$V:$V),0)</f>
        <v>0</v>
      </c>
      <c r="U111" s="720">
        <f>ROUND(SUMIF('8.0'!$D:$D,T_BS!D111,'8.0'!$H:$H),0)</f>
        <v>0</v>
      </c>
      <c r="V111" s="510">
        <f t="shared" si="32"/>
        <v>0</v>
      </c>
      <c r="X111" s="1647">
        <f t="shared" si="33"/>
        <v>-23940000</v>
      </c>
      <c r="Z111" s="1622">
        <f t="shared" si="34"/>
        <v>1678557086</v>
      </c>
      <c r="AB111" s="1622">
        <v>-23940000</v>
      </c>
      <c r="AC111" s="1622">
        <v>-23940000</v>
      </c>
      <c r="AD111" s="1622">
        <v>-23940000</v>
      </c>
      <c r="AE111" s="1622">
        <v>-23940000</v>
      </c>
      <c r="AF111" s="1622">
        <v>-1702497086</v>
      </c>
      <c r="AG111" s="1622">
        <v>-1702497086</v>
      </c>
      <c r="AH111" s="1622">
        <v>-1702497086</v>
      </c>
      <c r="AI111" s="1622">
        <v>-1702497086</v>
      </c>
      <c r="AJ111" s="1622">
        <v>-1702497086</v>
      </c>
      <c r="AK111" s="1622">
        <v>-1702497086</v>
      </c>
      <c r="AL111" s="1622">
        <v>-1702497086</v>
      </c>
      <c r="AN111" s="498"/>
    </row>
    <row r="112" spans="1:40" ht="18" customHeight="1">
      <c r="A112" s="498"/>
      <c r="D112" s="1598">
        <v>126100</v>
      </c>
      <c r="E112" s="1364" t="s">
        <v>5</v>
      </c>
      <c r="F112" s="1366">
        <v>2701</v>
      </c>
      <c r="G112" s="1364" t="s">
        <v>101</v>
      </c>
      <c r="H112" s="498">
        <v>8395256629</v>
      </c>
      <c r="I112" s="498">
        <v>387747500</v>
      </c>
      <c r="J112" s="710">
        <v>48685223</v>
      </c>
      <c r="K112" s="710">
        <v>855164514</v>
      </c>
      <c r="L112" s="510">
        <f t="shared" si="31"/>
        <v>9686853866</v>
      </c>
      <c r="N112" s="1673">
        <f>SUMIF('1.0'!$D:$D,T_BS!D112,'1.0'!$V:$V)</f>
        <v>0</v>
      </c>
      <c r="O112" s="710">
        <f>SUMIF('2.0'!$D:$D,T_BS!D112,'2.0'!$V:$V)</f>
        <v>0</v>
      </c>
      <c r="P112" s="509">
        <f>ROUND(SUMIF('3.0'!$D:$D,T_BS!D112,'3.0'!$H:$H),0)</f>
        <v>0</v>
      </c>
      <c r="Q112" s="720">
        <f>ROUND(SUMIF('4.0'!$D:$D,T_BS!D112,'4.0'!$V:$V),0)</f>
        <v>0</v>
      </c>
      <c r="R112" s="509">
        <f>ROUND(SUMIF('5.0'!$D:$D,T_BS!D112,'5.0'!$V:$V),0)</f>
        <v>0</v>
      </c>
      <c r="S112" s="720">
        <f>ROUND(SUMIF('6.0'!$D:$D,T_BS!D112,'6.0'!$V:$V),0)</f>
        <v>0</v>
      </c>
      <c r="T112" s="720">
        <f>ROUND(SUMIF('7.0'!$D:$D,T_BS!D112,'7.0'!$V:$V),0)</f>
        <v>0</v>
      </c>
      <c r="U112" s="720">
        <f>ROUND(SUMIF('8.0'!$D:$D,T_BS!D112,'8.0'!$H:$H),0)</f>
        <v>0</v>
      </c>
      <c r="V112" s="510">
        <f t="shared" si="32"/>
        <v>0</v>
      </c>
      <c r="X112" s="1647">
        <f t="shared" si="33"/>
        <v>9686853866</v>
      </c>
      <c r="Z112" s="1622">
        <f t="shared" si="34"/>
        <v>-139878338</v>
      </c>
      <c r="AB112" s="1622">
        <v>9996118866</v>
      </c>
      <c r="AC112" s="1622">
        <v>9973023317</v>
      </c>
      <c r="AD112" s="1622">
        <v>9971419624</v>
      </c>
      <c r="AE112" s="1622">
        <v>9949632341</v>
      </c>
      <c r="AF112" s="1622">
        <v>9847882633</v>
      </c>
      <c r="AG112" s="1622">
        <v>9826732204</v>
      </c>
      <c r="AH112" s="1622">
        <v>9327050975</v>
      </c>
      <c r="AI112" s="1622">
        <v>9356770655</v>
      </c>
      <c r="AJ112" s="1622">
        <v>8908292044</v>
      </c>
      <c r="AK112" s="1622">
        <v>8827273911</v>
      </c>
      <c r="AL112" s="1622">
        <v>9322147241</v>
      </c>
      <c r="AN112" s="498"/>
    </row>
    <row r="113" spans="1:40" ht="18" customHeight="1">
      <c r="A113" s="498"/>
      <c r="D113" s="1598">
        <v>126110</v>
      </c>
      <c r="E113" s="1364" t="s">
        <v>5</v>
      </c>
      <c r="F113" s="1366">
        <v>2702</v>
      </c>
      <c r="G113" s="1364" t="s">
        <v>102</v>
      </c>
      <c r="H113" s="498">
        <v>-7339099665</v>
      </c>
      <c r="I113" s="498">
        <v>-226186044</v>
      </c>
      <c r="J113" s="710">
        <v>-48685223</v>
      </c>
      <c r="K113" s="710">
        <v>-471814952</v>
      </c>
      <c r="L113" s="510">
        <f t="shared" si="31"/>
        <v>-8085785884</v>
      </c>
      <c r="N113" s="1673">
        <f>SUMIF('1.0'!$D:$D,T_BS!D113,'1.0'!$V:$V)</f>
        <v>0</v>
      </c>
      <c r="O113" s="710">
        <f>SUMIF('2.0'!$D:$D,T_BS!D113,'2.0'!$V:$V)</f>
        <v>0</v>
      </c>
      <c r="P113" s="509">
        <f>ROUND(SUMIF('3.0'!$D:$D,T_BS!D113,'3.0'!$H:$H),0)</f>
        <v>0</v>
      </c>
      <c r="Q113" s="720">
        <f>ROUND(SUMIF('4.0'!$D:$D,T_BS!D113,'4.0'!$V:$V),0)</f>
        <v>0</v>
      </c>
      <c r="R113" s="509">
        <f>ROUND(SUMIF('5.0'!$D:$D,T_BS!D113,'5.0'!$V:$V),0)</f>
        <v>0</v>
      </c>
      <c r="S113" s="720">
        <f>ROUND(SUMIF('6.0'!$D:$D,T_BS!D113,'6.0'!$V:$V),0)</f>
        <v>0</v>
      </c>
      <c r="T113" s="720">
        <f>ROUND(SUMIF('7.0'!$D:$D,T_BS!D113,'7.0'!$V:$V),0)</f>
        <v>0</v>
      </c>
      <c r="U113" s="720">
        <f>ROUND(SUMIF('8.0'!$D:$D,T_BS!D113,'8.0'!$H:$H),0)</f>
        <v>0</v>
      </c>
      <c r="V113" s="510">
        <f t="shared" si="32"/>
        <v>0</v>
      </c>
      <c r="X113" s="1647">
        <f t="shared" si="33"/>
        <v>-8085785884</v>
      </c>
      <c r="Z113" s="1622">
        <f t="shared" si="34"/>
        <v>-1776194786</v>
      </c>
      <c r="AB113" s="1622">
        <v>-7874968911</v>
      </c>
      <c r="AC113" s="1622">
        <v>-7641505748</v>
      </c>
      <c r="AD113" s="1622">
        <v>-7419928287</v>
      </c>
      <c r="AE113" s="1622">
        <v>-7190628070</v>
      </c>
      <c r="AF113" s="1622">
        <v>-6965169771</v>
      </c>
      <c r="AG113" s="1622">
        <v>-6309591098</v>
      </c>
      <c r="AH113" s="1622">
        <v>-5845494443</v>
      </c>
      <c r="AI113" s="1622">
        <v>-5624015720</v>
      </c>
      <c r="AJ113" s="1622">
        <v>-5406719306</v>
      </c>
      <c r="AK113" s="1622">
        <v>-4800322119</v>
      </c>
      <c r="AL113" s="1622">
        <v>-4167328017</v>
      </c>
      <c r="AN113" s="498"/>
    </row>
    <row r="114" spans="1:40" ht="18" customHeight="1">
      <c r="A114" s="498"/>
      <c r="D114" s="1598">
        <v>126200</v>
      </c>
      <c r="E114" s="1364" t="s">
        <v>5</v>
      </c>
      <c r="F114" s="1366">
        <v>2801</v>
      </c>
      <c r="G114" s="1364" t="s">
        <v>103</v>
      </c>
      <c r="H114" s="498">
        <v>154590759</v>
      </c>
      <c r="I114" s="498">
        <v>0</v>
      </c>
      <c r="J114" s="710">
        <v>0</v>
      </c>
      <c r="K114" s="710">
        <v>0</v>
      </c>
      <c r="L114" s="510">
        <f t="shared" si="31"/>
        <v>154590759</v>
      </c>
      <c r="N114" s="1673">
        <f>SUMIF('1.0'!$D:$D,T_BS!D114,'1.0'!$V:$V)</f>
        <v>0</v>
      </c>
      <c r="O114" s="710">
        <f>SUMIF('2.0'!$D:$D,T_BS!D114,'2.0'!$V:$V)</f>
        <v>0</v>
      </c>
      <c r="P114" s="509">
        <f>ROUND(SUMIF('3.0'!$D:$D,T_BS!D114,'3.0'!$H:$H),0)</f>
        <v>0</v>
      </c>
      <c r="Q114" s="720">
        <f>ROUND(SUMIF('4.0'!$D:$D,T_BS!D114,'4.0'!$V:$V),0)</f>
        <v>0</v>
      </c>
      <c r="R114" s="509">
        <f>ROUND(SUMIF('5.0'!$D:$D,T_BS!D114,'5.0'!$V:$V),0)</f>
        <v>0</v>
      </c>
      <c r="S114" s="720">
        <f>ROUND(SUMIF('6.0'!$D:$D,T_BS!D114,'6.0'!$V:$V),0)</f>
        <v>0</v>
      </c>
      <c r="T114" s="720">
        <f>ROUND(SUMIF('7.0'!$D:$D,T_BS!D114,'7.0'!$V:$V),0)</f>
        <v>0</v>
      </c>
      <c r="U114" s="720">
        <f>ROUND(SUMIF('8.0'!$D:$D,T_BS!D114,'8.0'!$H:$H),0)</f>
        <v>0</v>
      </c>
      <c r="V114" s="510">
        <f t="shared" si="32"/>
        <v>0</v>
      </c>
      <c r="X114" s="1647">
        <f t="shared" si="33"/>
        <v>154590759</v>
      </c>
      <c r="Z114" s="1622">
        <f t="shared" si="34"/>
        <v>28074477</v>
      </c>
      <c r="AB114" s="1622">
        <v>154590759</v>
      </c>
      <c r="AC114" s="1622">
        <v>154590759</v>
      </c>
      <c r="AD114" s="1622">
        <v>154590759</v>
      </c>
      <c r="AE114" s="1622">
        <v>154590759</v>
      </c>
      <c r="AF114" s="1622">
        <v>154590759</v>
      </c>
      <c r="AG114" s="1622">
        <v>126516282</v>
      </c>
      <c r="AH114" s="1622">
        <v>126516282</v>
      </c>
      <c r="AI114" s="1622">
        <v>126516282</v>
      </c>
      <c r="AJ114" s="1622">
        <v>123786794</v>
      </c>
      <c r="AK114" s="1622">
        <v>123786794</v>
      </c>
      <c r="AL114" s="1622">
        <v>96167436</v>
      </c>
      <c r="AN114" s="498"/>
    </row>
    <row r="115" spans="1:40" ht="18" customHeight="1">
      <c r="A115" s="498"/>
      <c r="D115" s="1598">
        <v>126210</v>
      </c>
      <c r="E115" s="1364" t="s">
        <v>5</v>
      </c>
      <c r="F115" s="1366">
        <v>2802</v>
      </c>
      <c r="G115" s="1364" t="s">
        <v>104</v>
      </c>
      <c r="H115" s="498">
        <v>-60201010</v>
      </c>
      <c r="I115" s="498">
        <v>0</v>
      </c>
      <c r="J115" s="710">
        <v>0</v>
      </c>
      <c r="K115" s="710">
        <v>0</v>
      </c>
      <c r="L115" s="510">
        <f t="shared" si="31"/>
        <v>-60201010</v>
      </c>
      <c r="N115" s="1673">
        <f>SUMIF('1.0'!$D:$D,T_BS!D115,'1.0'!$V:$V)</f>
        <v>0</v>
      </c>
      <c r="O115" s="710">
        <f>SUMIF('2.0'!$D:$D,T_BS!D115,'2.0'!$V:$V)</f>
        <v>0</v>
      </c>
      <c r="P115" s="509">
        <f>ROUND(SUMIF('3.0'!$D:$D,T_BS!D115,'3.0'!$H:$H),0)</f>
        <v>0</v>
      </c>
      <c r="Q115" s="720">
        <f>ROUND(SUMIF('4.0'!$D:$D,T_BS!D115,'4.0'!$V:$V),0)</f>
        <v>0</v>
      </c>
      <c r="R115" s="509">
        <f>ROUND(SUMIF('5.0'!$D:$D,T_BS!D115,'5.0'!$V:$V),0)</f>
        <v>0</v>
      </c>
      <c r="S115" s="720">
        <f>ROUND(SUMIF('6.0'!$D:$D,T_BS!D115,'6.0'!$V:$V),0)</f>
        <v>0</v>
      </c>
      <c r="T115" s="720">
        <f>ROUND(SUMIF('7.0'!$D:$D,T_BS!D115,'7.0'!$V:$V),0)</f>
        <v>0</v>
      </c>
      <c r="U115" s="720">
        <f>ROUND(SUMIF('8.0'!$D:$D,T_BS!D115,'8.0'!$H:$H),0)</f>
        <v>0</v>
      </c>
      <c r="V115" s="510">
        <f t="shared" si="32"/>
        <v>0</v>
      </c>
      <c r="X115" s="1647">
        <f t="shared" si="33"/>
        <v>-60201010</v>
      </c>
      <c r="Z115" s="1622">
        <f t="shared" si="34"/>
        <v>7973120</v>
      </c>
      <c r="AB115" s="1622">
        <v>-56022880</v>
      </c>
      <c r="AC115" s="1622">
        <v>-51844752</v>
      </c>
      <c r="AD115" s="1622">
        <v>-47666622</v>
      </c>
      <c r="AE115" s="1622">
        <v>-43488494</v>
      </c>
      <c r="AF115" s="1622">
        <v>-30954106</v>
      </c>
      <c r="AG115" s="1622">
        <v>-68174130</v>
      </c>
      <c r="AH115" s="1622">
        <v>-61101169</v>
      </c>
      <c r="AI115" s="1622">
        <v>-57564688</v>
      </c>
      <c r="AJ115" s="1622">
        <v>-59265927</v>
      </c>
      <c r="AK115" s="1622">
        <v>-50122656</v>
      </c>
      <c r="AL115" s="1622">
        <v>-69983529</v>
      </c>
      <c r="AM115" s="1432"/>
      <c r="AN115" s="498"/>
    </row>
    <row r="116" spans="1:40" ht="18" customHeight="1">
      <c r="A116" s="498"/>
      <c r="D116" s="1679">
        <v>126300</v>
      </c>
      <c r="E116" s="1364" t="s">
        <v>5</v>
      </c>
      <c r="F116" s="1366">
        <v>2811</v>
      </c>
      <c r="G116" s="1365" t="s">
        <v>2623</v>
      </c>
      <c r="H116" s="498">
        <v>244897772</v>
      </c>
      <c r="I116" s="498">
        <v>0</v>
      </c>
      <c r="J116" s="710">
        <v>0</v>
      </c>
      <c r="K116" s="710">
        <v>0</v>
      </c>
      <c r="L116" s="510">
        <f t="shared" si="31"/>
        <v>244897772</v>
      </c>
      <c r="N116" s="1673">
        <f>SUMIF('1.0'!$D:$D,T_BS!D116,'1.0'!$V:$V)</f>
        <v>0</v>
      </c>
      <c r="O116" s="710">
        <f>SUMIF('2.0'!$D:$D,T_BS!D116,'2.0'!$V:$V)</f>
        <v>0</v>
      </c>
      <c r="P116" s="509">
        <f>ROUND(SUMIF('3.0'!$D:$D,T_BS!D116,'3.0'!$H:$H),0)</f>
        <v>0</v>
      </c>
      <c r="Q116" s="720">
        <f>ROUND(SUMIF('4.0'!$D:$D,T_BS!D116,'4.0'!$V:$V),0)</f>
        <v>0</v>
      </c>
      <c r="R116" s="509">
        <f>ROUND(SUMIF('5.0'!$D:$D,T_BS!D116,'5.0'!$V:$V),0)</f>
        <v>0</v>
      </c>
      <c r="S116" s="720">
        <f>ROUND(SUMIF('6.0'!$D:$D,T_BS!D116,'6.0'!$V:$V),0)</f>
        <v>0</v>
      </c>
      <c r="T116" s="720">
        <f>ROUND(SUMIF('7.0'!$D:$D,T_BS!D116,'7.0'!$V:$V),0)</f>
        <v>0</v>
      </c>
      <c r="U116" s="720">
        <f>ROUND(SUMIF('8.0'!$D:$D,T_BS!D116,'8.0'!$H:$H),0)</f>
        <v>0</v>
      </c>
      <c r="V116" s="510">
        <f>SUM(N116:U116)</f>
        <v>0</v>
      </c>
      <c r="X116" s="1647">
        <f t="shared" si="33"/>
        <v>244897772</v>
      </c>
      <c r="Z116" s="1622">
        <f t="shared" si="34"/>
        <v>0</v>
      </c>
      <c r="AB116" s="1622">
        <v>244897772</v>
      </c>
      <c r="AC116" s="1622">
        <v>244897772</v>
      </c>
      <c r="AD116" s="1622">
        <v>244897772</v>
      </c>
      <c r="AE116" s="1622">
        <v>244897772</v>
      </c>
      <c r="AF116" s="1622">
        <v>244897772</v>
      </c>
      <c r="AG116" s="1622">
        <v>244897772</v>
      </c>
      <c r="AH116" s="1622">
        <v>244897772</v>
      </c>
      <c r="AI116" s="1622">
        <v>244897772</v>
      </c>
      <c r="AJ116" s="1622">
        <v>244897772</v>
      </c>
      <c r="AK116" s="1622">
        <v>244897772</v>
      </c>
      <c r="AL116" s="1622">
        <v>244897772</v>
      </c>
      <c r="AM116" s="1432"/>
      <c r="AN116" s="498"/>
    </row>
    <row r="117" spans="1:40" ht="18" customHeight="1">
      <c r="A117" s="498"/>
      <c r="D117" s="1679">
        <v>126310</v>
      </c>
      <c r="E117" s="1364" t="s">
        <v>5</v>
      </c>
      <c r="F117" s="1366">
        <v>2812</v>
      </c>
      <c r="G117" s="1365" t="s">
        <v>2624</v>
      </c>
      <c r="H117" s="498">
        <v>-92338507</v>
      </c>
      <c r="I117" s="498">
        <v>0</v>
      </c>
      <c r="J117" s="710">
        <v>0</v>
      </c>
      <c r="K117" s="710">
        <v>0</v>
      </c>
      <c r="L117" s="510">
        <f t="shared" si="31"/>
        <v>-92338507</v>
      </c>
      <c r="N117" s="1673">
        <f>SUMIF('1.0'!$D:$D,T_BS!D117,'1.0'!$V:$V)</f>
        <v>0</v>
      </c>
      <c r="O117" s="710">
        <f>SUMIF('2.0'!$D:$D,T_BS!D117,'2.0'!$V:$V)</f>
        <v>0</v>
      </c>
      <c r="P117" s="509">
        <f>ROUND(SUMIF('3.0'!$D:$D,T_BS!D117,'3.0'!$H:$H),0)</f>
        <v>0</v>
      </c>
      <c r="Q117" s="720">
        <f>ROUND(SUMIF('4.0'!$D:$D,T_BS!D117,'4.0'!$V:$V),0)</f>
        <v>0</v>
      </c>
      <c r="R117" s="509">
        <f>ROUND(SUMIF('5.0'!$D:$D,T_BS!D117,'5.0'!$V:$V),0)</f>
        <v>0</v>
      </c>
      <c r="S117" s="720">
        <f>ROUND(SUMIF('6.0'!$D:$D,T_BS!D117,'6.0'!$V:$V),0)</f>
        <v>0</v>
      </c>
      <c r="T117" s="720">
        <f>ROUND(SUMIF('7.0'!$D:$D,T_BS!D117,'7.0'!$V:$V),0)</f>
        <v>0</v>
      </c>
      <c r="U117" s="720">
        <f>ROUND(SUMIF('8.0'!$D:$D,T_BS!D117,'8.0'!$H:$H),0)</f>
        <v>0</v>
      </c>
      <c r="V117" s="510">
        <f>SUM(N117:U117)</f>
        <v>0</v>
      </c>
      <c r="X117" s="1647">
        <f t="shared" si="33"/>
        <v>-92338507</v>
      </c>
      <c r="Z117" s="1622">
        <f t="shared" si="34"/>
        <v>-40147175</v>
      </c>
      <c r="AB117" s="1622">
        <v>-88323790</v>
      </c>
      <c r="AC117" s="1622">
        <v>-84309072</v>
      </c>
      <c r="AD117" s="1622">
        <v>-80294355</v>
      </c>
      <c r="AE117" s="1622">
        <v>-76279637</v>
      </c>
      <c r="AF117" s="1622">
        <v>-64235485</v>
      </c>
      <c r="AG117" s="1622">
        <v>-52191332</v>
      </c>
      <c r="AH117" s="1622">
        <v>-44161897</v>
      </c>
      <c r="AI117" s="1622">
        <v>-40147180</v>
      </c>
      <c r="AJ117" s="1622">
        <v>-28103026</v>
      </c>
      <c r="AK117" s="1622">
        <v>-16058872</v>
      </c>
      <c r="AL117" s="1622">
        <v>-4014718</v>
      </c>
      <c r="AN117" s="498"/>
    </row>
    <row r="118" spans="1:40" ht="18" customHeight="1">
      <c r="A118" s="498"/>
      <c r="D118" s="1639" t="s">
        <v>1345</v>
      </c>
      <c r="E118" s="1364" t="s">
        <v>5</v>
      </c>
      <c r="F118" s="1366">
        <v>2419</v>
      </c>
      <c r="G118" s="1364" t="s">
        <v>533</v>
      </c>
      <c r="H118" s="498">
        <v>132828982</v>
      </c>
      <c r="I118" s="498">
        <v>0</v>
      </c>
      <c r="J118" s="710">
        <v>0</v>
      </c>
      <c r="K118" s="710">
        <v>0</v>
      </c>
      <c r="L118" s="510">
        <f t="shared" si="31"/>
        <v>132828982</v>
      </c>
      <c r="N118" s="1673">
        <f>SUMIF('1.0'!$D:$D,T_BS!D118,'1.0'!$V:$V)</f>
        <v>0</v>
      </c>
      <c r="O118" s="710">
        <f>SUMIF('2.0'!$D:$D,T_BS!D118,'2.0'!$V:$V)</f>
        <v>0</v>
      </c>
      <c r="P118" s="509">
        <f>ROUND(SUMIF('3.0'!$D:$D,T_BS!D118,'3.0'!$H:$H),0)</f>
        <v>0</v>
      </c>
      <c r="Q118" s="720">
        <f>ROUND(SUMIF('4.0'!$D:$D,T_BS!D118,'4.0'!$V:$V),0)</f>
        <v>0</v>
      </c>
      <c r="R118" s="509">
        <f>ROUND(SUMIF('5.0'!$D:$D,T_BS!D118,'5.0'!$V:$V),0)</f>
        <v>0</v>
      </c>
      <c r="S118" s="720">
        <f>ROUND(SUMIF('6.0'!$D:$D,T_BS!D118,'6.0'!$V:$V),0)</f>
        <v>0</v>
      </c>
      <c r="T118" s="720">
        <f>ROUND(SUMIF('7.0'!$D:$D,T_BS!D118,'7.0'!$V:$V),0)</f>
        <v>0</v>
      </c>
      <c r="U118" s="720">
        <f>ROUND(SUMIF('8.0'!$D:$D,T_BS!D118,'8.0'!$H:$H),0)</f>
        <v>0</v>
      </c>
      <c r="V118" s="510">
        <f t="shared" si="32"/>
        <v>0</v>
      </c>
      <c r="X118" s="1647">
        <f t="shared" si="33"/>
        <v>132828982</v>
      </c>
      <c r="Z118" s="1622">
        <f t="shared" si="34"/>
        <v>71689010</v>
      </c>
      <c r="AB118" s="1622">
        <v>83050582</v>
      </c>
      <c r="AC118" s="1622">
        <v>90299993</v>
      </c>
      <c r="AD118" s="1622">
        <v>81649411</v>
      </c>
      <c r="AE118" s="1622">
        <v>52569411</v>
      </c>
      <c r="AF118" s="1622">
        <v>70306780</v>
      </c>
      <c r="AG118" s="1622">
        <v>61139972</v>
      </c>
      <c r="AH118" s="1622">
        <v>60483192</v>
      </c>
      <c r="AI118" s="1622">
        <v>60483192</v>
      </c>
      <c r="AJ118" s="1622">
        <v>127680000</v>
      </c>
      <c r="AK118" s="1622">
        <v>141450000</v>
      </c>
      <c r="AL118" s="1622">
        <v>102390000</v>
      </c>
      <c r="AN118" s="498"/>
    </row>
    <row r="119" spans="1:40" ht="18" customHeight="1">
      <c r="A119" s="498"/>
      <c r="D119" s="1593"/>
      <c r="E119" s="1594"/>
      <c r="F119" s="1595"/>
      <c r="G119" s="1594" t="s">
        <v>6</v>
      </c>
      <c r="H119" s="520">
        <f t="shared" ref="H119:K119" si="35">SUM(H120:H143)</f>
        <v>11309561949</v>
      </c>
      <c r="I119" s="506">
        <f t="shared" si="35"/>
        <v>7246972</v>
      </c>
      <c r="J119" s="506">
        <f t="shared" si="35"/>
        <v>0</v>
      </c>
      <c r="K119" s="506">
        <f t="shared" si="35"/>
        <v>18499553</v>
      </c>
      <c r="L119" s="507">
        <f>SUM(L120:L143)</f>
        <v>11335308474</v>
      </c>
      <c r="N119" s="1637">
        <f t="shared" ref="N119:V119" si="36">SUM(N120:N143)</f>
        <v>19842800</v>
      </c>
      <c r="O119" s="506">
        <f t="shared" si="36"/>
        <v>0</v>
      </c>
      <c r="P119" s="506">
        <f t="shared" si="36"/>
        <v>0</v>
      </c>
      <c r="Q119" s="506">
        <f t="shared" si="36"/>
        <v>0</v>
      </c>
      <c r="R119" s="506">
        <f t="shared" si="36"/>
        <v>1822249587</v>
      </c>
      <c r="S119" s="506">
        <f t="shared" si="36"/>
        <v>0</v>
      </c>
      <c r="T119" s="506">
        <f t="shared" si="36"/>
        <v>0</v>
      </c>
      <c r="U119" s="506">
        <f t="shared" si="36"/>
        <v>1464530117</v>
      </c>
      <c r="V119" s="507">
        <f t="shared" si="36"/>
        <v>3306622504</v>
      </c>
      <c r="X119" s="1636">
        <f>SUM(X120:X143)</f>
        <v>14641930978</v>
      </c>
      <c r="Z119" s="1636">
        <f>SUM(Z120:Z143)</f>
        <v>-1125379159</v>
      </c>
      <c r="AB119" s="1636">
        <v>14947089436</v>
      </c>
      <c r="AC119" s="1636">
        <v>14145297026</v>
      </c>
      <c r="AD119" s="1636">
        <v>14282957622</v>
      </c>
      <c r="AE119" s="1636">
        <v>14426570378</v>
      </c>
      <c r="AF119" s="1636">
        <v>15102081002</v>
      </c>
      <c r="AG119" s="1636">
        <v>15767310137</v>
      </c>
      <c r="AH119" s="1636">
        <v>16561404196</v>
      </c>
      <c r="AI119" s="1636">
        <v>16781792494</v>
      </c>
      <c r="AJ119" s="1636">
        <v>16933932183</v>
      </c>
      <c r="AK119" s="1636">
        <f>SUM(AK120:AK143)</f>
        <v>15860211061</v>
      </c>
      <c r="AL119" s="1636">
        <v>16860524553</v>
      </c>
      <c r="AN119" s="498"/>
    </row>
    <row r="120" spans="1:40" ht="18" customHeight="1">
      <c r="A120" s="498"/>
      <c r="D120" s="1598" t="s">
        <v>105</v>
      </c>
      <c r="E120" s="1364" t="s">
        <v>6</v>
      </c>
      <c r="F120" s="1366">
        <v>2501</v>
      </c>
      <c r="G120" s="1364" t="s">
        <v>106</v>
      </c>
      <c r="H120" s="498">
        <v>621424205</v>
      </c>
      <c r="I120" s="498">
        <v>0</v>
      </c>
      <c r="J120" s="710">
        <v>0</v>
      </c>
      <c r="K120" s="710">
        <v>0</v>
      </c>
      <c r="L120" s="510">
        <f t="shared" ref="L120:L143" si="37">SUM(H120:K120)</f>
        <v>621424205</v>
      </c>
      <c r="N120" s="1673">
        <f>SUMIF('1.0'!$D:$D,T_BS!D120,'1.0'!$V:$V)</f>
        <v>0</v>
      </c>
      <c r="O120" s="710">
        <f>SUMIF('2.0'!$D:$D,T_BS!D120,'2.0'!$V:$V)</f>
        <v>0</v>
      </c>
      <c r="P120" s="509">
        <f>ROUND(SUMIF('3.0'!$D:$D,T_BS!D120,'3.0'!$H:$H),0)</f>
        <v>0</v>
      </c>
      <c r="Q120" s="720">
        <f>ROUND(SUMIF('4.0'!$D:$D,T_BS!D120,'4.0'!$V:$V),0)</f>
        <v>0</v>
      </c>
      <c r="R120" s="509">
        <f>ROUND(SUMIF('5.0'!$D:$D,T_BS!D120,'5.0'!$V:$V),0)</f>
        <v>0</v>
      </c>
      <c r="S120" s="720">
        <f>ROUND(SUMIF('6.0'!$D:$D,T_BS!D120,'6.0'!$V:$V),0)</f>
        <v>0</v>
      </c>
      <c r="T120" s="720">
        <f>ROUND(SUMIF('7.0'!$D:$D,T_BS!D120,'7.0'!$V:$V),0)</f>
        <v>0</v>
      </c>
      <c r="U120" s="720">
        <f>ROUND(SUMIF('8.0'!$D:$D,T_BS!D120,'8.0'!$H:$H),0)</f>
        <v>0</v>
      </c>
      <c r="V120" s="510">
        <f t="shared" ref="V120:V145" si="38">SUM(N120:U120)</f>
        <v>0</v>
      </c>
      <c r="X120" s="1647">
        <f t="shared" ref="X120:X143" si="39">V120+L120</f>
        <v>621424205</v>
      </c>
      <c r="Z120" s="1622">
        <f t="shared" ref="Z120:Z143" si="40">X120-AG120</f>
        <v>29651290</v>
      </c>
      <c r="AB120" s="1622">
        <v>615453203</v>
      </c>
      <c r="AC120" s="1622">
        <v>607459539</v>
      </c>
      <c r="AD120" s="1622">
        <v>607459539</v>
      </c>
      <c r="AE120" s="1622">
        <v>607459539</v>
      </c>
      <c r="AF120" s="1622">
        <v>605371064</v>
      </c>
      <c r="AG120" s="1622">
        <v>591772915</v>
      </c>
      <c r="AH120" s="1622">
        <v>611556203</v>
      </c>
      <c r="AI120" s="1622">
        <v>611556203</v>
      </c>
      <c r="AJ120" s="1622">
        <v>604642472</v>
      </c>
      <c r="AK120" s="1622">
        <v>600237508</v>
      </c>
      <c r="AL120" s="1622">
        <v>582607415</v>
      </c>
      <c r="AN120" s="498"/>
    </row>
    <row r="121" spans="1:40" ht="18" customHeight="1">
      <c r="A121" s="498"/>
      <c r="D121" s="1598" t="s">
        <v>107</v>
      </c>
      <c r="E121" s="1364" t="s">
        <v>6</v>
      </c>
      <c r="F121" s="1366">
        <v>2501</v>
      </c>
      <c r="G121" s="1364" t="s">
        <v>108</v>
      </c>
      <c r="H121" s="498">
        <v>-528095941</v>
      </c>
      <c r="I121" s="498">
        <v>0</v>
      </c>
      <c r="J121" s="710">
        <v>0</v>
      </c>
      <c r="K121" s="710">
        <v>0</v>
      </c>
      <c r="L121" s="510">
        <f t="shared" si="37"/>
        <v>-528095941</v>
      </c>
      <c r="N121" s="1673">
        <f>SUMIF('1.0'!$D:$D,T_BS!D121,'1.0'!$V:$V)</f>
        <v>0</v>
      </c>
      <c r="O121" s="710">
        <f>SUMIF('2.0'!$D:$D,T_BS!D121,'2.0'!$V:$V)</f>
        <v>0</v>
      </c>
      <c r="P121" s="509">
        <f>ROUND(SUMIF('3.0'!$D:$D,T_BS!D121,'3.0'!$H:$H),0)</f>
        <v>0</v>
      </c>
      <c r="Q121" s="720">
        <f>ROUND(SUMIF('4.0'!$D:$D,T_BS!D121,'4.0'!$V:$V),0)</f>
        <v>0</v>
      </c>
      <c r="R121" s="509">
        <f>ROUND(SUMIF('5.0'!$D:$D,T_BS!D121,'5.0'!$V:$V),0)</f>
        <v>0</v>
      </c>
      <c r="S121" s="720">
        <f>ROUND(SUMIF('6.0'!$D:$D,T_BS!D121,'6.0'!$V:$V),0)</f>
        <v>0</v>
      </c>
      <c r="T121" s="720">
        <f>ROUND(SUMIF('7.0'!$D:$D,T_BS!D121,'7.0'!$V:$V),0)</f>
        <v>0</v>
      </c>
      <c r="U121" s="720">
        <f>ROUND(SUMIF('8.0'!$D:$D,T_BS!D121,'8.0'!$H:$H),0)</f>
        <v>0</v>
      </c>
      <c r="V121" s="510">
        <f t="shared" si="38"/>
        <v>0</v>
      </c>
      <c r="X121" s="1647">
        <f t="shared" si="39"/>
        <v>-528095941</v>
      </c>
      <c r="Z121" s="1622">
        <f t="shared" si="40"/>
        <v>-32225967</v>
      </c>
      <c r="AB121" s="1622">
        <v>-524892097</v>
      </c>
      <c r="AC121" s="1622">
        <v>-521787768</v>
      </c>
      <c r="AD121" s="1622">
        <v>-518676953</v>
      </c>
      <c r="AE121" s="1622">
        <v>-515566148</v>
      </c>
      <c r="AF121" s="1622">
        <v>-505863256</v>
      </c>
      <c r="AG121" s="1622">
        <v>-495869974</v>
      </c>
      <c r="AH121" s="1622">
        <v>-518816190</v>
      </c>
      <c r="AI121" s="1622">
        <v>-515222810</v>
      </c>
      <c r="AJ121" s="1622">
        <v>-504351705</v>
      </c>
      <c r="AK121" s="1622">
        <v>-493217439</v>
      </c>
      <c r="AL121" s="1622">
        <v>-481839721</v>
      </c>
      <c r="AN121" s="498"/>
    </row>
    <row r="122" spans="1:40" ht="18" customHeight="1">
      <c r="A122" s="498"/>
      <c r="D122" s="1598" t="s">
        <v>109</v>
      </c>
      <c r="E122" s="1364" t="s">
        <v>6</v>
      </c>
      <c r="F122" s="1366">
        <v>2503</v>
      </c>
      <c r="G122" s="1364" t="s">
        <v>110</v>
      </c>
      <c r="H122" s="498">
        <v>14921439732</v>
      </c>
      <c r="I122" s="498">
        <v>0</v>
      </c>
      <c r="J122" s="710">
        <v>0</v>
      </c>
      <c r="K122" s="710">
        <v>0</v>
      </c>
      <c r="L122" s="510">
        <f t="shared" si="37"/>
        <v>14921439732</v>
      </c>
      <c r="N122" s="1673">
        <f>SUMIF('1.0'!$D:$D,T_BS!D122,'1.0'!$V:$V)</f>
        <v>0</v>
      </c>
      <c r="O122" s="710">
        <f>SUMIF('2.0'!$D:$D,T_BS!D122,'2.0'!$V:$V)</f>
        <v>0</v>
      </c>
      <c r="P122" s="509">
        <f>ROUND(SUMIF('3.0'!$D:$D,T_BS!D122,'3.0'!$H:$H),0)</f>
        <v>0</v>
      </c>
      <c r="Q122" s="720">
        <f>ROUND(SUMIF('4.0'!$D:$D,T_BS!D122,'4.0'!$V:$V),0)</f>
        <v>0</v>
      </c>
      <c r="R122" s="509">
        <f>ROUND(SUMIF('5.0'!$D:$D,T_BS!D122,'5.0'!$V:$V),0)</f>
        <v>0</v>
      </c>
      <c r="S122" s="720">
        <f>ROUND(SUMIF('6.0'!$D:$D,T_BS!D122,'6.0'!$V:$V),0)</f>
        <v>0</v>
      </c>
      <c r="T122" s="720">
        <f>ROUND(SUMIF('7.0'!$D:$D,T_BS!D122,'7.0'!$V:$V),0)</f>
        <v>0</v>
      </c>
      <c r="U122" s="720">
        <f>ROUND(SUMIF('8.0'!$D:$D,T_BS!D122,'8.0'!$H:$H),0)</f>
        <v>0</v>
      </c>
      <c r="V122" s="510">
        <f t="shared" si="38"/>
        <v>0</v>
      </c>
      <c r="X122" s="1647">
        <f t="shared" si="39"/>
        <v>14921439732</v>
      </c>
      <c r="Z122" s="1622">
        <f t="shared" si="40"/>
        <v>1025796634</v>
      </c>
      <c r="AB122" s="1622">
        <v>14867504572</v>
      </c>
      <c r="AC122" s="1622">
        <v>14680800538</v>
      </c>
      <c r="AD122" s="1622">
        <v>14540488121</v>
      </c>
      <c r="AE122" s="1622">
        <v>14445517947</v>
      </c>
      <c r="AF122" s="1622">
        <v>14274588205</v>
      </c>
      <c r="AG122" s="1622">
        <v>13895643098</v>
      </c>
      <c r="AH122" s="1622">
        <v>13665005542</v>
      </c>
      <c r="AI122" s="1622">
        <v>13521416149</v>
      </c>
      <c r="AJ122" s="1622">
        <v>13029870939</v>
      </c>
      <c r="AK122" s="1622">
        <v>12726916295</v>
      </c>
      <c r="AL122" s="1622">
        <v>12669072980</v>
      </c>
      <c r="AN122" s="498"/>
    </row>
    <row r="123" spans="1:40" ht="18" customHeight="1">
      <c r="A123" s="498"/>
      <c r="D123" s="1598" t="s">
        <v>111</v>
      </c>
      <c r="E123" s="1364" t="s">
        <v>6</v>
      </c>
      <c r="F123" s="1366">
        <v>2503</v>
      </c>
      <c r="G123" s="1364" t="s">
        <v>112</v>
      </c>
      <c r="H123" s="498">
        <v>-9984544086</v>
      </c>
      <c r="I123" s="498">
        <v>0</v>
      </c>
      <c r="J123" s="710">
        <v>0</v>
      </c>
      <c r="K123" s="710">
        <v>0</v>
      </c>
      <c r="L123" s="510">
        <f t="shared" si="37"/>
        <v>-9984544086</v>
      </c>
      <c r="N123" s="1673">
        <f>SUMIF('1.0'!$D:$D,T_BS!D123,'1.0'!$V:$V)</f>
        <v>0</v>
      </c>
      <c r="O123" s="710">
        <f>SUMIF('2.0'!$D:$D,T_BS!D123,'2.0'!$V:$V)</f>
        <v>0</v>
      </c>
      <c r="P123" s="509">
        <f>ROUND(SUMIF('3.0'!$D:$D,T_BS!D123,'3.0'!$H:$H),0)</f>
        <v>0</v>
      </c>
      <c r="Q123" s="720">
        <f>ROUND(SUMIF('4.0'!$D:$D,T_BS!D123,'4.0'!$V:$V),0)</f>
        <v>0</v>
      </c>
      <c r="R123" s="509">
        <f>ROUND(SUMIF('5.0'!$D:$D,T_BS!D123,'5.0'!$V:$V),0)</f>
        <v>0</v>
      </c>
      <c r="S123" s="720">
        <f>ROUND(SUMIF('6.0'!$D:$D,T_BS!D123,'6.0'!$V:$V),0)</f>
        <v>0</v>
      </c>
      <c r="T123" s="720">
        <f>ROUND(SUMIF('7.0'!$D:$D,T_BS!D123,'7.0'!$V:$V),0)</f>
        <v>0</v>
      </c>
      <c r="U123" s="720">
        <f>ROUND(SUMIF('8.0'!$D:$D,T_BS!D123,'8.0'!$H:$H),0)</f>
        <v>0</v>
      </c>
      <c r="V123" s="510">
        <f t="shared" si="38"/>
        <v>0</v>
      </c>
      <c r="X123" s="1647">
        <f t="shared" si="39"/>
        <v>-9984544086</v>
      </c>
      <c r="Z123" s="1622">
        <f t="shared" si="40"/>
        <v>-395108582</v>
      </c>
      <c r="AB123" s="1622">
        <v>-9938224869</v>
      </c>
      <c r="AC123" s="1622">
        <v>-9908082856</v>
      </c>
      <c r="AD123" s="1622">
        <v>-9864508743</v>
      </c>
      <c r="AE123" s="1622">
        <v>-9820934630</v>
      </c>
      <c r="AF123" s="1622">
        <v>-9690784537</v>
      </c>
      <c r="AG123" s="1622">
        <v>-9589435504</v>
      </c>
      <c r="AH123" s="1622">
        <v>-9456295657</v>
      </c>
      <c r="AI123" s="1622">
        <v>-9397697464</v>
      </c>
      <c r="AJ123" s="1622">
        <v>-9229301899</v>
      </c>
      <c r="AK123" s="1622">
        <v>-9117792121</v>
      </c>
      <c r="AL123" s="1622">
        <v>-9006282343</v>
      </c>
      <c r="AN123" s="498"/>
    </row>
    <row r="124" spans="1:40" ht="18" customHeight="1">
      <c r="A124" s="498"/>
      <c r="D124" s="1598" t="s">
        <v>113</v>
      </c>
      <c r="E124" s="1364" t="s">
        <v>6</v>
      </c>
      <c r="F124" s="1366">
        <v>2503</v>
      </c>
      <c r="G124" s="1364" t="s">
        <v>114</v>
      </c>
      <c r="H124" s="498">
        <v>-3411056041</v>
      </c>
      <c r="I124" s="498">
        <v>0</v>
      </c>
      <c r="J124" s="710">
        <v>0</v>
      </c>
      <c r="K124" s="710">
        <v>0</v>
      </c>
      <c r="L124" s="510">
        <f t="shared" si="37"/>
        <v>-3411056041</v>
      </c>
      <c r="N124" s="1673">
        <f>SUMIF('1.0'!$D:$D,T_BS!D124,'1.0'!$V:$V)</f>
        <v>0</v>
      </c>
      <c r="O124" s="710">
        <f>SUMIF('2.0'!$D:$D,T_BS!D124,'2.0'!$V:$V)</f>
        <v>0</v>
      </c>
      <c r="P124" s="509">
        <f>ROUND(SUMIF('3.0'!$D:$D,T_BS!D124,'3.0'!$H:$H),0)</f>
        <v>0</v>
      </c>
      <c r="Q124" s="720">
        <f>ROUND(SUMIF('4.0'!$D:$D,T_BS!D124,'4.0'!$V:$V),0)</f>
        <v>0</v>
      </c>
      <c r="R124" s="509">
        <f>ROUND(SUMIF('5.0'!$D:$D,T_BS!D124,'5.0'!$V:$V),0)</f>
        <v>0</v>
      </c>
      <c r="S124" s="720">
        <f>ROUND(SUMIF('6.0'!$D:$D,T_BS!D124,'6.0'!$V:$V),0)</f>
        <v>0</v>
      </c>
      <c r="T124" s="720">
        <f>ROUND(SUMIF('7.0'!$D:$D,T_BS!D124,'7.0'!$V:$V),0)</f>
        <v>0</v>
      </c>
      <c r="U124" s="720">
        <f>ROUND(SUMIF('8.0'!$D:$D,T_BS!D124,'8.0'!$H:$H),0)</f>
        <v>0</v>
      </c>
      <c r="V124" s="510">
        <f t="shared" si="38"/>
        <v>0</v>
      </c>
      <c r="X124" s="1647">
        <f t="shared" si="39"/>
        <v>-3411056041</v>
      </c>
      <c r="Z124" s="1622">
        <f t="shared" si="40"/>
        <v>-242686686</v>
      </c>
      <c r="AB124" s="1622">
        <v>-3411056041</v>
      </c>
      <c r="AC124" s="1622">
        <v>-3168369355</v>
      </c>
      <c r="AD124" s="1622">
        <v>-3168369355</v>
      </c>
      <c r="AE124" s="1622">
        <v>-3168369355</v>
      </c>
      <c r="AF124" s="1622">
        <v>-3168369355</v>
      </c>
      <c r="AG124" s="1622">
        <v>-3168369355</v>
      </c>
      <c r="AH124" s="1622">
        <v>-2614667381</v>
      </c>
      <c r="AI124" s="1622">
        <v>-2614667381</v>
      </c>
      <c r="AJ124" s="1622">
        <v>-2614667381</v>
      </c>
      <c r="AK124" s="1622">
        <v>-2614667381</v>
      </c>
      <c r="AL124" s="1622">
        <v>-2614667381</v>
      </c>
      <c r="AN124" s="498"/>
    </row>
    <row r="125" spans="1:40" ht="18" customHeight="1">
      <c r="A125" s="498"/>
      <c r="D125" s="1598">
        <v>125300</v>
      </c>
      <c r="E125" s="1364" t="s">
        <v>6</v>
      </c>
      <c r="F125" s="1366">
        <v>2501</v>
      </c>
      <c r="G125" s="1364" t="s">
        <v>115</v>
      </c>
      <c r="H125" s="498">
        <v>426325952</v>
      </c>
      <c r="I125" s="498">
        <v>0</v>
      </c>
      <c r="J125" s="710">
        <v>0</v>
      </c>
      <c r="K125" s="710">
        <v>0</v>
      </c>
      <c r="L125" s="510">
        <f t="shared" si="37"/>
        <v>426325952</v>
      </c>
      <c r="N125" s="1673">
        <f>SUMIF('1.0'!$D:$D,T_BS!D125,'1.0'!$V:$V)</f>
        <v>0</v>
      </c>
      <c r="O125" s="710">
        <f>SUMIF('2.0'!$D:$D,T_BS!D125,'2.0'!$V:$V)</f>
        <v>0</v>
      </c>
      <c r="P125" s="509">
        <f>ROUND(SUMIF('3.0'!$D:$D,T_BS!D125,'3.0'!$H:$H),0)</f>
        <v>0</v>
      </c>
      <c r="Q125" s="720">
        <f>ROUND(SUMIF('4.0'!$D:$D,T_BS!D125,'4.0'!$V:$V),0)</f>
        <v>0</v>
      </c>
      <c r="R125" s="509">
        <f>ROUND(SUMIF('5.0'!$D:$D,T_BS!D125,'5.0'!$V:$V),0)</f>
        <v>0</v>
      </c>
      <c r="S125" s="720">
        <f>ROUND(SUMIF('6.0'!$D:$D,T_BS!D125,'6.0'!$V:$V),0)</f>
        <v>0</v>
      </c>
      <c r="T125" s="720">
        <f>ROUND(SUMIF('7.0'!$D:$D,T_BS!D125,'7.0'!$V:$V),0)</f>
        <v>0</v>
      </c>
      <c r="U125" s="720">
        <f>ROUND(SUMIF('8.0'!$D:$D,T_BS!D125,'8.0'!$H:$H),0)</f>
        <v>0</v>
      </c>
      <c r="V125" s="510">
        <f t="shared" si="38"/>
        <v>0</v>
      </c>
      <c r="X125" s="1647">
        <f t="shared" si="39"/>
        <v>426325952</v>
      </c>
      <c r="Z125" s="1622">
        <f t="shared" si="40"/>
        <v>23783340</v>
      </c>
      <c r="AB125" s="1622">
        <v>426325952</v>
      </c>
      <c r="AC125" s="1622">
        <v>419257152</v>
      </c>
      <c r="AD125" s="1622">
        <v>419257152</v>
      </c>
      <c r="AE125" s="1622">
        <v>419257152</v>
      </c>
      <c r="AF125" s="1622">
        <v>405595612</v>
      </c>
      <c r="AG125" s="1622">
        <v>402542612</v>
      </c>
      <c r="AH125" s="1622">
        <v>444001006</v>
      </c>
      <c r="AI125" s="1622">
        <v>444001006</v>
      </c>
      <c r="AJ125" s="1622">
        <v>423091321</v>
      </c>
      <c r="AK125" s="1622">
        <v>382461829</v>
      </c>
      <c r="AL125" s="1622">
        <v>363487743</v>
      </c>
      <c r="AN125" s="498"/>
    </row>
    <row r="126" spans="1:40" ht="18" customHeight="1">
      <c r="A126" s="498"/>
      <c r="D126" s="1598">
        <v>125400</v>
      </c>
      <c r="E126" s="1364" t="s">
        <v>6</v>
      </c>
      <c r="F126" s="1366">
        <v>2501</v>
      </c>
      <c r="G126" s="1364" t="s">
        <v>116</v>
      </c>
      <c r="H126" s="498">
        <v>1498681173</v>
      </c>
      <c r="I126" s="498">
        <v>0</v>
      </c>
      <c r="J126" s="710">
        <v>0</v>
      </c>
      <c r="K126" s="710">
        <v>0</v>
      </c>
      <c r="L126" s="510">
        <f t="shared" si="37"/>
        <v>1498681173</v>
      </c>
      <c r="N126" s="1673">
        <f>SUMIF('1.0'!$D:$D,T_BS!D126,'1.0'!$V:$V)</f>
        <v>0</v>
      </c>
      <c r="O126" s="710">
        <f>SUMIF('2.0'!$D:$D,T_BS!D126,'2.0'!$V:$V)</f>
        <v>0</v>
      </c>
      <c r="P126" s="509">
        <f>ROUND(SUMIF('3.0'!$D:$D,T_BS!D126,'3.0'!$H:$H),0)</f>
        <v>0</v>
      </c>
      <c r="Q126" s="720">
        <f>ROUND(SUMIF('4.0'!$D:$D,T_BS!D126,'4.0'!$V:$V),0)</f>
        <v>0</v>
      </c>
      <c r="R126" s="509">
        <f>ROUND(SUMIF('5.0'!$D:$D,T_BS!D126,'5.0'!$V:$V),0)</f>
        <v>0</v>
      </c>
      <c r="S126" s="720">
        <f>ROUND(SUMIF('6.0'!$D:$D,T_BS!D126,'6.0'!$V:$V),0)</f>
        <v>0</v>
      </c>
      <c r="T126" s="720">
        <f>ROUND(SUMIF('7.0'!$D:$D,T_BS!D126,'7.0'!$V:$V),0)</f>
        <v>0</v>
      </c>
      <c r="U126" s="720">
        <f>ROUND(SUMIF('8.0'!$D:$D,T_BS!D126,'8.0'!$H:$H),0)</f>
        <v>0</v>
      </c>
      <c r="V126" s="510">
        <f t="shared" si="38"/>
        <v>0</v>
      </c>
      <c r="X126" s="1647">
        <f t="shared" si="39"/>
        <v>1498681173</v>
      </c>
      <c r="Z126" s="1622">
        <f t="shared" si="40"/>
        <v>1059605342</v>
      </c>
      <c r="AB126" s="1622">
        <v>444193687</v>
      </c>
      <c r="AC126" s="1622">
        <v>444193687</v>
      </c>
      <c r="AD126" s="1622">
        <v>444193687</v>
      </c>
      <c r="AE126" s="1622">
        <v>444193687</v>
      </c>
      <c r="AF126" s="1622">
        <v>439075831</v>
      </c>
      <c r="AG126" s="1622">
        <v>439075831</v>
      </c>
      <c r="AH126" s="1622">
        <v>435550338</v>
      </c>
      <c r="AI126" s="1622">
        <v>435550338</v>
      </c>
      <c r="AJ126" s="1622">
        <v>434536813</v>
      </c>
      <c r="AK126" s="1622">
        <v>432749858</v>
      </c>
      <c r="AL126" s="1622">
        <v>432749858</v>
      </c>
      <c r="AN126" s="498"/>
    </row>
    <row r="127" spans="1:40" ht="18" customHeight="1">
      <c r="A127" s="498"/>
      <c r="D127" s="1598" t="s">
        <v>117</v>
      </c>
      <c r="E127" s="1364" t="s">
        <v>6</v>
      </c>
      <c r="F127" s="1366">
        <v>2501</v>
      </c>
      <c r="G127" s="1364" t="s">
        <v>118</v>
      </c>
      <c r="H127" s="498">
        <v>10801432</v>
      </c>
      <c r="I127" s="498">
        <v>0</v>
      </c>
      <c r="J127" s="710">
        <v>0</v>
      </c>
      <c r="K127" s="710">
        <v>0</v>
      </c>
      <c r="L127" s="510">
        <f t="shared" si="37"/>
        <v>10801432</v>
      </c>
      <c r="N127" s="1673">
        <f>SUMIF('1.0'!$D:$D,T_BS!D127,'1.0'!$V:$V)</f>
        <v>0</v>
      </c>
      <c r="O127" s="710">
        <f>SUMIF('2.0'!$D:$D,T_BS!D127,'2.0'!$V:$V)</f>
        <v>0</v>
      </c>
      <c r="P127" s="509">
        <f>ROUND(SUMIF('3.0'!$D:$D,T_BS!D127,'3.0'!$H:$H),0)</f>
        <v>0</v>
      </c>
      <c r="Q127" s="720">
        <f>ROUND(SUMIF('4.0'!$D:$D,T_BS!D127,'4.0'!$V:$V),0)</f>
        <v>0</v>
      </c>
      <c r="R127" s="509">
        <f>ROUND(SUMIF('5.0'!$D:$D,T_BS!D127,'5.0'!$V:$V),0)</f>
        <v>0</v>
      </c>
      <c r="S127" s="720">
        <f>ROUND(SUMIF('6.0'!$D:$D,T_BS!D127,'6.0'!$V:$V),0)</f>
        <v>0</v>
      </c>
      <c r="T127" s="720">
        <f>ROUND(SUMIF('7.0'!$D:$D,T_BS!D127,'7.0'!$V:$V),0)</f>
        <v>0</v>
      </c>
      <c r="U127" s="720">
        <f>ROUND(SUMIF('8.0'!$D:$D,T_BS!D127,'8.0'!$H:$H),0)</f>
        <v>0</v>
      </c>
      <c r="V127" s="510">
        <f t="shared" si="38"/>
        <v>0</v>
      </c>
      <c r="X127" s="1647">
        <f t="shared" si="39"/>
        <v>10801432</v>
      </c>
      <c r="Z127" s="1622">
        <f t="shared" si="40"/>
        <v>0</v>
      </c>
      <c r="AB127" s="1622">
        <v>10801432</v>
      </c>
      <c r="AC127" s="1622">
        <v>10801432</v>
      </c>
      <c r="AD127" s="1622">
        <v>10801432</v>
      </c>
      <c r="AE127" s="1622">
        <v>10801432</v>
      </c>
      <c r="AF127" s="1622">
        <v>10801432</v>
      </c>
      <c r="AG127" s="1622">
        <v>10801432</v>
      </c>
      <c r="AH127" s="1622">
        <v>10801432</v>
      </c>
      <c r="AI127" s="1622">
        <v>10801432</v>
      </c>
      <c r="AJ127" s="1622">
        <v>10801432</v>
      </c>
      <c r="AK127" s="1622">
        <v>10801432</v>
      </c>
      <c r="AL127" s="1622">
        <v>10801432</v>
      </c>
      <c r="AN127" s="498"/>
    </row>
    <row r="128" spans="1:40" ht="18" customHeight="1">
      <c r="A128" s="498"/>
      <c r="D128" s="1598" t="s">
        <v>119</v>
      </c>
      <c r="E128" s="1364" t="s">
        <v>6</v>
      </c>
      <c r="F128" s="1366">
        <v>2501</v>
      </c>
      <c r="G128" s="1364" t="s">
        <v>120</v>
      </c>
      <c r="H128" s="498">
        <v>-251255666</v>
      </c>
      <c r="I128" s="498">
        <v>0</v>
      </c>
      <c r="J128" s="710">
        <v>0</v>
      </c>
      <c r="K128" s="710">
        <v>0</v>
      </c>
      <c r="L128" s="510">
        <f t="shared" si="37"/>
        <v>-251255666</v>
      </c>
      <c r="N128" s="1673">
        <f>SUMIF('1.0'!$D:$D,T_BS!D128,'1.0'!$V:$V)</f>
        <v>0</v>
      </c>
      <c r="O128" s="710">
        <f>SUMIF('2.0'!$D:$D,T_BS!D128,'2.0'!$V:$V)</f>
        <v>0</v>
      </c>
      <c r="P128" s="509">
        <f>ROUND(SUMIF('3.0'!$D:$D,T_BS!D128,'3.0'!$H:$H),0)</f>
        <v>0</v>
      </c>
      <c r="Q128" s="720">
        <f>ROUND(SUMIF('4.0'!$D:$D,T_BS!D128,'4.0'!$V:$V),0)</f>
        <v>0</v>
      </c>
      <c r="R128" s="509">
        <f>ROUND(SUMIF('5.0'!$D:$D,T_BS!D128,'5.0'!$V:$V),0)</f>
        <v>0</v>
      </c>
      <c r="S128" s="720">
        <f>ROUND(SUMIF('6.0'!$D:$D,T_BS!D128,'6.0'!$V:$V),0)</f>
        <v>0</v>
      </c>
      <c r="T128" s="720">
        <f>ROUND(SUMIF('7.0'!$D:$D,T_BS!D128,'7.0'!$V:$V),0)</f>
        <v>0</v>
      </c>
      <c r="U128" s="720">
        <f>ROUND(SUMIF('8.0'!$D:$D,T_BS!D128,'8.0'!$H:$H),0)</f>
        <v>0</v>
      </c>
      <c r="V128" s="510">
        <f t="shared" si="38"/>
        <v>0</v>
      </c>
      <c r="X128" s="1647">
        <f t="shared" si="39"/>
        <v>-251255666</v>
      </c>
      <c r="Z128" s="1622">
        <f t="shared" si="40"/>
        <v>-20205618</v>
      </c>
      <c r="AB128" s="1622">
        <v>-249144976</v>
      </c>
      <c r="AC128" s="1622">
        <v>-247034286</v>
      </c>
      <c r="AD128" s="1622">
        <v>-244982502</v>
      </c>
      <c r="AE128" s="1622">
        <v>-242930718</v>
      </c>
      <c r="AF128" s="1622">
        <v>-236899850</v>
      </c>
      <c r="AG128" s="1622">
        <v>-231050048</v>
      </c>
      <c r="AH128" s="1622">
        <v>-245616385</v>
      </c>
      <c r="AI128" s="1622">
        <v>-243454378</v>
      </c>
      <c r="AJ128" s="1622">
        <v>-236948516</v>
      </c>
      <c r="AK128" s="1622">
        <v>-230981721</v>
      </c>
      <c r="AL128" s="1622">
        <v>-225883068</v>
      </c>
      <c r="AN128" s="498"/>
    </row>
    <row r="129" spans="1:40" ht="18" customHeight="1">
      <c r="A129" s="498"/>
      <c r="D129" s="1598" t="s">
        <v>121</v>
      </c>
      <c r="E129" s="1364" t="s">
        <v>6</v>
      </c>
      <c r="F129" s="1366">
        <v>2501</v>
      </c>
      <c r="G129" s="1364" t="s">
        <v>122</v>
      </c>
      <c r="H129" s="498">
        <v>-10798432</v>
      </c>
      <c r="I129" s="498">
        <v>0</v>
      </c>
      <c r="J129" s="710">
        <v>0</v>
      </c>
      <c r="K129" s="710">
        <v>0</v>
      </c>
      <c r="L129" s="510">
        <f t="shared" si="37"/>
        <v>-10798432</v>
      </c>
      <c r="N129" s="1673">
        <f>SUMIF('1.0'!$D:$D,T_BS!D129,'1.0'!$V:$V)</f>
        <v>0</v>
      </c>
      <c r="O129" s="710">
        <f>SUMIF('2.0'!$D:$D,T_BS!D129,'2.0'!$V:$V)</f>
        <v>0</v>
      </c>
      <c r="P129" s="509">
        <f>ROUND(SUMIF('3.0'!$D:$D,T_BS!D129,'3.0'!$H:$H),0)</f>
        <v>0</v>
      </c>
      <c r="Q129" s="720">
        <f>ROUND(SUMIF('4.0'!$D:$D,T_BS!D129,'4.0'!$V:$V),0)</f>
        <v>0</v>
      </c>
      <c r="R129" s="509">
        <f>ROUND(SUMIF('5.0'!$D:$D,T_BS!D129,'5.0'!$V:$V),0)</f>
        <v>0</v>
      </c>
      <c r="S129" s="720">
        <f>ROUND(SUMIF('6.0'!$D:$D,T_BS!D129,'6.0'!$V:$V),0)</f>
        <v>0</v>
      </c>
      <c r="T129" s="720">
        <f>ROUND(SUMIF('7.0'!$D:$D,T_BS!D129,'7.0'!$V:$V),0)</f>
        <v>0</v>
      </c>
      <c r="U129" s="720">
        <f>ROUND(SUMIF('8.0'!$D:$D,T_BS!D129,'8.0'!$H:$H),0)</f>
        <v>0</v>
      </c>
      <c r="V129" s="510">
        <f t="shared" si="38"/>
        <v>0</v>
      </c>
      <c r="X129" s="1647">
        <f t="shared" si="39"/>
        <v>-10798432</v>
      </c>
      <c r="Z129" s="1622">
        <f t="shared" si="40"/>
        <v>0</v>
      </c>
      <c r="AB129" s="1622">
        <v>-10798432</v>
      </c>
      <c r="AC129" s="1622">
        <v>-10798432</v>
      </c>
      <c r="AD129" s="1622">
        <v>-10798432</v>
      </c>
      <c r="AE129" s="1622">
        <v>-10798432</v>
      </c>
      <c r="AF129" s="1622">
        <v>-10798432</v>
      </c>
      <c r="AG129" s="1622">
        <v>-10798432</v>
      </c>
      <c r="AH129" s="1622">
        <v>-10798432</v>
      </c>
      <c r="AI129" s="1622">
        <v>-10798432</v>
      </c>
      <c r="AJ129" s="1622">
        <v>-10798432</v>
      </c>
      <c r="AK129" s="1622">
        <v>-10798432</v>
      </c>
      <c r="AL129" s="1622">
        <v>-10798432</v>
      </c>
      <c r="AN129" s="498"/>
    </row>
    <row r="130" spans="1:40" ht="18" customHeight="1">
      <c r="A130" s="498"/>
      <c r="D130" s="1598">
        <v>125900</v>
      </c>
      <c r="E130" s="1364" t="s">
        <v>6</v>
      </c>
      <c r="F130" s="1366">
        <v>2505</v>
      </c>
      <c r="G130" s="1364" t="s">
        <v>123</v>
      </c>
      <c r="H130" s="498">
        <v>13594929693</v>
      </c>
      <c r="I130" s="498">
        <v>8983636</v>
      </c>
      <c r="J130" s="710">
        <v>0</v>
      </c>
      <c r="K130" s="710">
        <v>71890293</v>
      </c>
      <c r="L130" s="510">
        <f t="shared" si="37"/>
        <v>13675803622</v>
      </c>
      <c r="N130" s="1673">
        <f>SUMIF('1.0'!$D:$D,T_BS!D130,'1.0'!$V:$V)</f>
        <v>0</v>
      </c>
      <c r="O130" s="710">
        <f>SUMIF('2.0'!$D:$D,T_BS!D130,'2.0'!$V:$V)</f>
        <v>0</v>
      </c>
      <c r="P130" s="509">
        <f>ROUND(SUMIF('3.0'!$D:$D,T_BS!D130,'3.0'!$H:$H),0)</f>
        <v>0</v>
      </c>
      <c r="Q130" s="720">
        <f>ROUND(SUMIF('4.0'!$D:$D,T_BS!D130,'4.0'!$V:$V),0)</f>
        <v>0</v>
      </c>
      <c r="R130" s="509">
        <f>ROUND(SUMIF('5.0'!$D:$D,T_BS!D130,'5.0'!$V:$V),0)</f>
        <v>0</v>
      </c>
      <c r="S130" s="720">
        <f>ROUND(SUMIF('6.0'!$D:$D,T_BS!D130,'6.0'!$V:$V),0)</f>
        <v>0</v>
      </c>
      <c r="T130" s="720">
        <f>ROUND(SUMIF('7.0'!$D:$D,T_BS!D130,'7.0'!$V:$V),0)</f>
        <v>0</v>
      </c>
      <c r="U130" s="720">
        <f>ROUND(SUMIF('8.0'!$D:$D,T_BS!D130,'8.0'!$H:$H),0)</f>
        <v>0</v>
      </c>
      <c r="V130" s="510">
        <f t="shared" si="38"/>
        <v>0</v>
      </c>
      <c r="X130" s="1647">
        <f t="shared" si="39"/>
        <v>13675803622</v>
      </c>
      <c r="Z130" s="1622">
        <f t="shared" si="40"/>
        <v>117259178</v>
      </c>
      <c r="AB130" s="1622">
        <v>13678201486</v>
      </c>
      <c r="AC130" s="1622">
        <v>13651511164</v>
      </c>
      <c r="AD130" s="1622">
        <v>13651502189</v>
      </c>
      <c r="AE130" s="1622">
        <v>13649701173</v>
      </c>
      <c r="AF130" s="1622">
        <v>13557903342</v>
      </c>
      <c r="AG130" s="1622">
        <v>13558544444</v>
      </c>
      <c r="AH130" s="1622">
        <v>13200099902</v>
      </c>
      <c r="AI130" s="1622">
        <v>13202084160</v>
      </c>
      <c r="AJ130" s="1622">
        <v>13197487124</v>
      </c>
      <c r="AK130" s="1622">
        <v>13078176796</v>
      </c>
      <c r="AL130" s="1622">
        <v>13080190972</v>
      </c>
      <c r="AN130" s="498"/>
    </row>
    <row r="131" spans="1:40" ht="18" customHeight="1">
      <c r="A131" s="498"/>
      <c r="D131" s="1598" t="s">
        <v>126</v>
      </c>
      <c r="E131" s="1364" t="s">
        <v>6</v>
      </c>
      <c r="F131" s="1366">
        <v>2505</v>
      </c>
      <c r="G131" s="1364" t="s">
        <v>127</v>
      </c>
      <c r="H131" s="498">
        <v>-6410700978</v>
      </c>
      <c r="I131" s="498">
        <v>-1736664</v>
      </c>
      <c r="J131" s="710">
        <v>0</v>
      </c>
      <c r="K131" s="710">
        <v>-53390740</v>
      </c>
      <c r="L131" s="510">
        <f t="shared" si="37"/>
        <v>-6465828382</v>
      </c>
      <c r="N131" s="1673">
        <f>SUMIF('1.0'!$D:$D,T_BS!D131,'1.0'!$V:$V)</f>
        <v>0</v>
      </c>
      <c r="O131" s="710">
        <f>SUMIF('2.0'!$D:$D,T_BS!D131,'2.0'!$V:$V)</f>
        <v>0</v>
      </c>
      <c r="P131" s="509">
        <f>ROUND(SUMIF('3.0'!$D:$D,T_BS!D131,'3.0'!$H:$H),0)</f>
        <v>0</v>
      </c>
      <c r="Q131" s="720">
        <f>ROUND(SUMIF('4.0'!$D:$D,T_BS!D131,'4.0'!$V:$V),0)</f>
        <v>0</v>
      </c>
      <c r="R131" s="509">
        <f>ROUND(SUMIF('5.0'!$D:$D,T_BS!D131,'5.0'!$V:$V),0)</f>
        <v>0</v>
      </c>
      <c r="S131" s="720">
        <f>ROUND(SUMIF('6.0'!$D:$D,T_BS!D131,'6.0'!$V:$V),0)</f>
        <v>0</v>
      </c>
      <c r="T131" s="720">
        <f>ROUND(SUMIF('7.0'!$D:$D,T_BS!D131,'7.0'!$V:$V),0)</f>
        <v>0</v>
      </c>
      <c r="U131" s="720">
        <f>ROUND(SUMIF('8.0'!$D:$D,T_BS!D131,'8.0'!$H:$H),0)</f>
        <v>0</v>
      </c>
      <c r="V131" s="510">
        <f t="shared" si="38"/>
        <v>0</v>
      </c>
      <c r="X131" s="1647">
        <f t="shared" si="39"/>
        <v>-6465828382</v>
      </c>
      <c r="Z131" s="1622">
        <f t="shared" si="40"/>
        <v>-931946016</v>
      </c>
      <c r="AB131" s="1622">
        <v>-6379241748</v>
      </c>
      <c r="AC131" s="1622">
        <v>-6289675285</v>
      </c>
      <c r="AD131" s="1622">
        <v>-6201746449</v>
      </c>
      <c r="AE131" s="1622">
        <v>-6112606490</v>
      </c>
      <c r="AF131" s="1622">
        <v>-5825295628</v>
      </c>
      <c r="AG131" s="1622">
        <v>-5533882366</v>
      </c>
      <c r="AH131" s="1622">
        <v>-5340753091</v>
      </c>
      <c r="AI131" s="1622">
        <v>-5248325855</v>
      </c>
      <c r="AJ131" s="1622">
        <v>-4966593302</v>
      </c>
      <c r="AK131" s="1622">
        <v>-4686673394</v>
      </c>
      <c r="AL131" s="1622">
        <v>-4412863242</v>
      </c>
      <c r="AN131" s="498"/>
    </row>
    <row r="132" spans="1:40" ht="18" customHeight="1">
      <c r="A132" s="498"/>
      <c r="D132" s="1598" t="s">
        <v>124</v>
      </c>
      <c r="E132" s="1364" t="s">
        <v>6</v>
      </c>
      <c r="F132" s="1677">
        <v>2505</v>
      </c>
      <c r="G132" s="1364" t="s">
        <v>125</v>
      </c>
      <c r="H132" s="498">
        <v>-5171408152</v>
      </c>
      <c r="I132" s="498">
        <v>0</v>
      </c>
      <c r="J132" s="710">
        <v>0</v>
      </c>
      <c r="K132" s="710">
        <v>0</v>
      </c>
      <c r="L132" s="510">
        <f t="shared" si="37"/>
        <v>-5171408152</v>
      </c>
      <c r="N132" s="1673">
        <f>SUMIF('1.0'!$D:$D,T_BS!D132,'1.0'!$V:$V)</f>
        <v>0</v>
      </c>
      <c r="O132" s="710">
        <f>SUMIF('2.0'!$D:$D,T_BS!D132,'2.0'!$V:$V)</f>
        <v>0</v>
      </c>
      <c r="P132" s="509">
        <f>ROUND(SUMIF('3.0'!$D:$D,T_BS!D132,'3.0'!$H:$H),0)</f>
        <v>0</v>
      </c>
      <c r="Q132" s="720">
        <f>ROUND(SUMIF('4.0'!$D:$D,T_BS!D132,'4.0'!$V:$V),0)</f>
        <v>0</v>
      </c>
      <c r="R132" s="509">
        <f>ROUND(SUMIF('5.0'!$D:$D,T_BS!D132,'5.0'!$V:$V),0)</f>
        <v>0</v>
      </c>
      <c r="S132" s="720">
        <f>ROUND(SUMIF('6.0'!$D:$D,T_BS!D132,'6.0'!$V:$V),0)</f>
        <v>0</v>
      </c>
      <c r="T132" s="720">
        <f>ROUND(SUMIF('7.0'!$D:$D,T_BS!D132,'7.0'!$V:$V),0)</f>
        <v>0</v>
      </c>
      <c r="U132" s="720">
        <f>ROUND(SUMIF('8.0'!$D:$D,T_BS!D132,'8.0'!$H:$H),0)</f>
        <v>0</v>
      </c>
      <c r="V132" s="510">
        <f t="shared" si="38"/>
        <v>0</v>
      </c>
      <c r="X132" s="1647">
        <f t="shared" si="39"/>
        <v>-5171408152</v>
      </c>
      <c r="Z132" s="1622">
        <f t="shared" si="40"/>
        <v>18633334</v>
      </c>
      <c r="AB132" s="1622">
        <v>-5171408152</v>
      </c>
      <c r="AC132" s="1622">
        <v>-5171408152</v>
      </c>
      <c r="AD132" s="1622">
        <v>-5171408152</v>
      </c>
      <c r="AE132" s="1622">
        <v>-5171408152</v>
      </c>
      <c r="AF132" s="1622">
        <v>-5190041486</v>
      </c>
      <c r="AG132" s="1622">
        <v>-5190041486</v>
      </c>
      <c r="AH132" s="1622">
        <v>-5190041486</v>
      </c>
      <c r="AI132" s="1622">
        <v>-5190041486</v>
      </c>
      <c r="AJ132" s="1622">
        <v>-5190041486</v>
      </c>
      <c r="AK132" s="1622">
        <v>-5190041486</v>
      </c>
      <c r="AL132" s="1622">
        <v>-5190041486</v>
      </c>
      <c r="AN132" s="498"/>
    </row>
    <row r="133" spans="1:40" ht="18" customHeight="1">
      <c r="A133" s="498"/>
      <c r="D133" s="1598">
        <v>121711</v>
      </c>
      <c r="E133" s="1364" t="s">
        <v>6</v>
      </c>
      <c r="F133" s="1677">
        <v>2509</v>
      </c>
      <c r="G133" s="1364" t="s">
        <v>1885</v>
      </c>
      <c r="H133" s="498">
        <v>462235490</v>
      </c>
      <c r="I133" s="498">
        <v>0</v>
      </c>
      <c r="J133" s="710">
        <v>0</v>
      </c>
      <c r="K133" s="710">
        <v>0</v>
      </c>
      <c r="L133" s="510">
        <f t="shared" si="37"/>
        <v>462235490</v>
      </c>
      <c r="N133" s="1673">
        <f>SUMIF('1.0'!$D:$D,T_BS!D133,'1.0'!$V:$V)</f>
        <v>0</v>
      </c>
      <c r="O133" s="710">
        <f>SUMIF('2.0'!$D:$D,T_BS!D133,'2.0'!$V:$V)</f>
        <v>0</v>
      </c>
      <c r="P133" s="509">
        <f>ROUND(SUMIF('3.0'!$D:$D,T_BS!D133,'3.0'!$H:$H),0)</f>
        <v>0</v>
      </c>
      <c r="Q133" s="720">
        <f>ROUND(SUMIF('4.0'!$D:$D,T_BS!D133,'4.0'!$V:$V),0)</f>
        <v>0</v>
      </c>
      <c r="R133" s="509">
        <f>ROUND(SUMIF('5.0'!$D:$D,T_BS!D133,'5.0'!$V:$V),0)</f>
        <v>0</v>
      </c>
      <c r="S133" s="720">
        <f>ROUND(SUMIF('6.0'!$D:$D,T_BS!D133,'6.0'!$V:$V),0)</f>
        <v>0</v>
      </c>
      <c r="T133" s="720">
        <f>ROUND(SUMIF('7.0'!$D:$D,T_BS!D133,'7.0'!$V:$V),0)</f>
        <v>0</v>
      </c>
      <c r="U133" s="720">
        <f>ROUND(SUMIF('8.0'!$D:$D,T_BS!D133,'8.0'!$H:$H),0)</f>
        <v>0</v>
      </c>
      <c r="V133" s="510">
        <f t="shared" si="38"/>
        <v>0</v>
      </c>
      <c r="X133" s="1647">
        <f t="shared" si="39"/>
        <v>462235490</v>
      </c>
      <c r="Z133" s="1622">
        <f t="shared" si="40"/>
        <v>0</v>
      </c>
      <c r="AB133" s="1622">
        <v>462235490</v>
      </c>
      <c r="AC133" s="1622">
        <v>462235490</v>
      </c>
      <c r="AD133" s="1622">
        <v>462235490</v>
      </c>
      <c r="AE133" s="1622">
        <v>462235490</v>
      </c>
      <c r="AF133" s="1622">
        <v>462235490</v>
      </c>
      <c r="AG133" s="1622">
        <v>462235490</v>
      </c>
      <c r="AH133" s="1622">
        <v>462235490</v>
      </c>
      <c r="AI133" s="1622">
        <v>462235490</v>
      </c>
      <c r="AJ133" s="1622">
        <v>462235490</v>
      </c>
      <c r="AK133" s="1622">
        <v>462235490</v>
      </c>
      <c r="AL133" s="1622">
        <v>462235490</v>
      </c>
      <c r="AN133" s="498"/>
    </row>
    <row r="134" spans="1:40" ht="18" customHeight="1">
      <c r="A134" s="498"/>
      <c r="D134" s="1598" t="s">
        <v>128</v>
      </c>
      <c r="E134" s="1364" t="s">
        <v>6</v>
      </c>
      <c r="F134" s="1677">
        <v>2508</v>
      </c>
      <c r="G134" s="1364" t="s">
        <v>129</v>
      </c>
      <c r="H134" s="498">
        <v>17757739327</v>
      </c>
      <c r="I134" s="498">
        <v>0</v>
      </c>
      <c r="J134" s="710">
        <v>0</v>
      </c>
      <c r="K134" s="710">
        <v>0</v>
      </c>
      <c r="L134" s="510">
        <f t="shared" si="37"/>
        <v>17757739327</v>
      </c>
      <c r="N134" s="1673">
        <f>SUMIF('1.0'!$D:$D,T_BS!D134,'1.0'!$V:$V)</f>
        <v>19842800</v>
      </c>
      <c r="O134" s="710">
        <f>SUMIF('2.0'!$D:$D,T_BS!D134,'2.0'!$V:$V)</f>
        <v>0</v>
      </c>
      <c r="P134" s="509">
        <f>ROUND(SUMIF('3.0'!$D:$D,T_BS!D134,'3.0'!$H:$H),0)</f>
        <v>0</v>
      </c>
      <c r="Q134" s="720">
        <f>ROUND(SUMIF('4.0'!$D:$D,T_BS!D134,'4.0'!$V:$V),0)</f>
        <v>0</v>
      </c>
      <c r="R134" s="509">
        <f>ROUND(SUMIF('5.0'!$D:$D,T_BS!D134,'5.0'!$V:$V),0)</f>
        <v>20732427299</v>
      </c>
      <c r="S134" s="720">
        <f>ROUND(SUMIF('6.0'!$D:$D,T_BS!D134,'6.0'!$V:$V),0)</f>
        <v>0</v>
      </c>
      <c r="T134" s="720">
        <f>ROUND(SUMIF('7.0'!$D:$D,T_BS!D134,'7.0'!$V:$V),0)</f>
        <v>0</v>
      </c>
      <c r="U134" s="710">
        <f>ROUND(SUMIF('8.0'!$D:$D,T_BS!D134,'8.0'!$H:$H),0)</f>
        <v>1464530117</v>
      </c>
      <c r="V134" s="510">
        <f t="shared" si="38"/>
        <v>22216800216</v>
      </c>
      <c r="W134" s="575"/>
      <c r="X134" s="1647">
        <f t="shared" si="39"/>
        <v>39974539543</v>
      </c>
      <c r="Y134" s="575"/>
      <c r="Z134" s="1622">
        <f t="shared" si="40"/>
        <v>-1468033503</v>
      </c>
      <c r="AA134" s="575"/>
      <c r="AB134" s="1622">
        <v>40656149305</v>
      </c>
      <c r="AC134" s="1622">
        <v>40175663322</v>
      </c>
      <c r="AD134" s="1622">
        <v>40173112069</v>
      </c>
      <c r="AE134" s="1622">
        <v>39661160631</v>
      </c>
      <c r="AF134" s="1622">
        <v>40645306480</v>
      </c>
      <c r="AG134" s="1622">
        <v>41442573046</v>
      </c>
      <c r="AH134" s="1622">
        <v>41472550268</v>
      </c>
      <c r="AI134" s="1622">
        <v>42036589788</v>
      </c>
      <c r="AJ134" s="1622">
        <v>41269938259</v>
      </c>
      <c r="AK134" s="1622">
        <v>39916175043</v>
      </c>
      <c r="AL134" s="1622">
        <v>40488718739</v>
      </c>
      <c r="AN134" s="498"/>
    </row>
    <row r="135" spans="1:40" ht="18" customHeight="1">
      <c r="A135" s="498"/>
      <c r="D135" s="1598" t="s">
        <v>130</v>
      </c>
      <c r="E135" s="1364" t="s">
        <v>6</v>
      </c>
      <c r="F135" s="1677">
        <v>2508</v>
      </c>
      <c r="G135" s="1364" t="s">
        <v>131</v>
      </c>
      <c r="H135" s="498">
        <v>-13660746110</v>
      </c>
      <c r="I135" s="498">
        <v>0</v>
      </c>
      <c r="J135" s="710">
        <v>0</v>
      </c>
      <c r="K135" s="710">
        <v>0</v>
      </c>
      <c r="L135" s="510">
        <f t="shared" si="37"/>
        <v>-13660746110</v>
      </c>
      <c r="N135" s="1673">
        <f>SUMIF('1.0'!$D:$D,T_BS!D135,'1.0'!$V:$V)</f>
        <v>0</v>
      </c>
      <c r="O135" s="710">
        <f>SUMIF('2.0'!$D:$D,T_BS!D135,'2.0'!$V:$V)</f>
        <v>0</v>
      </c>
      <c r="P135" s="509">
        <f>ROUND(SUMIF('3.0'!$D:$D,T_BS!D135,'3.0'!$H:$H),0)</f>
        <v>0</v>
      </c>
      <c r="Q135" s="720">
        <f>ROUND(SUMIF('4.0'!$D:$D,T_BS!D135,'4.0'!$V:$V),0)</f>
        <v>0</v>
      </c>
      <c r="R135" s="509">
        <f>ROUND(SUMIF('5.0'!$D:$D,T_BS!D135,'5.0'!$V:$V),0)</f>
        <v>-18910177712</v>
      </c>
      <c r="S135" s="720">
        <f>ROUND(SUMIF('6.0'!$D:$D,T_BS!D135,'6.0'!$V:$V),0)</f>
        <v>0</v>
      </c>
      <c r="T135" s="720">
        <f>ROUND(SUMIF('7.0'!$D:$D,T_BS!D135,'7.0'!$V:$V),0)</f>
        <v>0</v>
      </c>
      <c r="U135" s="720">
        <f>ROUND(SUMIF('8.0'!$D:$D,T_BS!D135,'8.0'!$H:$H),0)</f>
        <v>0</v>
      </c>
      <c r="V135" s="510">
        <f t="shared" si="38"/>
        <v>-18910177712</v>
      </c>
      <c r="X135" s="1647">
        <f t="shared" si="39"/>
        <v>-32570923822</v>
      </c>
      <c r="Z135" s="1622">
        <f t="shared" si="40"/>
        <v>1337126675</v>
      </c>
      <c r="AB135" s="1622">
        <v>-33191753383</v>
      </c>
      <c r="AC135" s="1622">
        <v>-32754113081</v>
      </c>
      <c r="AD135" s="1622">
        <v>-32751789328</v>
      </c>
      <c r="AE135" s="1622">
        <v>-32285489395</v>
      </c>
      <c r="AF135" s="1622">
        <v>-33181877430</v>
      </c>
      <c r="AG135" s="1622">
        <v>-33908050497</v>
      </c>
      <c r="AH135" s="1622">
        <v>-33935354604</v>
      </c>
      <c r="AI135" s="1622">
        <v>-34449097844</v>
      </c>
      <c r="AJ135" s="1622">
        <v>-33750809822</v>
      </c>
      <c r="AK135" s="1622">
        <v>-33851699467</v>
      </c>
      <c r="AL135" s="1622">
        <v>-34373188553</v>
      </c>
      <c r="AN135" s="498"/>
    </row>
    <row r="136" spans="1:40" ht="18" customHeight="1">
      <c r="A136" s="498"/>
      <c r="D136" s="1598">
        <v>125950</v>
      </c>
      <c r="E136" s="1364" t="s">
        <v>6</v>
      </c>
      <c r="F136" s="1366">
        <v>2507</v>
      </c>
      <c r="G136" s="1364" t="s">
        <v>132</v>
      </c>
      <c r="H136" s="498">
        <v>15600000000</v>
      </c>
      <c r="I136" s="498">
        <v>0</v>
      </c>
      <c r="J136" s="710">
        <v>0</v>
      </c>
      <c r="K136" s="710">
        <v>0</v>
      </c>
      <c r="L136" s="510">
        <f t="shared" si="37"/>
        <v>15600000000</v>
      </c>
      <c r="N136" s="1673">
        <f>SUMIF('1.0'!$D:$D,T_BS!D136,'1.0'!$V:$V)</f>
        <v>0</v>
      </c>
      <c r="O136" s="710">
        <f>SUMIF('2.0'!$D:$D,T_BS!D136,'2.0'!$V:$V)</f>
        <v>0</v>
      </c>
      <c r="P136" s="509">
        <f>ROUND(SUMIF('3.0'!$D:$D,T_BS!D136,'3.0'!$H:$H),0)</f>
        <v>0</v>
      </c>
      <c r="Q136" s="720">
        <f>ROUND(SUMIF('4.0'!$D:$D,T_BS!D136,'4.0'!$V:$V),0)</f>
        <v>0</v>
      </c>
      <c r="R136" s="509">
        <f>ROUND(SUMIF('5.0'!$D:$D,T_BS!D136,'5.0'!$V:$V),0)</f>
        <v>0</v>
      </c>
      <c r="S136" s="720">
        <f>ROUND(SUMIF('6.0'!$D:$D,T_BS!D136,'6.0'!$V:$V),0)</f>
        <v>0</v>
      </c>
      <c r="T136" s="720">
        <f>ROUND(SUMIF('7.0'!$D:$D,T_BS!D136,'7.0'!$V:$V),0)</f>
        <v>0</v>
      </c>
      <c r="U136" s="720">
        <f>ROUND(SUMIF('8.0'!$D:$D,T_BS!D136,'8.0'!$H:$H),0)</f>
        <v>0</v>
      </c>
      <c r="V136" s="510">
        <f t="shared" si="38"/>
        <v>0</v>
      </c>
      <c r="X136" s="1647">
        <f t="shared" si="39"/>
        <v>15600000000</v>
      </c>
      <c r="Z136" s="1622">
        <f t="shared" si="40"/>
        <v>0</v>
      </c>
      <c r="AB136" s="1622">
        <v>15600000000</v>
      </c>
      <c r="AC136" s="1622">
        <v>15600000000</v>
      </c>
      <c r="AD136" s="1622">
        <v>15600000000</v>
      </c>
      <c r="AE136" s="1622">
        <v>15600000000</v>
      </c>
      <c r="AF136" s="1622">
        <v>15600000000</v>
      </c>
      <c r="AG136" s="1622">
        <v>15600000000</v>
      </c>
      <c r="AH136" s="1622">
        <v>15600000000</v>
      </c>
      <c r="AI136" s="1622">
        <v>15600000000</v>
      </c>
      <c r="AJ136" s="1622">
        <v>15600000000</v>
      </c>
      <c r="AK136" s="1622">
        <v>15600000000</v>
      </c>
      <c r="AL136" s="1622">
        <v>15600000000</v>
      </c>
      <c r="AN136" s="498"/>
    </row>
    <row r="137" spans="1:40" ht="18" customHeight="1">
      <c r="A137" s="498"/>
      <c r="D137" s="1598">
        <v>125960</v>
      </c>
      <c r="E137" s="1364" t="s">
        <v>6</v>
      </c>
      <c r="F137" s="1366">
        <v>2507</v>
      </c>
      <c r="G137" s="1364" t="s">
        <v>133</v>
      </c>
      <c r="H137" s="498">
        <v>-15237298000</v>
      </c>
      <c r="I137" s="498">
        <v>0</v>
      </c>
      <c r="J137" s="710">
        <v>0</v>
      </c>
      <c r="K137" s="710">
        <v>0</v>
      </c>
      <c r="L137" s="510">
        <f t="shared" si="37"/>
        <v>-15237298000</v>
      </c>
      <c r="N137" s="1673">
        <f>SUMIF('1.0'!$D:$D,T_BS!D137,'1.0'!$V:$V)</f>
        <v>0</v>
      </c>
      <c r="O137" s="710">
        <f>SUMIF('2.0'!$D:$D,T_BS!D137,'2.0'!$V:$V)</f>
        <v>0</v>
      </c>
      <c r="P137" s="509">
        <f>ROUND(SUMIF('3.0'!$D:$D,T_BS!D137,'3.0'!$H:$H),0)</f>
        <v>0</v>
      </c>
      <c r="Q137" s="720">
        <f>ROUND(SUMIF('4.0'!$D:$D,T_BS!D137,'4.0'!$V:$V),0)</f>
        <v>0</v>
      </c>
      <c r="R137" s="509">
        <f>ROUND(SUMIF('5.0'!$D:$D,T_BS!D137,'5.0'!$V:$V),0)</f>
        <v>0</v>
      </c>
      <c r="S137" s="720">
        <f>ROUND(SUMIF('6.0'!$D:$D,T_BS!D137,'6.0'!$V:$V),0)</f>
        <v>0</v>
      </c>
      <c r="T137" s="720">
        <f>ROUND(SUMIF('7.0'!$D:$D,T_BS!D137,'7.0'!$V:$V),0)</f>
        <v>0</v>
      </c>
      <c r="U137" s="720">
        <f>ROUND(SUMIF('8.0'!$D:$D,T_BS!D137,'8.0'!$H:$H),0)</f>
        <v>0</v>
      </c>
      <c r="V137" s="510">
        <f t="shared" si="38"/>
        <v>0</v>
      </c>
      <c r="X137" s="1647">
        <f t="shared" si="39"/>
        <v>-15237298000</v>
      </c>
      <c r="Z137" s="1622">
        <f t="shared" si="40"/>
        <v>-1209000000</v>
      </c>
      <c r="AB137" s="1622">
        <v>-15116398000</v>
      </c>
      <c r="AC137" s="1622">
        <v>-14995498000</v>
      </c>
      <c r="AD137" s="1622">
        <v>-14874598000</v>
      </c>
      <c r="AE137" s="1622">
        <v>-14753698000</v>
      </c>
      <c r="AF137" s="1622">
        <v>-14390998000</v>
      </c>
      <c r="AG137" s="1622">
        <v>-14028298000</v>
      </c>
      <c r="AH137" s="1622">
        <v>-13786498000</v>
      </c>
      <c r="AI137" s="1622">
        <v>-13665598000</v>
      </c>
      <c r="AJ137" s="1622">
        <v>-13302898000</v>
      </c>
      <c r="AK137" s="1622">
        <v>-12940198000</v>
      </c>
      <c r="AL137" s="1622">
        <v>-12428887888</v>
      </c>
      <c r="AN137" s="498"/>
    </row>
    <row r="138" spans="1:40" ht="18" customHeight="1">
      <c r="A138" s="498"/>
      <c r="D138" s="1598">
        <v>125970</v>
      </c>
      <c r="E138" s="1364" t="s">
        <v>6</v>
      </c>
      <c r="F138" s="1366">
        <v>2507</v>
      </c>
      <c r="G138" s="1364" t="s">
        <v>134</v>
      </c>
      <c r="H138" s="498">
        <v>2505000000</v>
      </c>
      <c r="I138" s="498">
        <v>0</v>
      </c>
      <c r="J138" s="710">
        <v>0</v>
      </c>
      <c r="K138" s="710">
        <v>0</v>
      </c>
      <c r="L138" s="510">
        <f t="shared" si="37"/>
        <v>2505000000</v>
      </c>
      <c r="N138" s="1673">
        <f>SUMIF('1.0'!$D:$D,T_BS!D138,'1.0'!$V:$V)</f>
        <v>0</v>
      </c>
      <c r="O138" s="710">
        <f>SUMIF('2.0'!$D:$D,T_BS!D138,'2.0'!$V:$V)</f>
        <v>0</v>
      </c>
      <c r="P138" s="509">
        <f>ROUND(SUMIF('3.0'!$D:$D,T_BS!D138,'3.0'!$H:$H),0)</f>
        <v>0</v>
      </c>
      <c r="Q138" s="720">
        <f>ROUND(SUMIF('4.0'!$D:$D,T_BS!D138,'4.0'!$V:$V),0)</f>
        <v>0</v>
      </c>
      <c r="R138" s="509">
        <f>ROUND(SUMIF('5.0'!$D:$D,T_BS!D138,'5.0'!$V:$V),0)</f>
        <v>0</v>
      </c>
      <c r="S138" s="720">
        <f>ROUND(SUMIF('6.0'!$D:$D,T_BS!D138,'6.0'!$V:$V),0)</f>
        <v>0</v>
      </c>
      <c r="T138" s="720">
        <f>ROUND(SUMIF('7.0'!$D:$D,T_BS!D138,'7.0'!$V:$V),0)</f>
        <v>0</v>
      </c>
      <c r="U138" s="720">
        <f>ROUND(SUMIF('8.0'!$D:$D,T_BS!D138,'8.0'!$H:$H),0)</f>
        <v>0</v>
      </c>
      <c r="V138" s="510">
        <f t="shared" si="38"/>
        <v>0</v>
      </c>
      <c r="X138" s="1647">
        <f t="shared" si="39"/>
        <v>2505000000</v>
      </c>
      <c r="Z138" s="1622">
        <f t="shared" si="40"/>
        <v>0</v>
      </c>
      <c r="AB138" s="1622">
        <v>2505000000</v>
      </c>
      <c r="AC138" s="1622">
        <v>2505000000</v>
      </c>
      <c r="AD138" s="1622">
        <v>2505000000</v>
      </c>
      <c r="AE138" s="1622">
        <v>2505000000</v>
      </c>
      <c r="AF138" s="1622">
        <v>2505000000</v>
      </c>
      <c r="AG138" s="1622">
        <v>2505000000</v>
      </c>
      <c r="AH138" s="1622">
        <v>2505000000</v>
      </c>
      <c r="AI138" s="1622">
        <v>2505000000</v>
      </c>
      <c r="AJ138" s="1622">
        <v>2505000000</v>
      </c>
      <c r="AK138" s="1622">
        <v>2500000000</v>
      </c>
      <c r="AL138" s="1622">
        <v>2500000000</v>
      </c>
      <c r="AN138" s="498"/>
    </row>
    <row r="139" spans="1:40" ht="18" customHeight="1">
      <c r="A139" s="498"/>
      <c r="D139" s="1598">
        <v>125980</v>
      </c>
      <c r="E139" s="1364" t="s">
        <v>6</v>
      </c>
      <c r="F139" s="1366">
        <v>2507</v>
      </c>
      <c r="G139" s="1364" t="s">
        <v>135</v>
      </c>
      <c r="H139" s="498">
        <v>-1751874986</v>
      </c>
      <c r="I139" s="498">
        <v>0</v>
      </c>
      <c r="J139" s="710">
        <v>0</v>
      </c>
      <c r="K139" s="710">
        <v>0</v>
      </c>
      <c r="L139" s="510">
        <f t="shared" si="37"/>
        <v>-1751874986</v>
      </c>
      <c r="N139" s="1673">
        <f>SUMIF('1.0'!$D:$D,T_BS!D139,'1.0'!$V:$V)</f>
        <v>0</v>
      </c>
      <c r="O139" s="710">
        <f>SUMIF('2.0'!$D:$D,T_BS!D139,'2.0'!$V:$V)</f>
        <v>0</v>
      </c>
      <c r="P139" s="509">
        <f>ROUND(SUMIF('3.0'!$D:$D,T_BS!D139,'3.0'!$H:$H),0)</f>
        <v>0</v>
      </c>
      <c r="Q139" s="720">
        <f>ROUND(SUMIF('4.0'!$D:$D,T_BS!D139,'4.0'!$V:$V),0)</f>
        <v>0</v>
      </c>
      <c r="R139" s="509">
        <f>ROUND(SUMIF('5.0'!$D:$D,T_BS!D139,'5.0'!$V:$V),0)</f>
        <v>0</v>
      </c>
      <c r="S139" s="720">
        <f>ROUND(SUMIF('6.0'!$D:$D,T_BS!D139,'6.0'!$V:$V),0)</f>
        <v>0</v>
      </c>
      <c r="T139" s="720">
        <f>ROUND(SUMIF('7.0'!$D:$D,T_BS!D139,'7.0'!$V:$V),0)</f>
        <v>0</v>
      </c>
      <c r="U139" s="720">
        <f>ROUND(SUMIF('8.0'!$D:$D,T_BS!D139,'8.0'!$H:$H),0)</f>
        <v>0</v>
      </c>
      <c r="V139" s="510">
        <f t="shared" si="38"/>
        <v>0</v>
      </c>
      <c r="X139" s="1647">
        <f t="shared" si="39"/>
        <v>-1751874986</v>
      </c>
      <c r="Z139" s="1622">
        <f t="shared" si="40"/>
        <v>-417708320</v>
      </c>
      <c r="AB139" s="1622">
        <v>-1710104154</v>
      </c>
      <c r="AC139" s="1622">
        <v>-1668333322</v>
      </c>
      <c r="AD139" s="1622">
        <v>-1626562490</v>
      </c>
      <c r="AE139" s="1622">
        <v>-1584791658</v>
      </c>
      <c r="AF139" s="1622">
        <v>-1459479162</v>
      </c>
      <c r="AG139" s="1622">
        <v>-1334166666</v>
      </c>
      <c r="AH139" s="1622">
        <v>-1250624989</v>
      </c>
      <c r="AI139" s="1622">
        <v>-1208854157</v>
      </c>
      <c r="AJ139" s="1622">
        <v>-1083541661</v>
      </c>
      <c r="AK139" s="1622">
        <v>-958333331</v>
      </c>
      <c r="AL139" s="1622">
        <v>-833333333</v>
      </c>
      <c r="AN139" s="498"/>
    </row>
    <row r="140" spans="1:40" ht="18" customHeight="1">
      <c r="A140" s="498"/>
      <c r="D140" s="1639" t="s">
        <v>486</v>
      </c>
      <c r="E140" s="1364" t="s">
        <v>6</v>
      </c>
      <c r="F140" s="1366">
        <v>2507</v>
      </c>
      <c r="G140" s="1364" t="s">
        <v>1905</v>
      </c>
      <c r="H140" s="498">
        <v>0</v>
      </c>
      <c r="I140" s="498">
        <v>0</v>
      </c>
      <c r="J140" s="710">
        <v>0</v>
      </c>
      <c r="K140" s="710">
        <v>0</v>
      </c>
      <c r="L140" s="510">
        <f t="shared" si="37"/>
        <v>0</v>
      </c>
      <c r="N140" s="1673">
        <f>SUMIF('1.0'!$D:$D,T_BS!D140,'1.0'!$V:$V)</f>
        <v>0</v>
      </c>
      <c r="O140" s="710">
        <f>SUMIF('2.0'!$D:$D,T_BS!D140,'2.0'!$V:$V)</f>
        <v>0</v>
      </c>
      <c r="P140" s="509">
        <f>ROUND(SUMIF('3.0'!$D:$D,T_BS!D140,'3.0'!$H:$H),0)</f>
        <v>0</v>
      </c>
      <c r="Q140" s="720">
        <f>ROUND(SUMIF('4.0'!$D:$D,T_BS!D140,'4.0'!$V:$V),0)</f>
        <v>0</v>
      </c>
      <c r="R140" s="509">
        <f>ROUND(SUMIF('5.0'!$D:$D,T_BS!D140,'5.0'!$V:$V),0)</f>
        <v>6881418585</v>
      </c>
      <c r="S140" s="720">
        <f>ROUND(SUMIF('6.0'!$D:$D,T_BS!D140,'6.0'!$V:$V),0)</f>
        <v>0</v>
      </c>
      <c r="T140" s="720">
        <f>ROUND(SUMIF('7.0'!$D:$D,T_BS!D140,'7.0'!$V:$V),0)</f>
        <v>0</v>
      </c>
      <c r="U140" s="720">
        <f>ROUND(SUMIF('8.0'!$D:$D,T_BS!D140,'8.0'!$H:$H),0)</f>
        <v>0</v>
      </c>
      <c r="V140" s="510">
        <f t="shared" si="38"/>
        <v>6881418585</v>
      </c>
      <c r="X140" s="1647">
        <f t="shared" si="39"/>
        <v>6881418585</v>
      </c>
      <c r="Z140" s="1622">
        <f t="shared" si="40"/>
        <v>0</v>
      </c>
      <c r="AB140" s="1622">
        <v>6881418585</v>
      </c>
      <c r="AC140" s="1622">
        <v>6881418585</v>
      </c>
      <c r="AD140" s="1622">
        <v>6881418585</v>
      </c>
      <c r="AE140" s="1622">
        <v>6881418585</v>
      </c>
      <c r="AF140" s="1622">
        <v>6881418585</v>
      </c>
      <c r="AG140" s="1622">
        <v>6881418585</v>
      </c>
      <c r="AH140" s="1622">
        <v>6881418585</v>
      </c>
      <c r="AI140" s="1622">
        <v>6881418585</v>
      </c>
      <c r="AJ140" s="1622">
        <v>6705639743</v>
      </c>
      <c r="AK140" s="1622">
        <v>6705639743</v>
      </c>
      <c r="AL140" s="1622">
        <v>6881418585</v>
      </c>
      <c r="AN140" s="498"/>
    </row>
    <row r="141" spans="1:40" ht="18" customHeight="1">
      <c r="A141" s="498"/>
      <c r="D141" s="1639" t="s">
        <v>1907</v>
      </c>
      <c r="E141" s="1364" t="s">
        <v>6</v>
      </c>
      <c r="F141" s="1366">
        <v>2507</v>
      </c>
      <c r="G141" s="1364" t="s">
        <v>1909</v>
      </c>
      <c r="H141" s="498">
        <v>0</v>
      </c>
      <c r="I141" s="498">
        <v>0</v>
      </c>
      <c r="J141" s="710">
        <v>0</v>
      </c>
      <c r="K141" s="710">
        <v>0</v>
      </c>
      <c r="L141" s="510">
        <f t="shared" si="37"/>
        <v>0</v>
      </c>
      <c r="N141" s="1673">
        <f>SUMIF('1.0'!$D:$D,T_BS!D141,'1.0'!$V:$V)</f>
        <v>0</v>
      </c>
      <c r="O141" s="710">
        <f>SUMIF('2.0'!$D:$D,T_BS!D141,'2.0'!$V:$V)</f>
        <v>0</v>
      </c>
      <c r="P141" s="509">
        <f>ROUND(SUMIF('3.0'!$D:$D,T_BS!D141,'3.0'!$H:$H),0)</f>
        <v>0</v>
      </c>
      <c r="Q141" s="720">
        <f>ROUND(SUMIF('4.0'!$D:$D,T_BS!D141,'4.0'!$V:$V),0)</f>
        <v>0</v>
      </c>
      <c r="R141" s="509">
        <f>ROUND(SUMIF('5.0'!$D:$D,T_BS!D141,'5.0'!$V:$V),0)</f>
        <v>-2293806195</v>
      </c>
      <c r="S141" s="720">
        <f>ROUND(SUMIF('6.0'!$D:$D,T_BS!D141,'6.0'!$V:$V),0)</f>
        <v>0</v>
      </c>
      <c r="T141" s="720">
        <f>ROUND(SUMIF('7.0'!$D:$D,T_BS!D141,'7.0'!$V:$V),0)</f>
        <v>0</v>
      </c>
      <c r="U141" s="720">
        <f>ROUND(SUMIF('8.0'!$D:$D,T_BS!D141,'8.0'!$H:$H),0)</f>
        <v>0</v>
      </c>
      <c r="V141" s="510">
        <f>SUM(N141:U141)</f>
        <v>-2293806195</v>
      </c>
      <c r="X141" s="1647">
        <f t="shared" si="39"/>
        <v>-2293806195</v>
      </c>
      <c r="Z141" s="1622">
        <f t="shared" si="40"/>
        <v>0</v>
      </c>
      <c r="AB141" s="1622">
        <v>-2293806195</v>
      </c>
      <c r="AC141" s="1622">
        <v>-2293806195</v>
      </c>
      <c r="AD141" s="1622">
        <v>-2293806195</v>
      </c>
      <c r="AE141" s="1622">
        <v>-2293806195</v>
      </c>
      <c r="AF141" s="1622">
        <v>-2293806195</v>
      </c>
      <c r="AG141" s="1622">
        <v>-2293806195</v>
      </c>
      <c r="AH141" s="1622">
        <v>-2293806195</v>
      </c>
      <c r="AI141" s="1622">
        <v>-2293806195</v>
      </c>
      <c r="AJ141" s="1622">
        <v>-2235213248</v>
      </c>
      <c r="AK141" s="1622">
        <v>-2235213248</v>
      </c>
      <c r="AL141" s="1622">
        <v>-2293806195</v>
      </c>
      <c r="AN141" s="498"/>
    </row>
    <row r="142" spans="1:40" ht="18" customHeight="1">
      <c r="A142" s="498"/>
      <c r="D142" s="1639" t="s">
        <v>2035</v>
      </c>
      <c r="E142" s="1364" t="s">
        <v>6</v>
      </c>
      <c r="F142" s="1366">
        <v>2507</v>
      </c>
      <c r="G142" s="1364" t="s">
        <v>2034</v>
      </c>
      <c r="H142" s="498">
        <v>0</v>
      </c>
      <c r="I142" s="498">
        <v>0</v>
      </c>
      <c r="J142" s="710">
        <v>0</v>
      </c>
      <c r="K142" s="710">
        <v>0</v>
      </c>
      <c r="L142" s="510">
        <f t="shared" si="37"/>
        <v>0</v>
      </c>
      <c r="N142" s="1673">
        <f>SUMIF('1.0'!$D:$D,T_BS!D142,'1.0'!$V:$V)</f>
        <v>0</v>
      </c>
      <c r="O142" s="710">
        <f>SUMIF('2.0'!$D:$D,T_BS!D142,'2.0'!$V:$V)</f>
        <v>0</v>
      </c>
      <c r="P142" s="509">
        <f>ROUND(SUMIF('3.0'!$D:$D,T_BS!D142,'3.0'!$H:$H),0)</f>
        <v>0</v>
      </c>
      <c r="Q142" s="720">
        <f>ROUND(SUMIF('4.0'!$D:$D,T_BS!D142,'4.0'!$V:$V),0)</f>
        <v>0</v>
      </c>
      <c r="R142" s="509">
        <f>ROUND(SUMIF('5.0'!$D:$D,T_BS!D142,'5.0'!$V:$V),0)</f>
        <v>-4587612390</v>
      </c>
      <c r="S142" s="720">
        <f>ROUND(SUMIF('6.0'!$D:$D,T_BS!D142,'6.0'!$V:$V),0)</f>
        <v>0</v>
      </c>
      <c r="T142" s="720">
        <f>ROUND(SUMIF('7.0'!$D:$D,T_BS!D142,'7.0'!$V:$V),0)</f>
        <v>0</v>
      </c>
      <c r="U142" s="720">
        <f>ROUND(SUMIF('8.0'!$D:$D,T_BS!D142,'8.0'!$H:$H),0)</f>
        <v>0</v>
      </c>
      <c r="V142" s="510">
        <f>SUM(N142:U142)</f>
        <v>-4587612390</v>
      </c>
      <c r="X142" s="1647">
        <f t="shared" si="39"/>
        <v>-4587612390</v>
      </c>
      <c r="Z142" s="1622">
        <f t="shared" si="40"/>
        <v>0</v>
      </c>
      <c r="AB142" s="1622">
        <v>-4587612390</v>
      </c>
      <c r="AC142" s="1622">
        <v>-4587612390</v>
      </c>
      <c r="AD142" s="1622">
        <v>-4587612390</v>
      </c>
      <c r="AE142" s="1622">
        <v>-4587612390</v>
      </c>
      <c r="AF142" s="1622">
        <v>-4587612390</v>
      </c>
      <c r="AG142" s="1622">
        <v>-4587612390</v>
      </c>
      <c r="AH142" s="1622">
        <v>-4587612390</v>
      </c>
      <c r="AI142" s="1622">
        <v>-4587612390</v>
      </c>
      <c r="AJ142" s="1622">
        <v>-4470426495</v>
      </c>
      <c r="AK142" s="1622">
        <v>-4470426495</v>
      </c>
      <c r="AL142" s="1622">
        <v>-4587612390</v>
      </c>
      <c r="AN142" s="498"/>
    </row>
    <row r="143" spans="1:40" ht="18" customHeight="1">
      <c r="A143" s="498"/>
      <c r="D143" s="1639">
        <v>125930</v>
      </c>
      <c r="E143" s="1364" t="s">
        <v>6</v>
      </c>
      <c r="F143" s="1366">
        <v>2507</v>
      </c>
      <c r="G143" s="1364" t="s">
        <v>1839</v>
      </c>
      <c r="H143" s="498">
        <v>328763337</v>
      </c>
      <c r="I143" s="498">
        <v>0</v>
      </c>
      <c r="J143" s="710">
        <v>0</v>
      </c>
      <c r="K143" s="710">
        <v>0</v>
      </c>
      <c r="L143" s="510">
        <f t="shared" si="37"/>
        <v>328763337</v>
      </c>
      <c r="N143" s="1673">
        <f>SUMIF('1.0'!$D:$D,T_BS!D143,'1.0'!$V:$V)</f>
        <v>0</v>
      </c>
      <c r="O143" s="710">
        <f>SUMIF('2.0'!$D:$D,T_BS!D143,'2.0'!$V:$V)</f>
        <v>0</v>
      </c>
      <c r="P143" s="509">
        <f>ROUND(SUMIF('3.0'!$D:$D,T_BS!D143,'3.0'!$H:$H),0)</f>
        <v>0</v>
      </c>
      <c r="Q143" s="720">
        <f>ROUND(SUMIF('4.0'!$D:$D,T_BS!D143,'4.0'!$V:$V),0)</f>
        <v>0</v>
      </c>
      <c r="R143" s="509">
        <f>ROUND(SUMIF('5.0'!$D:$D,T_BS!D143,'5.0'!$V:$V),0)</f>
        <v>0</v>
      </c>
      <c r="S143" s="720">
        <f>ROUND(SUMIF('6.0'!$D:$D,T_BS!D143,'6.0'!$V:$V),0)</f>
        <v>0</v>
      </c>
      <c r="T143" s="720">
        <f>ROUND(SUMIF('7.0'!$D:$D,T_BS!D143,'7.0'!$V:$V),0)</f>
        <v>0</v>
      </c>
      <c r="U143" s="720">
        <f>ROUND(SUMIF('8.0'!$D:$D,T_BS!D143,'8.0'!$H:$H),0)</f>
        <v>0</v>
      </c>
      <c r="V143" s="510">
        <f>SUM(N143:U143)</f>
        <v>0</v>
      </c>
      <c r="X143" s="1647">
        <f t="shared" si="39"/>
        <v>328763337</v>
      </c>
      <c r="Z143" s="1622">
        <f t="shared" si="40"/>
        <v>-20320260</v>
      </c>
      <c r="AB143" s="1622">
        <v>1384246161</v>
      </c>
      <c r="AC143" s="1622">
        <v>323475239</v>
      </c>
      <c r="AD143" s="1622">
        <v>302348347</v>
      </c>
      <c r="AE143" s="1622">
        <v>287836305</v>
      </c>
      <c r="AF143" s="1622">
        <v>256610682</v>
      </c>
      <c r="AG143" s="1622">
        <v>349083597</v>
      </c>
      <c r="AH143" s="1622">
        <v>504070230</v>
      </c>
      <c r="AI143" s="1622">
        <v>496315735</v>
      </c>
      <c r="AJ143" s="1622">
        <v>286280537</v>
      </c>
      <c r="AK143" s="1622">
        <v>244859582</v>
      </c>
      <c r="AL143" s="1622">
        <v>248445371</v>
      </c>
      <c r="AN143" s="498"/>
    </row>
    <row r="144" spans="1:40" ht="18" customHeight="1">
      <c r="A144" s="498"/>
      <c r="D144" s="1593"/>
      <c r="E144" s="1594"/>
      <c r="F144" s="1595"/>
      <c r="G144" s="1594" t="s">
        <v>7</v>
      </c>
      <c r="H144" s="520">
        <f>H145+H146</f>
        <v>0</v>
      </c>
      <c r="I144" s="506">
        <f>I145+I146</f>
        <v>0</v>
      </c>
      <c r="J144" s="506">
        <f>J145+J146</f>
        <v>0</v>
      </c>
      <c r="K144" s="506">
        <f>K145+K146</f>
        <v>0</v>
      </c>
      <c r="L144" s="507">
        <f>L145+L146</f>
        <v>0</v>
      </c>
      <c r="N144" s="1637">
        <f t="shared" ref="N144:V144" si="41">N145+N146</f>
        <v>0</v>
      </c>
      <c r="O144" s="506">
        <f t="shared" si="41"/>
        <v>0</v>
      </c>
      <c r="P144" s="506">
        <f t="shared" si="41"/>
        <v>0</v>
      </c>
      <c r="Q144" s="506">
        <f t="shared" si="41"/>
        <v>0</v>
      </c>
      <c r="R144" s="506">
        <f t="shared" si="41"/>
        <v>0</v>
      </c>
      <c r="S144" s="506">
        <f t="shared" si="41"/>
        <v>0</v>
      </c>
      <c r="T144" s="506">
        <f t="shared" si="41"/>
        <v>0</v>
      </c>
      <c r="U144" s="506">
        <f t="shared" si="41"/>
        <v>0</v>
      </c>
      <c r="V144" s="507">
        <f t="shared" si="41"/>
        <v>0</v>
      </c>
      <c r="X144" s="1636">
        <f>X145+X146</f>
        <v>0</v>
      </c>
      <c r="Z144" s="1636">
        <f>Z145+Z146</f>
        <v>0</v>
      </c>
      <c r="AB144" s="1636">
        <v>0</v>
      </c>
      <c r="AC144" s="1636">
        <v>0</v>
      </c>
      <c r="AD144" s="1636">
        <v>0</v>
      </c>
      <c r="AE144" s="1636">
        <v>0</v>
      </c>
      <c r="AF144" s="1636">
        <v>0</v>
      </c>
      <c r="AG144" s="1636">
        <v>0</v>
      </c>
      <c r="AH144" s="1636">
        <v>0</v>
      </c>
      <c r="AI144" s="1636">
        <v>0</v>
      </c>
      <c r="AJ144" s="1636">
        <v>0</v>
      </c>
      <c r="AK144" s="1636">
        <f>AK145+AK146</f>
        <v>0</v>
      </c>
      <c r="AL144" s="1636">
        <v>0</v>
      </c>
      <c r="AN144" s="498"/>
    </row>
    <row r="145" spans="1:40" s="1674" customFormat="1" ht="18" customHeight="1">
      <c r="A145" s="543"/>
      <c r="B145" s="1364"/>
      <c r="C145" s="1364"/>
      <c r="D145" s="1598">
        <v>121850</v>
      </c>
      <c r="E145" s="1364" t="s">
        <v>7</v>
      </c>
      <c r="F145" s="1366">
        <v>2302</v>
      </c>
      <c r="G145" s="1364" t="s">
        <v>136</v>
      </c>
      <c r="H145" s="498">
        <v>0</v>
      </c>
      <c r="I145" s="498">
        <v>0</v>
      </c>
      <c r="J145" s="710">
        <v>0</v>
      </c>
      <c r="K145" s="710">
        <v>0</v>
      </c>
      <c r="L145" s="510">
        <f>SUM(H145:K145)</f>
        <v>0</v>
      </c>
      <c r="M145" s="1659"/>
      <c r="N145" s="1673">
        <f>SUMIF('1.0'!$D:$D,T_BS!D145,'1.0'!$V:$V)</f>
        <v>0</v>
      </c>
      <c r="O145" s="710">
        <f>SUMIF('2.0'!$D:$D,T_BS!D145,'2.0'!$V:$V)</f>
        <v>0</v>
      </c>
      <c r="P145" s="509">
        <f>ROUND(SUMIF('3.0'!$D:$D,T_BS!D145,'3.0'!$H:$H),0)</f>
        <v>0</v>
      </c>
      <c r="Q145" s="720">
        <f>ROUND(SUMIF('4.0'!$D:$D,T_BS!D145,'4.0'!$V:$V),0)</f>
        <v>0</v>
      </c>
      <c r="R145" s="509">
        <f>ROUND(SUMIF('5.0'!$D:$D,T_BS!D145,'5.0'!$V:$V),0)</f>
        <v>0</v>
      </c>
      <c r="S145" s="720">
        <f>ROUND(SUMIF('6.0'!$D:$D,T_BS!D145,'6.0'!$V:$V),0)</f>
        <v>0</v>
      </c>
      <c r="T145" s="720">
        <f>ROUND(SUMIF('7.0'!$D:$D,T_BS!D145,'7.0'!$V:$V),0)</f>
        <v>0</v>
      </c>
      <c r="U145" s="720">
        <f>ROUND(SUMIF('8.0'!$D:$D,T_BS!D145,'8.0'!$H:$H),0)</f>
        <v>0</v>
      </c>
      <c r="V145" s="510">
        <f t="shared" si="38"/>
        <v>0</v>
      </c>
      <c r="W145" s="1659"/>
      <c r="X145" s="1622">
        <f>V145+L145</f>
        <v>0</v>
      </c>
      <c r="Y145" s="1659"/>
      <c r="Z145" s="1622">
        <f>X145-AG145</f>
        <v>0</v>
      </c>
      <c r="AA145" s="1659"/>
      <c r="AB145" s="1622">
        <v>0</v>
      </c>
      <c r="AC145" s="1622">
        <v>0</v>
      </c>
      <c r="AD145" s="1622">
        <v>0</v>
      </c>
      <c r="AE145" s="1622">
        <v>0</v>
      </c>
      <c r="AF145" s="1622">
        <v>0</v>
      </c>
      <c r="AG145" s="1622">
        <v>0</v>
      </c>
      <c r="AH145" s="1622">
        <v>0</v>
      </c>
      <c r="AI145" s="1622">
        <v>0</v>
      </c>
      <c r="AJ145" s="1622">
        <v>0</v>
      </c>
      <c r="AK145" s="1622">
        <v>0</v>
      </c>
      <c r="AL145" s="1622">
        <v>0</v>
      </c>
      <c r="AN145" s="498"/>
    </row>
    <row r="146" spans="1:40" ht="18" customHeight="1">
      <c r="A146" s="498"/>
      <c r="B146" s="1552" t="s">
        <v>1825</v>
      </c>
      <c r="C146" s="1552"/>
      <c r="D146" s="1630">
        <v>121510</v>
      </c>
      <c r="E146" s="1552" t="s">
        <v>7</v>
      </c>
      <c r="F146" s="1631"/>
      <c r="G146" s="1552" t="s">
        <v>1785</v>
      </c>
      <c r="H146" s="498">
        <v>0</v>
      </c>
      <c r="I146" s="498">
        <v>0</v>
      </c>
      <c r="J146" s="710">
        <v>0</v>
      </c>
      <c r="K146" s="710">
        <v>0</v>
      </c>
      <c r="L146" s="1678">
        <f>SUM(H146:K146)</f>
        <v>0</v>
      </c>
      <c r="N146" s="1673">
        <f>SUMIF('1.0'!$D:$D,T_BS!D146,'1.0'!$V:$V)</f>
        <v>0</v>
      </c>
      <c r="O146" s="710">
        <f>SUMIF('2.0'!$D:$D,T_BS!D146,'2.0'!$V:$V)</f>
        <v>0</v>
      </c>
      <c r="P146" s="710">
        <f>ROUND(SUMIF('3.0'!$D:$D,T_BS!D146,'3.0'!$H:$H),0)</f>
        <v>0</v>
      </c>
      <c r="Q146" s="720">
        <f>ROUND(SUMIF('4.0'!$D:$D,T_BS!D146,'4.0'!$V:$V),0)</f>
        <v>0</v>
      </c>
      <c r="R146" s="710">
        <f>ROUND(SUMIF('5.0'!$D:$D,T_BS!D146,'5.0'!$V:$V),0)</f>
        <v>0</v>
      </c>
      <c r="S146" s="720">
        <f>ROUND(SUMIF('6.0'!$D:$D,T_BS!D146,'6.0'!$V:$V),0)</f>
        <v>0</v>
      </c>
      <c r="T146" s="720">
        <f>ROUND(SUMIF('7.0'!$D:$D,T_BS!D146,'7.0'!$V:$V),0)</f>
        <v>0</v>
      </c>
      <c r="U146" s="720">
        <f>ROUND(SUMIF('8.0'!$D:$D,T_BS!D146,'8.0'!$H:$H),0)</f>
        <v>0</v>
      </c>
      <c r="V146" s="1678">
        <f>SUM(N146:U146)</f>
        <v>0</v>
      </c>
      <c r="X146" s="852">
        <f>V146+L146</f>
        <v>0</v>
      </c>
      <c r="Z146" s="1622">
        <f>X146-AG146</f>
        <v>0</v>
      </c>
      <c r="AB146" s="1622">
        <v>0</v>
      </c>
      <c r="AC146" s="1622">
        <v>0</v>
      </c>
      <c r="AD146" s="1622">
        <v>0</v>
      </c>
      <c r="AE146" s="1622">
        <v>0</v>
      </c>
      <c r="AF146" s="1622">
        <v>0</v>
      </c>
      <c r="AG146" s="1622">
        <v>0</v>
      </c>
      <c r="AH146" s="1622">
        <v>0</v>
      </c>
      <c r="AI146" s="1622">
        <v>0</v>
      </c>
      <c r="AJ146" s="1622">
        <v>0</v>
      </c>
      <c r="AK146" s="1622">
        <v>0</v>
      </c>
      <c r="AL146" s="1622">
        <v>0</v>
      </c>
      <c r="AN146" s="498"/>
    </row>
    <row r="147" spans="1:40" ht="18" customHeight="1">
      <c r="A147" s="498"/>
      <c r="D147" s="1583"/>
      <c r="E147" s="1584"/>
      <c r="F147" s="1585"/>
      <c r="G147" s="1584" t="s">
        <v>8</v>
      </c>
      <c r="H147" s="1670">
        <f>H148+H213</f>
        <v>145535226980</v>
      </c>
      <c r="I147" s="500">
        <f>I148+I213</f>
        <v>300321442</v>
      </c>
      <c r="J147" s="500">
        <f>J148+J213</f>
        <v>783987396</v>
      </c>
      <c r="K147" s="500">
        <f>K148+K213</f>
        <v>2870434552</v>
      </c>
      <c r="L147" s="501">
        <f>L148+L213</f>
        <v>149489970370</v>
      </c>
      <c r="N147" s="1671">
        <f>N148+N213</f>
        <v>0</v>
      </c>
      <c r="O147" s="500">
        <f t="shared" ref="O147:V147" si="42">O148+O213</f>
        <v>0</v>
      </c>
      <c r="P147" s="500">
        <f t="shared" si="42"/>
        <v>-857536587</v>
      </c>
      <c r="Q147" s="500">
        <f t="shared" si="42"/>
        <v>0</v>
      </c>
      <c r="R147" s="500">
        <f t="shared" si="42"/>
        <v>0</v>
      </c>
      <c r="S147" s="500">
        <f t="shared" si="42"/>
        <v>-1134194774</v>
      </c>
      <c r="T147" s="500">
        <f t="shared" si="42"/>
        <v>0</v>
      </c>
      <c r="U147" s="500">
        <f t="shared" si="42"/>
        <v>0</v>
      </c>
      <c r="V147" s="501">
        <f t="shared" si="42"/>
        <v>-1991731361</v>
      </c>
      <c r="X147" s="1672">
        <f>X148+X213</f>
        <v>147498239009</v>
      </c>
      <c r="Z147" s="1672">
        <f>Z148+Z213</f>
        <v>-27767115693</v>
      </c>
      <c r="AB147" s="1672">
        <v>138536469267</v>
      </c>
      <c r="AC147" s="1672">
        <v>143408780700</v>
      </c>
      <c r="AD147" s="1672">
        <v>146558856885</v>
      </c>
      <c r="AE147" s="1672">
        <v>144342346654</v>
      </c>
      <c r="AF147" s="1672">
        <v>185728957721</v>
      </c>
      <c r="AG147" s="1672">
        <v>175265354702</v>
      </c>
      <c r="AH147" s="1672">
        <v>148995411476</v>
      </c>
      <c r="AI147" s="1672">
        <v>159276256063</v>
      </c>
      <c r="AJ147" s="1672">
        <v>177548052149</v>
      </c>
      <c r="AK147" s="1672">
        <f>AK148+AK213</f>
        <v>78124343179</v>
      </c>
      <c r="AL147" s="1672">
        <v>76642040389</v>
      </c>
      <c r="AN147" s="498"/>
    </row>
    <row r="148" spans="1:40" ht="18" customHeight="1">
      <c r="A148" s="498"/>
      <c r="D148" s="1588"/>
      <c r="E148" s="1589"/>
      <c r="F148" s="1590"/>
      <c r="G148" s="1589" t="s">
        <v>9</v>
      </c>
      <c r="H148" s="1625">
        <f>SUM(H149,H171,H179,H208,H210)</f>
        <v>143601399088</v>
      </c>
      <c r="I148" s="503">
        <f>SUM(I149,I171,I179,I208,I210)</f>
        <v>300321442</v>
      </c>
      <c r="J148" s="503">
        <f>SUM(J149,J171,J179,J208,J210)</f>
        <v>783987396</v>
      </c>
      <c r="K148" s="503">
        <f>SUM(K149,K171,K179,K208,K210)</f>
        <v>2758618867</v>
      </c>
      <c r="L148" s="504">
        <f>SUM(L149,L171,L179,L208,L210)</f>
        <v>147444326793</v>
      </c>
      <c r="N148" s="1629">
        <f t="shared" ref="N148:S148" si="43">SUM(N149,N171,N179,N208,N210)</f>
        <v>0</v>
      </c>
      <c r="O148" s="503">
        <f t="shared" si="43"/>
        <v>0</v>
      </c>
      <c r="P148" s="503">
        <f t="shared" si="43"/>
        <v>-857536587</v>
      </c>
      <c r="Q148" s="503">
        <f t="shared" si="43"/>
        <v>0</v>
      </c>
      <c r="R148" s="503">
        <f t="shared" si="43"/>
        <v>0</v>
      </c>
      <c r="S148" s="503">
        <f t="shared" si="43"/>
        <v>-1134194774</v>
      </c>
      <c r="T148" s="503">
        <f>SUM(T149,T171,T179,T208,T210)</f>
        <v>0</v>
      </c>
      <c r="U148" s="503">
        <f>SUM(U149,U171,U179,U208,U210)</f>
        <v>0</v>
      </c>
      <c r="V148" s="504">
        <f>SUM(V149,V171,V179,V208,V210)</f>
        <v>-1991731361</v>
      </c>
      <c r="X148" s="1628">
        <f>SUM(X149,X171,X179,X208,X210)</f>
        <v>145452595432</v>
      </c>
      <c r="Z148" s="1628">
        <f>SUM(Z149,Z171,Z179,Z208,Z210)</f>
        <v>-27346082350</v>
      </c>
      <c r="AB148" s="1628">
        <v>136335896373</v>
      </c>
      <c r="AC148" s="1628">
        <v>141207917254</v>
      </c>
      <c r="AD148" s="1628">
        <v>144423379475</v>
      </c>
      <c r="AE148" s="1628">
        <v>142366466603</v>
      </c>
      <c r="AF148" s="1628">
        <v>183565591300</v>
      </c>
      <c r="AG148" s="1628">
        <v>172798677782</v>
      </c>
      <c r="AH148" s="1628">
        <v>145200934689</v>
      </c>
      <c r="AI148" s="1628">
        <v>155418718426</v>
      </c>
      <c r="AJ148" s="1628">
        <v>173991750164</v>
      </c>
      <c r="AK148" s="1628">
        <f>SUM(AK149,AK171,AK179,AK208,AK210)</f>
        <v>74165547929</v>
      </c>
      <c r="AL148" s="1628">
        <v>72762462534</v>
      </c>
      <c r="AN148" s="498"/>
    </row>
    <row r="149" spans="1:40" ht="18" customHeight="1">
      <c r="A149" s="498"/>
      <c r="D149" s="1593">
        <v>211000</v>
      </c>
      <c r="E149" s="1594"/>
      <c r="F149" s="1595"/>
      <c r="G149" s="1594" t="s">
        <v>137</v>
      </c>
      <c r="H149" s="520">
        <f>SUM(H150:H170)</f>
        <v>82278016234</v>
      </c>
      <c r="I149" s="506">
        <f>SUM(I150:I170)</f>
        <v>107058199</v>
      </c>
      <c r="J149" s="506">
        <f>SUM(J150:J170)</f>
        <v>709591169</v>
      </c>
      <c r="K149" s="506">
        <f>SUM(K150:K170)</f>
        <v>904269251</v>
      </c>
      <c r="L149" s="507">
        <f>SUM(L150:L170)</f>
        <v>83998934853</v>
      </c>
      <c r="N149" s="1637">
        <f t="shared" ref="N149:S149" si="44">SUM(N150:N170)</f>
        <v>0</v>
      </c>
      <c r="O149" s="506">
        <f t="shared" si="44"/>
        <v>0</v>
      </c>
      <c r="P149" s="506">
        <f t="shared" si="44"/>
        <v>-856617409</v>
      </c>
      <c r="Q149" s="506">
        <f t="shared" si="44"/>
        <v>0</v>
      </c>
      <c r="R149" s="506">
        <f t="shared" si="44"/>
        <v>0</v>
      </c>
      <c r="S149" s="506">
        <f t="shared" si="44"/>
        <v>0</v>
      </c>
      <c r="T149" s="506">
        <f>SUM(T150:T170)</f>
        <v>0</v>
      </c>
      <c r="U149" s="506">
        <f>SUM(U150:U170)</f>
        <v>0</v>
      </c>
      <c r="V149" s="507">
        <f>SUM(V150:V170)</f>
        <v>-856617409</v>
      </c>
      <c r="X149" s="1636">
        <f>SUM(X150:X170)</f>
        <v>83142317444</v>
      </c>
      <c r="Z149" s="1636">
        <f>SUM(Z150:Z170)</f>
        <v>17278915889</v>
      </c>
      <c r="AB149" s="1636">
        <v>73782340065</v>
      </c>
      <c r="AC149" s="1636">
        <v>69858437265</v>
      </c>
      <c r="AD149" s="1636">
        <v>73033269661</v>
      </c>
      <c r="AE149" s="1636">
        <v>68562662184</v>
      </c>
      <c r="AF149" s="1636">
        <v>86097038878</v>
      </c>
      <c r="AG149" s="1636">
        <v>65863401555</v>
      </c>
      <c r="AH149" s="1636">
        <v>56406729794</v>
      </c>
      <c r="AI149" s="1636">
        <v>66760911635</v>
      </c>
      <c r="AJ149" s="1636">
        <v>74222932441</v>
      </c>
      <c r="AK149" s="1636">
        <f>SUM(AK150:AK170)</f>
        <v>63785243194</v>
      </c>
      <c r="AL149" s="1636">
        <v>60933090739</v>
      </c>
      <c r="AN149" s="498"/>
    </row>
    <row r="150" spans="1:40" ht="18" customHeight="1">
      <c r="A150" s="498"/>
      <c r="D150" s="1598">
        <v>211111</v>
      </c>
      <c r="E150" s="1364" t="s">
        <v>137</v>
      </c>
      <c r="F150" s="1366">
        <v>3101</v>
      </c>
      <c r="G150" s="1364" t="s">
        <v>138</v>
      </c>
      <c r="H150" s="498">
        <v>2525062065</v>
      </c>
      <c r="I150" s="498">
        <v>81778640</v>
      </c>
      <c r="J150" s="710">
        <v>30831515</v>
      </c>
      <c r="K150" s="710">
        <v>664218873</v>
      </c>
      <c r="L150" s="510">
        <f t="shared" ref="L150:L170" si="45">SUM(H150:K150)</f>
        <v>3301891093</v>
      </c>
      <c r="N150" s="1673">
        <f>-SUMIF('1.0'!$D:$D,T_BS!D150,'1.0'!$V:$V)</f>
        <v>0</v>
      </c>
      <c r="O150" s="710">
        <f>-SUMIF('2.0'!$D:$D,T_BS!D150,'2.0'!$V:$V)</f>
        <v>0</v>
      </c>
      <c r="P150" s="509">
        <f>-ROUND(SUMIF('3.0'!$D:$D,T_BS!D150,'3.0'!$H:$H),0)</f>
        <v>-657672109</v>
      </c>
      <c r="Q150" s="720">
        <f>-ROUND(SUMIF('4.0'!$D:$D,T_BS!D150,'4.0'!$V:$V),0)</f>
        <v>0</v>
      </c>
      <c r="R150" s="509">
        <f>-ROUND(SUMIF('5.0'!$D:$D,T_BS!D150,'5.0'!$V:$V),0)</f>
        <v>0</v>
      </c>
      <c r="S150" s="720">
        <f>-ROUND(SUMIF('6.0'!$D:$D,T_BS!D150,'6.0'!$V:$V),0)</f>
        <v>0</v>
      </c>
      <c r="T150" s="720">
        <f>-ROUND(SUMIF('7.0'!$D:$D,T_BS!D150,'7.0'!$V:$V),0)</f>
        <v>0</v>
      </c>
      <c r="U150" s="720">
        <f>-ROUND(SUMIF('8.0'!$D:$D,T_BS!D150,'8.0'!$H:$H),0)</f>
        <v>0</v>
      </c>
      <c r="V150" s="510">
        <f t="shared" ref="V150:V170" si="46">SUM(N150:U150)</f>
        <v>-657672109</v>
      </c>
      <c r="X150" s="1622">
        <f t="shared" ref="X150:X170" si="47">V150+L150</f>
        <v>2644218984</v>
      </c>
      <c r="Z150" s="1622">
        <f t="shared" ref="Z150:Z170" si="48">X150-AG150</f>
        <v>-1189879814</v>
      </c>
      <c r="AB150" s="1622">
        <v>4901224092</v>
      </c>
      <c r="AC150" s="1622">
        <v>6971303726</v>
      </c>
      <c r="AD150" s="1622">
        <v>5508211231</v>
      </c>
      <c r="AE150" s="1622">
        <v>3759761345</v>
      </c>
      <c r="AF150" s="1622">
        <v>5133759493</v>
      </c>
      <c r="AG150" s="1622">
        <v>3834098798</v>
      </c>
      <c r="AH150" s="1622">
        <v>3378410467</v>
      </c>
      <c r="AI150" s="1622">
        <v>3469511607</v>
      </c>
      <c r="AJ150" s="1622">
        <v>2874627795</v>
      </c>
      <c r="AK150" s="1622">
        <v>3370179145</v>
      </c>
      <c r="AL150" s="1622">
        <v>2258651007</v>
      </c>
      <c r="AN150" s="498"/>
    </row>
    <row r="151" spans="1:40" ht="18" customHeight="1">
      <c r="A151" s="498"/>
      <c r="D151" s="1598">
        <v>211121</v>
      </c>
      <c r="E151" s="1364" t="s">
        <v>137</v>
      </c>
      <c r="F151" s="1366">
        <v>3101</v>
      </c>
      <c r="G151" s="1364" t="s">
        <v>139</v>
      </c>
      <c r="H151" s="498">
        <v>1123237345</v>
      </c>
      <c r="I151" s="498">
        <v>0</v>
      </c>
      <c r="J151" s="710">
        <v>0</v>
      </c>
      <c r="K151" s="710">
        <v>0</v>
      </c>
      <c r="L151" s="510">
        <f t="shared" si="45"/>
        <v>1123237345</v>
      </c>
      <c r="N151" s="1673">
        <f>-SUMIF('1.0'!$D:$D,T_BS!D151,'1.0'!$V:$V)</f>
        <v>0</v>
      </c>
      <c r="O151" s="710">
        <f>-SUMIF('2.0'!$D:$D,T_BS!D151,'2.0'!$V:$V)</f>
        <v>0</v>
      </c>
      <c r="P151" s="509">
        <f>-ROUND(SUMIF('3.0'!$D:$D,T_BS!D151,'3.0'!$H:$H),0)</f>
        <v>0</v>
      </c>
      <c r="Q151" s="720">
        <f>-ROUND(SUMIF('4.0'!$D:$D,T_BS!D151,'4.0'!$V:$V),0)</f>
        <v>0</v>
      </c>
      <c r="R151" s="509">
        <f>-ROUND(SUMIF('5.0'!$D:$D,T_BS!D151,'5.0'!$V:$V),0)</f>
        <v>0</v>
      </c>
      <c r="S151" s="720">
        <f>-ROUND(SUMIF('6.0'!$D:$D,T_BS!D151,'6.0'!$V:$V),0)</f>
        <v>0</v>
      </c>
      <c r="T151" s="720">
        <f>-ROUND(SUMIF('7.0'!$D:$D,T_BS!D151,'7.0'!$V:$V),0)</f>
        <v>0</v>
      </c>
      <c r="U151" s="720">
        <f>-ROUND(SUMIF('8.0'!$D:$D,T_BS!D151,'8.0'!$H:$H),0)</f>
        <v>0</v>
      </c>
      <c r="V151" s="510">
        <f t="shared" si="46"/>
        <v>0</v>
      </c>
      <c r="X151" s="1622">
        <f t="shared" si="47"/>
        <v>1123237345</v>
      </c>
      <c r="Z151" s="1622">
        <f t="shared" si="48"/>
        <v>1022629259</v>
      </c>
      <c r="AB151" s="1622">
        <v>360778767</v>
      </c>
      <c r="AC151" s="1622">
        <v>213528822</v>
      </c>
      <c r="AD151" s="1622">
        <v>506645955</v>
      </c>
      <c r="AE151" s="1622">
        <v>562806787</v>
      </c>
      <c r="AF151" s="1622">
        <v>154478357</v>
      </c>
      <c r="AG151" s="1622">
        <v>100608086</v>
      </c>
      <c r="AH151" s="1622">
        <v>392515885</v>
      </c>
      <c r="AI151" s="1622">
        <v>325435320</v>
      </c>
      <c r="AJ151" s="1622">
        <v>433651631</v>
      </c>
      <c r="AK151" s="1622">
        <v>421584652</v>
      </c>
      <c r="AL151" s="1622">
        <v>237881370</v>
      </c>
      <c r="AN151" s="498"/>
    </row>
    <row r="152" spans="1:40" ht="18" customHeight="1">
      <c r="A152" s="498"/>
      <c r="D152" s="1598">
        <v>211131</v>
      </c>
      <c r="E152" s="1364" t="s">
        <v>137</v>
      </c>
      <c r="F152" s="1366">
        <v>3101</v>
      </c>
      <c r="G152" s="1364" t="s">
        <v>140</v>
      </c>
      <c r="H152" s="498">
        <v>10119903822</v>
      </c>
      <c r="I152" s="498">
        <v>0</v>
      </c>
      <c r="J152" s="710">
        <v>0</v>
      </c>
      <c r="K152" s="710">
        <v>0</v>
      </c>
      <c r="L152" s="510">
        <f t="shared" si="45"/>
        <v>10119903822</v>
      </c>
      <c r="N152" s="1673">
        <f>-SUMIF('1.0'!$D:$D,T_BS!D152,'1.0'!$V:$V)</f>
        <v>0</v>
      </c>
      <c r="O152" s="710">
        <f>-SUMIF('2.0'!$D:$D,T_BS!D152,'2.0'!$V:$V)</f>
        <v>0</v>
      </c>
      <c r="P152" s="509">
        <f>-ROUND(SUMIF('3.0'!$D:$D,T_BS!D152,'3.0'!$H:$H),0)</f>
        <v>0</v>
      </c>
      <c r="Q152" s="720">
        <f>-ROUND(SUMIF('4.0'!$D:$D,T_BS!D152,'4.0'!$V:$V),0)</f>
        <v>0</v>
      </c>
      <c r="R152" s="509">
        <f>-ROUND(SUMIF('5.0'!$D:$D,T_BS!D152,'5.0'!$V:$V),0)</f>
        <v>0</v>
      </c>
      <c r="S152" s="720">
        <f>-ROUND(SUMIF('6.0'!$D:$D,T_BS!D152,'6.0'!$V:$V),0)</f>
        <v>0</v>
      </c>
      <c r="T152" s="720">
        <f>-ROUND(SUMIF('7.0'!$D:$D,T_BS!D152,'7.0'!$V:$V),0)</f>
        <v>0</v>
      </c>
      <c r="U152" s="720">
        <f>-ROUND(SUMIF('8.0'!$D:$D,T_BS!D152,'8.0'!$H:$H),0)</f>
        <v>0</v>
      </c>
      <c r="V152" s="510">
        <f t="shared" si="46"/>
        <v>0</v>
      </c>
      <c r="X152" s="1622">
        <f t="shared" si="47"/>
        <v>10119903822</v>
      </c>
      <c r="Z152" s="1622">
        <f t="shared" si="48"/>
        <v>4089125258</v>
      </c>
      <c r="AB152" s="1622">
        <v>9699721956</v>
      </c>
      <c r="AC152" s="1622">
        <v>10078449753</v>
      </c>
      <c r="AD152" s="1622">
        <v>10267043280</v>
      </c>
      <c r="AE152" s="1622">
        <v>9866521341</v>
      </c>
      <c r="AF152" s="1622">
        <v>6120732973</v>
      </c>
      <c r="AG152" s="1622">
        <v>6030778564</v>
      </c>
      <c r="AH152" s="1622">
        <v>7111247616</v>
      </c>
      <c r="AI152" s="1622">
        <v>6938530503</v>
      </c>
      <c r="AJ152" s="1622">
        <v>7239661894</v>
      </c>
      <c r="AK152" s="1622">
        <v>7741860537</v>
      </c>
      <c r="AL152" s="1622">
        <v>9203085793</v>
      </c>
      <c r="AN152" s="498"/>
    </row>
    <row r="153" spans="1:40" ht="18" customHeight="1">
      <c r="A153" s="498"/>
      <c r="D153" s="1598">
        <v>211141</v>
      </c>
      <c r="E153" s="1364" t="s">
        <v>137</v>
      </c>
      <c r="F153" s="1366">
        <v>3101</v>
      </c>
      <c r="G153" s="1364" t="s">
        <v>141</v>
      </c>
      <c r="H153" s="498">
        <v>25371757278</v>
      </c>
      <c r="I153" s="498">
        <v>0</v>
      </c>
      <c r="J153" s="710">
        <v>0</v>
      </c>
      <c r="K153" s="710">
        <v>0</v>
      </c>
      <c r="L153" s="510">
        <f t="shared" si="45"/>
        <v>25371757278</v>
      </c>
      <c r="N153" s="1673">
        <f>-SUMIF('1.0'!$D:$D,T_BS!D153,'1.0'!$V:$V)</f>
        <v>0</v>
      </c>
      <c r="O153" s="710">
        <f>-SUMIF('2.0'!$D:$D,T_BS!D153,'2.0'!$V:$V)</f>
        <v>0</v>
      </c>
      <c r="P153" s="509">
        <f>-ROUND(SUMIF('3.0'!$D:$D,T_BS!D153,'3.0'!$H:$H),0)</f>
        <v>0</v>
      </c>
      <c r="Q153" s="720">
        <f>-ROUND(SUMIF('4.0'!$D:$D,T_BS!D153,'4.0'!$V:$V),0)</f>
        <v>0</v>
      </c>
      <c r="R153" s="509">
        <f>-ROUND(SUMIF('5.0'!$D:$D,T_BS!D153,'5.0'!$V:$V),0)</f>
        <v>0</v>
      </c>
      <c r="S153" s="720">
        <f>-ROUND(SUMIF('6.0'!$D:$D,T_BS!D153,'6.0'!$V:$V),0)</f>
        <v>0</v>
      </c>
      <c r="T153" s="720">
        <f>-ROUND(SUMIF('7.0'!$D:$D,T_BS!D153,'7.0'!$V:$V),0)</f>
        <v>0</v>
      </c>
      <c r="U153" s="720">
        <f>-ROUND(SUMIF('8.0'!$D:$D,T_BS!D153,'8.0'!$H:$H),0)</f>
        <v>0</v>
      </c>
      <c r="V153" s="510">
        <f t="shared" si="46"/>
        <v>0</v>
      </c>
      <c r="X153" s="1622">
        <f t="shared" si="47"/>
        <v>25371757278</v>
      </c>
      <c r="Z153" s="1622">
        <f t="shared" si="48"/>
        <v>423410697</v>
      </c>
      <c r="AB153" s="1622">
        <v>25411497411</v>
      </c>
      <c r="AC153" s="1622">
        <v>25047606146</v>
      </c>
      <c r="AD153" s="1622">
        <v>24874143782</v>
      </c>
      <c r="AE153" s="1622">
        <v>24559343974</v>
      </c>
      <c r="AF153" s="1622">
        <v>25126060586</v>
      </c>
      <c r="AG153" s="1622">
        <v>24948346581</v>
      </c>
      <c r="AH153" s="1622">
        <v>24209548324</v>
      </c>
      <c r="AI153" s="1622">
        <v>25364377532</v>
      </c>
      <c r="AJ153" s="1622">
        <v>24125140285</v>
      </c>
      <c r="AK153" s="1622">
        <v>22378486974</v>
      </c>
      <c r="AL153" s="1622">
        <v>20968655431</v>
      </c>
      <c r="AN153" s="498"/>
    </row>
    <row r="154" spans="1:40" ht="18" customHeight="1">
      <c r="A154" s="498"/>
      <c r="D154" s="1598">
        <v>211151</v>
      </c>
      <c r="E154" s="1364" t="s">
        <v>137</v>
      </c>
      <c r="F154" s="1366">
        <v>3101</v>
      </c>
      <c r="G154" s="1364" t="s">
        <v>142</v>
      </c>
      <c r="H154" s="498">
        <v>255366</v>
      </c>
      <c r="I154" s="498">
        <v>0</v>
      </c>
      <c r="J154" s="710">
        <v>0</v>
      </c>
      <c r="K154" s="710">
        <v>0</v>
      </c>
      <c r="L154" s="510">
        <f t="shared" si="45"/>
        <v>255366</v>
      </c>
      <c r="N154" s="1673">
        <f>-SUMIF('1.0'!$D:$D,T_BS!D154,'1.0'!$V:$V)</f>
        <v>0</v>
      </c>
      <c r="O154" s="710">
        <f>-SUMIF('2.0'!$D:$D,T_BS!D154,'2.0'!$V:$V)</f>
        <v>0</v>
      </c>
      <c r="P154" s="509">
        <f>-ROUND(SUMIF('3.0'!$D:$D,T_BS!D154,'3.0'!$H:$H),0)</f>
        <v>0</v>
      </c>
      <c r="Q154" s="720">
        <f>-ROUND(SUMIF('4.0'!$D:$D,T_BS!D154,'4.0'!$V:$V),0)</f>
        <v>0</v>
      </c>
      <c r="R154" s="509">
        <f>-ROUND(SUMIF('5.0'!$D:$D,T_BS!D154,'5.0'!$V:$V),0)</f>
        <v>0</v>
      </c>
      <c r="S154" s="720">
        <f>-ROUND(SUMIF('6.0'!$D:$D,T_BS!D154,'6.0'!$V:$V),0)</f>
        <v>0</v>
      </c>
      <c r="T154" s="720">
        <f>-ROUND(SUMIF('7.0'!$D:$D,T_BS!D154,'7.0'!$V:$V),0)</f>
        <v>0</v>
      </c>
      <c r="U154" s="720">
        <f>-ROUND(SUMIF('8.0'!$D:$D,T_BS!D154,'8.0'!$H:$H),0)</f>
        <v>0</v>
      </c>
      <c r="V154" s="510">
        <f t="shared" si="46"/>
        <v>0</v>
      </c>
      <c r="X154" s="1622">
        <f t="shared" si="47"/>
        <v>255366</v>
      </c>
      <c r="Z154" s="1622">
        <f t="shared" si="48"/>
        <v>0</v>
      </c>
      <c r="AB154" s="1622">
        <v>255366</v>
      </c>
      <c r="AC154" s="1622">
        <v>255366</v>
      </c>
      <c r="AD154" s="1622">
        <v>255366</v>
      </c>
      <c r="AE154" s="1622">
        <v>255366</v>
      </c>
      <c r="AF154" s="1622">
        <v>255366</v>
      </c>
      <c r="AG154" s="1622">
        <v>255366</v>
      </c>
      <c r="AH154" s="1622">
        <v>255366</v>
      </c>
      <c r="AI154" s="1622">
        <v>255366</v>
      </c>
      <c r="AJ154" s="1622">
        <v>255366</v>
      </c>
      <c r="AK154" s="1622">
        <v>255366</v>
      </c>
      <c r="AL154" s="1622">
        <v>255366</v>
      </c>
      <c r="AN154" s="498"/>
    </row>
    <row r="155" spans="1:40" ht="18" customHeight="1">
      <c r="A155" s="498"/>
      <c r="D155" s="1598">
        <v>211161</v>
      </c>
      <c r="E155" s="1364" t="s">
        <v>137</v>
      </c>
      <c r="F155" s="1366">
        <v>3101</v>
      </c>
      <c r="G155" s="1364" t="s">
        <v>143</v>
      </c>
      <c r="H155" s="498">
        <v>0</v>
      </c>
      <c r="I155" s="498">
        <v>0</v>
      </c>
      <c r="J155" s="710">
        <v>0</v>
      </c>
      <c r="K155" s="710">
        <v>0</v>
      </c>
      <c r="L155" s="510">
        <f t="shared" si="45"/>
        <v>0</v>
      </c>
      <c r="N155" s="1673">
        <f>-SUMIF('1.0'!$D:$D,T_BS!D155,'1.0'!$V:$V)</f>
        <v>0</v>
      </c>
      <c r="O155" s="710">
        <f>-SUMIF('2.0'!$D:$D,T_BS!D155,'2.0'!$V:$V)</f>
        <v>0</v>
      </c>
      <c r="P155" s="509">
        <f>-ROUND(SUMIF('3.0'!$D:$D,T_BS!D155,'3.0'!$H:$H),0)</f>
        <v>0</v>
      </c>
      <c r="Q155" s="720">
        <f>-ROUND(SUMIF('4.0'!$D:$D,T_BS!D155,'4.0'!$V:$V),0)</f>
        <v>0</v>
      </c>
      <c r="R155" s="509">
        <f>-ROUND(SUMIF('5.0'!$D:$D,T_BS!D155,'5.0'!$V:$V),0)</f>
        <v>0</v>
      </c>
      <c r="S155" s="720">
        <f>-ROUND(SUMIF('6.0'!$D:$D,T_BS!D155,'6.0'!$V:$V),0)</f>
        <v>0</v>
      </c>
      <c r="T155" s="720">
        <f>-ROUND(SUMIF('7.0'!$D:$D,T_BS!D155,'7.0'!$V:$V),0)</f>
        <v>0</v>
      </c>
      <c r="U155" s="720">
        <f>-ROUND(SUMIF('8.0'!$D:$D,T_BS!D155,'8.0'!$H:$H),0)</f>
        <v>0</v>
      </c>
      <c r="V155" s="510">
        <f t="shared" si="46"/>
        <v>0</v>
      </c>
      <c r="X155" s="1622">
        <f t="shared" si="47"/>
        <v>0</v>
      </c>
      <c r="Z155" s="1622">
        <f t="shared" si="48"/>
        <v>0</v>
      </c>
      <c r="AB155" s="1622">
        <v>0</v>
      </c>
      <c r="AC155" s="1622">
        <v>0</v>
      </c>
      <c r="AD155" s="1622">
        <v>0</v>
      </c>
      <c r="AE155" s="1622">
        <v>0</v>
      </c>
      <c r="AF155" s="1622">
        <v>0</v>
      </c>
      <c r="AG155" s="1622">
        <v>0</v>
      </c>
      <c r="AH155" s="1622">
        <v>0</v>
      </c>
      <c r="AI155" s="1622">
        <v>0</v>
      </c>
      <c r="AJ155" s="1622">
        <v>0</v>
      </c>
      <c r="AK155" s="1622">
        <v>0</v>
      </c>
      <c r="AL155" s="1622">
        <v>0</v>
      </c>
      <c r="AN155" s="498"/>
    </row>
    <row r="156" spans="1:40" s="1674" customFormat="1" ht="18" customHeight="1">
      <c r="A156" s="543"/>
      <c r="B156" s="1364"/>
      <c r="C156" s="1364"/>
      <c r="D156" s="1598">
        <v>211171</v>
      </c>
      <c r="E156" s="1364" t="s">
        <v>137</v>
      </c>
      <c r="F156" s="1366">
        <v>3101</v>
      </c>
      <c r="G156" s="1364" t="s">
        <v>1840</v>
      </c>
      <c r="H156" s="498">
        <v>0</v>
      </c>
      <c r="I156" s="498">
        <v>0</v>
      </c>
      <c r="J156" s="710">
        <v>0</v>
      </c>
      <c r="K156" s="710">
        <v>0</v>
      </c>
      <c r="L156" s="510">
        <f t="shared" si="45"/>
        <v>0</v>
      </c>
      <c r="M156" s="1659"/>
      <c r="N156" s="1673">
        <f>-SUMIF('1.0'!$D:$D,T_BS!D156,'1.0'!$V:$V)</f>
        <v>0</v>
      </c>
      <c r="O156" s="710">
        <f>-SUMIF('2.0'!$D:$D,T_BS!D156,'2.0'!$V:$V)</f>
        <v>0</v>
      </c>
      <c r="P156" s="509">
        <f>-ROUND(SUMIF('3.0'!$D:$D,T_BS!D156,'3.0'!$H:$H),0)</f>
        <v>0</v>
      </c>
      <c r="Q156" s="720">
        <f>-ROUND(SUMIF('4.0'!$D:$D,T_BS!D156,'4.0'!$V:$V),0)</f>
        <v>0</v>
      </c>
      <c r="R156" s="509">
        <f>-ROUND(SUMIF('5.0'!$D:$D,T_BS!D156,'5.0'!$V:$V),0)</f>
        <v>0</v>
      </c>
      <c r="S156" s="720">
        <f>-ROUND(SUMIF('6.0'!$D:$D,T_BS!D156,'6.0'!$V:$V),0)</f>
        <v>0</v>
      </c>
      <c r="T156" s="720">
        <f>-ROUND(SUMIF('7.0'!$D:$D,T_BS!D156,'7.0'!$V:$V),0)</f>
        <v>0</v>
      </c>
      <c r="U156" s="720">
        <f>-ROUND(SUMIF('8.0'!$D:$D,T_BS!D156,'8.0'!$H:$H),0)</f>
        <v>0</v>
      </c>
      <c r="V156" s="510">
        <f>SUM(N156:U156)</f>
        <v>0</v>
      </c>
      <c r="W156" s="1659"/>
      <c r="X156" s="1622">
        <f t="shared" si="47"/>
        <v>0</v>
      </c>
      <c r="Y156" s="1659"/>
      <c r="Z156" s="1622">
        <f t="shared" si="48"/>
        <v>0</v>
      </c>
      <c r="AA156" s="1659"/>
      <c r="AB156" s="1622">
        <v>0</v>
      </c>
      <c r="AC156" s="1622">
        <v>0</v>
      </c>
      <c r="AD156" s="1622">
        <v>0</v>
      </c>
      <c r="AE156" s="1622">
        <v>0</v>
      </c>
      <c r="AF156" s="1622">
        <v>0</v>
      </c>
      <c r="AG156" s="1622">
        <v>0</v>
      </c>
      <c r="AH156" s="1622">
        <v>0</v>
      </c>
      <c r="AI156" s="1622">
        <v>0</v>
      </c>
      <c r="AJ156" s="1622">
        <v>0</v>
      </c>
      <c r="AK156" s="1622">
        <v>0</v>
      </c>
      <c r="AL156" s="1622">
        <v>0</v>
      </c>
      <c r="AN156" s="498"/>
    </row>
    <row r="157" spans="1:40" ht="18" customHeight="1">
      <c r="A157" s="498"/>
      <c r="B157" s="1552"/>
      <c r="C157" s="1552"/>
      <c r="D157" s="1630">
        <v>213100</v>
      </c>
      <c r="E157" s="1552" t="s">
        <v>137</v>
      </c>
      <c r="F157" s="1631">
        <v>3102</v>
      </c>
      <c r="G157" s="1552" t="s">
        <v>144</v>
      </c>
      <c r="H157" s="498">
        <v>40825491120</v>
      </c>
      <c r="I157" s="498">
        <v>19716312</v>
      </c>
      <c r="J157" s="710">
        <v>678759654</v>
      </c>
      <c r="K157" s="710">
        <v>229794808</v>
      </c>
      <c r="L157" s="1678">
        <f t="shared" si="45"/>
        <v>41753761894</v>
      </c>
      <c r="N157" s="1673">
        <f>-SUMIF('1.0'!$D:$D,T_BS!D157,'1.0'!$V:$V)</f>
        <v>0</v>
      </c>
      <c r="O157" s="710">
        <f>-SUMIF('2.0'!$D:$D,T_BS!D157,'2.0'!$V:$V)</f>
        <v>0</v>
      </c>
      <c r="P157" s="710">
        <f>-ROUND(SUMIF('3.0'!$D:$D,T_BS!D157,'3.0'!$H:$H),0)</f>
        <v>-190429500</v>
      </c>
      <c r="Q157" s="720">
        <f>-ROUND(SUMIF('4.0'!$D:$D,T_BS!D157,'4.0'!$V:$V),0)</f>
        <v>0</v>
      </c>
      <c r="R157" s="710">
        <f>-ROUND(SUMIF('5.0'!$D:$D,T_BS!D157,'5.0'!$V:$V),0)</f>
        <v>0</v>
      </c>
      <c r="S157" s="720">
        <f>-ROUND(SUMIF('6.0'!$D:$D,T_BS!D157,'6.0'!$V:$V),0)</f>
        <v>0</v>
      </c>
      <c r="T157" s="720">
        <f>-ROUND(SUMIF('7.0'!$D:$D,T_BS!D157,'7.0'!$V:$V),0)</f>
        <v>0</v>
      </c>
      <c r="U157" s="720">
        <f>-ROUND(SUMIF('8.0'!$D:$D,T_BS!D157,'8.0'!$H:$H),0)</f>
        <v>0</v>
      </c>
      <c r="V157" s="1678">
        <f t="shared" si="46"/>
        <v>-190429500</v>
      </c>
      <c r="X157" s="852">
        <f t="shared" si="47"/>
        <v>41563332394</v>
      </c>
      <c r="Z157" s="1622">
        <f t="shared" si="48"/>
        <v>16340263351</v>
      </c>
      <c r="AB157" s="852">
        <v>31573727822</v>
      </c>
      <c r="AC157" s="852">
        <v>25484961160</v>
      </c>
      <c r="AD157" s="852">
        <v>28871781776</v>
      </c>
      <c r="AE157" s="852">
        <v>27712960836</v>
      </c>
      <c r="AF157" s="852">
        <v>46898154700</v>
      </c>
      <c r="AG157" s="852">
        <v>25223069043</v>
      </c>
      <c r="AH157" s="852">
        <v>18310477156</v>
      </c>
      <c r="AI157" s="852">
        <v>27642267446</v>
      </c>
      <c r="AJ157" s="852">
        <v>37055105672</v>
      </c>
      <c r="AK157" s="852">
        <v>27341589842</v>
      </c>
      <c r="AL157" s="852">
        <v>24602996218</v>
      </c>
      <c r="AN157" s="498"/>
    </row>
    <row r="158" spans="1:40" ht="18" customHeight="1">
      <c r="A158" s="498"/>
      <c r="D158" s="1598">
        <v>213150</v>
      </c>
      <c r="E158" s="1364" t="s">
        <v>137</v>
      </c>
      <c r="F158" s="1366">
        <v>3102</v>
      </c>
      <c r="G158" s="1364" t="s">
        <v>145</v>
      </c>
      <c r="H158" s="498">
        <v>76472545</v>
      </c>
      <c r="I158" s="498">
        <v>0</v>
      </c>
      <c r="J158" s="710">
        <v>0</v>
      </c>
      <c r="K158" s="710">
        <v>0</v>
      </c>
      <c r="L158" s="510">
        <f t="shared" si="45"/>
        <v>76472545</v>
      </c>
      <c r="N158" s="1673">
        <f>-SUMIF('1.0'!$D:$D,T_BS!D158,'1.0'!$V:$V)</f>
        <v>0</v>
      </c>
      <c r="O158" s="710">
        <f>-SUMIF('2.0'!$D:$D,T_BS!D158,'2.0'!$V:$V)</f>
        <v>0</v>
      </c>
      <c r="P158" s="509">
        <f>-ROUND(SUMIF('3.0'!$D:$D,T_BS!D158,'3.0'!$H:$H),0)</f>
        <v>-8515800</v>
      </c>
      <c r="Q158" s="720">
        <f>-ROUND(SUMIF('4.0'!$D:$D,T_BS!D158,'4.0'!$V:$V),0)</f>
        <v>0</v>
      </c>
      <c r="R158" s="509">
        <f>-ROUND(SUMIF('5.0'!$D:$D,T_BS!D158,'5.0'!$V:$V),0)</f>
        <v>0</v>
      </c>
      <c r="S158" s="720">
        <f>-ROUND(SUMIF('6.0'!$D:$D,T_BS!D158,'6.0'!$V:$V),0)</f>
        <v>0</v>
      </c>
      <c r="T158" s="720">
        <f>-ROUND(SUMIF('7.0'!$D:$D,T_BS!D158,'7.0'!$V:$V),0)</f>
        <v>0</v>
      </c>
      <c r="U158" s="720">
        <f>-ROUND(SUMIF('8.0'!$D:$D,T_BS!D158,'8.0'!$H:$H),0)</f>
        <v>0</v>
      </c>
      <c r="V158" s="510">
        <f t="shared" si="46"/>
        <v>-8515800</v>
      </c>
      <c r="X158" s="1622">
        <f t="shared" si="47"/>
        <v>67956745</v>
      </c>
      <c r="Z158" s="1622">
        <f t="shared" si="48"/>
        <v>-1309248236</v>
      </c>
      <c r="AB158" s="1622">
        <v>28488240</v>
      </c>
      <c r="AC158" s="1622">
        <v>28589080</v>
      </c>
      <c r="AD158" s="1622">
        <v>373047127</v>
      </c>
      <c r="AE158" s="1622">
        <v>26315200</v>
      </c>
      <c r="AF158" s="1622">
        <v>928070340</v>
      </c>
      <c r="AG158" s="1622">
        <v>1377204981</v>
      </c>
      <c r="AH158" s="1622">
        <v>1288036796</v>
      </c>
      <c r="AI158" s="1622">
        <v>1379226802</v>
      </c>
      <c r="AJ158" s="1622">
        <v>787451614</v>
      </c>
      <c r="AK158" s="1622">
        <v>838348238</v>
      </c>
      <c r="AL158" s="1622">
        <v>867129726</v>
      </c>
      <c r="AN158" s="498"/>
    </row>
    <row r="159" spans="1:40" ht="18" customHeight="1">
      <c r="A159" s="498"/>
      <c r="D159" s="1598">
        <v>213900</v>
      </c>
      <c r="E159" s="1364" t="s">
        <v>137</v>
      </c>
      <c r="F159" s="1366">
        <v>3102</v>
      </c>
      <c r="G159" s="1364" t="s">
        <v>146</v>
      </c>
      <c r="H159" s="498">
        <v>38537626</v>
      </c>
      <c r="I159" s="498">
        <v>0</v>
      </c>
      <c r="J159" s="710">
        <v>0</v>
      </c>
      <c r="K159" s="710">
        <v>0</v>
      </c>
      <c r="L159" s="510">
        <f t="shared" si="45"/>
        <v>38537626</v>
      </c>
      <c r="N159" s="1673">
        <f>-SUMIF('1.0'!$D:$D,T_BS!D159,'1.0'!$V:$V)</f>
        <v>0</v>
      </c>
      <c r="O159" s="710">
        <f>-SUMIF('2.0'!$D:$D,T_BS!D159,'2.0'!$V:$V)</f>
        <v>0</v>
      </c>
      <c r="P159" s="509">
        <f>-ROUND(SUMIF('3.0'!$D:$D,T_BS!D159,'3.0'!$H:$H),0)</f>
        <v>0</v>
      </c>
      <c r="Q159" s="720">
        <f>-ROUND(SUMIF('4.0'!$D:$D,T_BS!D159,'4.0'!$V:$V),0)</f>
        <v>0</v>
      </c>
      <c r="R159" s="509">
        <f>-ROUND(SUMIF('5.0'!$D:$D,T_BS!D159,'5.0'!$V:$V),0)</f>
        <v>0</v>
      </c>
      <c r="S159" s="720">
        <f>-ROUND(SUMIF('6.0'!$D:$D,T_BS!D159,'6.0'!$V:$V),0)</f>
        <v>0</v>
      </c>
      <c r="T159" s="720">
        <f>-ROUND(SUMIF('7.0'!$D:$D,T_BS!D159,'7.0'!$V:$V),0)</f>
        <v>0</v>
      </c>
      <c r="U159" s="720">
        <f>-ROUND(SUMIF('8.0'!$D:$D,T_BS!D159,'8.0'!$H:$H),0)</f>
        <v>0</v>
      </c>
      <c r="V159" s="510">
        <f t="shared" si="46"/>
        <v>0</v>
      </c>
      <c r="X159" s="1622">
        <f t="shared" si="47"/>
        <v>38537626</v>
      </c>
      <c r="Z159" s="1622">
        <f t="shared" si="48"/>
        <v>-33414415</v>
      </c>
      <c r="AB159" s="1622">
        <v>23696797</v>
      </c>
      <c r="AC159" s="1622">
        <v>39629093</v>
      </c>
      <c r="AD159" s="1622">
        <v>53286854</v>
      </c>
      <c r="AE159" s="1622">
        <v>38612599</v>
      </c>
      <c r="AF159" s="1622">
        <v>87070728</v>
      </c>
      <c r="AG159" s="1622">
        <v>71952041</v>
      </c>
      <c r="AH159" s="1622">
        <v>15972923</v>
      </c>
      <c r="AI159" s="1622">
        <v>30899530</v>
      </c>
      <c r="AJ159" s="1622">
        <v>24897230</v>
      </c>
      <c r="AK159" s="1622">
        <v>41765437</v>
      </c>
      <c r="AL159" s="1622">
        <v>56690746</v>
      </c>
      <c r="AN159" s="498"/>
    </row>
    <row r="160" spans="1:40" ht="18" customHeight="1">
      <c r="A160" s="498"/>
      <c r="D160" s="1598">
        <v>213800</v>
      </c>
      <c r="E160" s="1364" t="s">
        <v>137</v>
      </c>
      <c r="F160" s="1366">
        <v>3102</v>
      </c>
      <c r="G160" s="1364" t="s">
        <v>147</v>
      </c>
      <c r="H160" s="498">
        <v>54510825</v>
      </c>
      <c r="I160" s="498">
        <v>0</v>
      </c>
      <c r="J160" s="710">
        <v>0</v>
      </c>
      <c r="K160" s="710">
        <v>0</v>
      </c>
      <c r="L160" s="510">
        <f t="shared" si="45"/>
        <v>54510825</v>
      </c>
      <c r="N160" s="1673">
        <f>-SUMIF('1.0'!$D:$D,T_BS!D160,'1.0'!$V:$V)</f>
        <v>0</v>
      </c>
      <c r="O160" s="710">
        <f>-SUMIF('2.0'!$D:$D,T_BS!D160,'2.0'!$V:$V)</f>
        <v>0</v>
      </c>
      <c r="P160" s="509">
        <f>-ROUND(SUMIF('3.0'!$D:$D,T_BS!D160,'3.0'!$H:$H),0)</f>
        <v>0</v>
      </c>
      <c r="Q160" s="720">
        <f>-ROUND(SUMIF('4.0'!$D:$D,T_BS!D160,'4.0'!$V:$V),0)</f>
        <v>0</v>
      </c>
      <c r="R160" s="509">
        <f>-ROUND(SUMIF('5.0'!$D:$D,T_BS!D160,'5.0'!$V:$V),0)</f>
        <v>0</v>
      </c>
      <c r="S160" s="720">
        <f>-ROUND(SUMIF('6.0'!$D:$D,T_BS!D160,'6.0'!$V:$V),0)</f>
        <v>0</v>
      </c>
      <c r="T160" s="720">
        <f>-ROUND(SUMIF('7.0'!$D:$D,T_BS!D160,'7.0'!$V:$V),0)</f>
        <v>0</v>
      </c>
      <c r="U160" s="720">
        <f>-ROUND(SUMIF('8.0'!$D:$D,T_BS!D160,'8.0'!$H:$H),0)</f>
        <v>0</v>
      </c>
      <c r="V160" s="510">
        <f t="shared" si="46"/>
        <v>0</v>
      </c>
      <c r="X160" s="1622">
        <f t="shared" si="47"/>
        <v>54510825</v>
      </c>
      <c r="Z160" s="1622">
        <f t="shared" si="48"/>
        <v>-56841649</v>
      </c>
      <c r="AB160" s="1622">
        <v>50271839</v>
      </c>
      <c r="AC160" s="1622">
        <v>51046607</v>
      </c>
      <c r="AD160" s="1622">
        <v>52532993</v>
      </c>
      <c r="AE160" s="1622">
        <v>48915575</v>
      </c>
      <c r="AF160" s="1622">
        <v>40679962</v>
      </c>
      <c r="AG160" s="1622">
        <v>111352474</v>
      </c>
      <c r="AH160" s="1622">
        <v>26742953</v>
      </c>
      <c r="AI160" s="1622">
        <v>25323485</v>
      </c>
      <c r="AJ160" s="1622">
        <v>28363643</v>
      </c>
      <c r="AK160" s="1622">
        <v>24234431</v>
      </c>
      <c r="AL160" s="1622">
        <v>74509253</v>
      </c>
      <c r="AN160" s="498"/>
    </row>
    <row r="161" spans="1:40" ht="18" customHeight="1">
      <c r="A161" s="498"/>
      <c r="D161" s="1598">
        <v>213101</v>
      </c>
      <c r="E161" s="1364" t="s">
        <v>137</v>
      </c>
      <c r="F161" s="1366">
        <v>3102</v>
      </c>
      <c r="G161" s="1364" t="s">
        <v>148</v>
      </c>
      <c r="H161" s="498">
        <v>3269130</v>
      </c>
      <c r="I161" s="498">
        <v>0</v>
      </c>
      <c r="J161" s="710">
        <v>0</v>
      </c>
      <c r="K161" s="710">
        <v>0</v>
      </c>
      <c r="L161" s="510">
        <f t="shared" si="45"/>
        <v>3269130</v>
      </c>
      <c r="N161" s="1673">
        <f>-SUMIF('1.0'!$D:$D,T_BS!D161,'1.0'!$V:$V)</f>
        <v>0</v>
      </c>
      <c r="O161" s="710">
        <f>-SUMIF('2.0'!$D:$D,T_BS!D161,'2.0'!$V:$V)</f>
        <v>0</v>
      </c>
      <c r="P161" s="509">
        <f>-ROUND(SUMIF('3.0'!$D:$D,T_BS!D161,'3.0'!$H:$H),0)</f>
        <v>0</v>
      </c>
      <c r="Q161" s="720">
        <f>-ROUND(SUMIF('4.0'!$D:$D,T_BS!D161,'4.0'!$V:$V),0)</f>
        <v>0</v>
      </c>
      <c r="R161" s="509">
        <f>-ROUND(SUMIF('5.0'!$D:$D,T_BS!D161,'5.0'!$V:$V),0)</f>
        <v>0</v>
      </c>
      <c r="S161" s="720">
        <f>-ROUND(SUMIF('6.0'!$D:$D,T_BS!D161,'6.0'!$V:$V),0)</f>
        <v>0</v>
      </c>
      <c r="T161" s="720">
        <f>-ROUND(SUMIF('7.0'!$D:$D,T_BS!D161,'7.0'!$V:$V),0)</f>
        <v>0</v>
      </c>
      <c r="U161" s="720">
        <f>-ROUND(SUMIF('8.0'!$D:$D,T_BS!D161,'8.0'!$H:$H),0)</f>
        <v>0</v>
      </c>
      <c r="V161" s="510">
        <f t="shared" si="46"/>
        <v>0</v>
      </c>
      <c r="X161" s="1622">
        <f t="shared" si="47"/>
        <v>3269130</v>
      </c>
      <c r="Z161" s="1622">
        <f t="shared" si="48"/>
        <v>-52812990</v>
      </c>
      <c r="AB161" s="1622">
        <v>0</v>
      </c>
      <c r="AC161" s="1622">
        <v>2217350</v>
      </c>
      <c r="AD161" s="1622">
        <v>747820</v>
      </c>
      <c r="AE161" s="1622">
        <v>3939840</v>
      </c>
      <c r="AF161" s="1622">
        <v>59207650</v>
      </c>
      <c r="AG161" s="1622">
        <v>56082120</v>
      </c>
      <c r="AH161" s="1622">
        <v>28521920</v>
      </c>
      <c r="AI161" s="1622">
        <v>48220870</v>
      </c>
      <c r="AJ161" s="1622">
        <v>2628600</v>
      </c>
      <c r="AK161" s="1622">
        <v>130500</v>
      </c>
      <c r="AL161" s="1622">
        <v>0</v>
      </c>
      <c r="AN161" s="498"/>
    </row>
    <row r="162" spans="1:40" ht="18" customHeight="1">
      <c r="A162" s="498"/>
      <c r="D162" s="1598">
        <v>213200</v>
      </c>
      <c r="E162" s="1364" t="s">
        <v>137</v>
      </c>
      <c r="F162" s="1366">
        <v>3102</v>
      </c>
      <c r="G162" s="1364" t="s">
        <v>149</v>
      </c>
      <c r="H162" s="498">
        <v>171079443</v>
      </c>
      <c r="I162" s="498">
        <v>0</v>
      </c>
      <c r="J162" s="710">
        <v>0</v>
      </c>
      <c r="K162" s="710">
        <v>0</v>
      </c>
      <c r="L162" s="510">
        <f t="shared" si="45"/>
        <v>171079443</v>
      </c>
      <c r="N162" s="1673">
        <f>-SUMIF('1.0'!$D:$D,T_BS!D162,'1.0'!$V:$V)</f>
        <v>0</v>
      </c>
      <c r="O162" s="710">
        <f>-SUMIF('2.0'!$D:$D,T_BS!D162,'2.0'!$V:$V)</f>
        <v>0</v>
      </c>
      <c r="P162" s="509">
        <f>-ROUND(SUMIF('3.0'!$D:$D,T_BS!D162,'3.0'!$H:$H),0)</f>
        <v>0</v>
      </c>
      <c r="Q162" s="720">
        <f>-ROUND(SUMIF('4.0'!$D:$D,T_BS!D162,'4.0'!$V:$V),0)</f>
        <v>0</v>
      </c>
      <c r="R162" s="509">
        <f>-ROUND(SUMIF('5.0'!$D:$D,T_BS!D162,'5.0'!$V:$V),0)</f>
        <v>0</v>
      </c>
      <c r="S162" s="720">
        <f>-ROUND(SUMIF('6.0'!$D:$D,T_BS!D162,'6.0'!$V:$V),0)</f>
        <v>0</v>
      </c>
      <c r="T162" s="720">
        <f>-ROUND(SUMIF('7.0'!$D:$D,T_BS!D162,'7.0'!$V:$V),0)</f>
        <v>0</v>
      </c>
      <c r="U162" s="720">
        <f>-ROUND(SUMIF('8.0'!$D:$D,T_BS!D162,'8.0'!$H:$H),0)</f>
        <v>0</v>
      </c>
      <c r="V162" s="510">
        <f t="shared" si="46"/>
        <v>0</v>
      </c>
      <c r="X162" s="1622">
        <f t="shared" si="47"/>
        <v>171079443</v>
      </c>
      <c r="Z162" s="1622">
        <f t="shared" si="48"/>
        <v>-353840163</v>
      </c>
      <c r="AB162" s="1622">
        <v>129370414</v>
      </c>
      <c r="AC162" s="1622">
        <v>207117590</v>
      </c>
      <c r="AD162" s="1622">
        <v>197883819</v>
      </c>
      <c r="AE162" s="1622">
        <v>211702195</v>
      </c>
      <c r="AF162" s="1622">
        <v>269133368</v>
      </c>
      <c r="AG162" s="1622">
        <v>524919606</v>
      </c>
      <c r="AH162" s="1622">
        <v>325710648</v>
      </c>
      <c r="AI162" s="1622">
        <v>148304173</v>
      </c>
      <c r="AJ162" s="1622">
        <v>102434738</v>
      </c>
      <c r="AK162" s="1622">
        <v>446249362</v>
      </c>
      <c r="AL162" s="1622">
        <v>80867767</v>
      </c>
      <c r="AN162" s="498"/>
    </row>
    <row r="163" spans="1:40" s="1674" customFormat="1" ht="18" customHeight="1">
      <c r="A163" s="543"/>
      <c r="B163" s="1364"/>
      <c r="C163" s="1364"/>
      <c r="D163" s="1598">
        <v>217900</v>
      </c>
      <c r="E163" s="1364" t="s">
        <v>137</v>
      </c>
      <c r="F163" s="1366">
        <v>3103</v>
      </c>
      <c r="G163" s="1364" t="s">
        <v>150</v>
      </c>
      <c r="H163" s="498">
        <v>797129613</v>
      </c>
      <c r="I163" s="498">
        <v>2192647</v>
      </c>
      <c r="J163" s="710">
        <v>0</v>
      </c>
      <c r="K163" s="710">
        <v>0</v>
      </c>
      <c r="L163" s="510">
        <f t="shared" si="45"/>
        <v>799322260</v>
      </c>
      <c r="M163" s="1659"/>
      <c r="N163" s="1673">
        <f>-SUMIF('1.0'!$D:$D,T_BS!D163,'1.0'!$V:$V)</f>
        <v>0</v>
      </c>
      <c r="O163" s="710">
        <f>-SUMIF('2.0'!$D:$D,T_BS!D163,'2.0'!$V:$V)</f>
        <v>0</v>
      </c>
      <c r="P163" s="509">
        <f>-ROUND(SUMIF('3.0'!$D:$D,T_BS!D163,'3.0'!$H:$H),0)</f>
        <v>0</v>
      </c>
      <c r="Q163" s="720">
        <f>-ROUND(SUMIF('4.0'!$D:$D,T_BS!D163,'4.0'!$V:$V),0)</f>
        <v>0</v>
      </c>
      <c r="R163" s="509">
        <f>-ROUND(SUMIF('5.0'!$D:$D,T_BS!D163,'5.0'!$V:$V),0)</f>
        <v>0</v>
      </c>
      <c r="S163" s="720">
        <f>-ROUND(SUMIF('6.0'!$D:$D,T_BS!D163,'6.0'!$V:$V),0)</f>
        <v>0</v>
      </c>
      <c r="T163" s="720">
        <f>-ROUND(SUMIF('7.0'!$D:$D,T_BS!D163,'7.0'!$V:$V),0)</f>
        <v>0</v>
      </c>
      <c r="U163" s="720">
        <f>-ROUND(SUMIF('8.0'!$D:$D,T_BS!D163,'8.0'!$H:$H),0)</f>
        <v>0</v>
      </c>
      <c r="V163" s="510">
        <f t="shared" si="46"/>
        <v>0</v>
      </c>
      <c r="W163" s="1659"/>
      <c r="X163" s="1622">
        <f t="shared" si="47"/>
        <v>799322260</v>
      </c>
      <c r="Y163" s="1659"/>
      <c r="Z163" s="1622">
        <f t="shared" si="48"/>
        <v>-1829689262</v>
      </c>
      <c r="AA163" s="1659"/>
      <c r="AB163" s="1622">
        <v>547586942</v>
      </c>
      <c r="AC163" s="1622">
        <v>449115142</v>
      </c>
      <c r="AD163" s="1622">
        <v>603348659</v>
      </c>
      <c r="AE163" s="1622">
        <v>433391357</v>
      </c>
      <c r="AF163" s="1622">
        <v>361779374</v>
      </c>
      <c r="AG163" s="1622">
        <v>2629011522</v>
      </c>
      <c r="AH163" s="1622">
        <v>224797803</v>
      </c>
      <c r="AI163" s="1622">
        <v>263167901</v>
      </c>
      <c r="AJ163" s="1622">
        <v>461650739</v>
      </c>
      <c r="AK163" s="1622">
        <v>212176830</v>
      </c>
      <c r="AL163" s="1622">
        <v>1588352954</v>
      </c>
      <c r="AM163" s="770"/>
      <c r="AN163" s="498"/>
    </row>
    <row r="164" spans="1:40" ht="18" customHeight="1">
      <c r="A164" s="498"/>
      <c r="B164" s="1552"/>
      <c r="C164" s="1552"/>
      <c r="D164" s="1630">
        <v>217100</v>
      </c>
      <c r="E164" s="1552" t="s">
        <v>137</v>
      </c>
      <c r="F164" s="1631">
        <v>3103</v>
      </c>
      <c r="G164" s="1552" t="s">
        <v>2272</v>
      </c>
      <c r="H164" s="498">
        <v>0</v>
      </c>
      <c r="I164" s="498">
        <v>0</v>
      </c>
      <c r="J164" s="710">
        <v>0</v>
      </c>
      <c r="K164" s="710">
        <v>0</v>
      </c>
      <c r="L164" s="510">
        <f t="shared" si="45"/>
        <v>0</v>
      </c>
      <c r="N164" s="1673">
        <f>-SUMIF('1.0'!$D:$D,T_BS!D164,'1.0'!$V:$V)</f>
        <v>0</v>
      </c>
      <c r="O164" s="710">
        <f>-SUMIF('2.0'!$D:$D,T_BS!D164,'2.0'!$V:$V)</f>
        <v>0</v>
      </c>
      <c r="P164" s="710">
        <f>-ROUND(SUMIF('3.0'!$D:$D,T_BS!D164,'3.0'!$H:$H),0)</f>
        <v>0</v>
      </c>
      <c r="Q164" s="720">
        <f>-ROUND(SUMIF('4.0'!$D:$D,T_BS!D164,'4.0'!$V:$V),0)</f>
        <v>0</v>
      </c>
      <c r="R164" s="710">
        <f>-ROUND(SUMIF('5.0'!$D:$D,T_BS!D164,'5.0'!$V:$V),0)</f>
        <v>0</v>
      </c>
      <c r="S164" s="720">
        <f>-ROUND(SUMIF('6.0'!$D:$D,T_BS!D164,'6.0'!$V:$V),0)</f>
        <v>0</v>
      </c>
      <c r="T164" s="720">
        <f>-ROUND(SUMIF('7.0'!$D:$D,T_BS!D164,'7.0'!$V:$V),0)</f>
        <v>0</v>
      </c>
      <c r="U164" s="720">
        <f>-ROUND(SUMIF('8.0'!$D:$D,T_BS!D164,'8.0'!$H:$H),0)</f>
        <v>0</v>
      </c>
      <c r="V164" s="1678">
        <f>SUM(N164:U164)</f>
        <v>0</v>
      </c>
      <c r="X164" s="852">
        <f t="shared" si="47"/>
        <v>0</v>
      </c>
      <c r="Z164" s="1622">
        <f t="shared" si="48"/>
        <v>0</v>
      </c>
      <c r="AB164" s="852">
        <v>0</v>
      </c>
      <c r="AC164" s="852">
        <v>0</v>
      </c>
      <c r="AD164" s="852">
        <v>0</v>
      </c>
      <c r="AE164" s="852">
        <v>0</v>
      </c>
      <c r="AF164" s="852">
        <v>0</v>
      </c>
      <c r="AG164" s="852">
        <v>0</v>
      </c>
      <c r="AH164" s="852">
        <v>0</v>
      </c>
      <c r="AI164" s="852">
        <v>0</v>
      </c>
      <c r="AJ164" s="852">
        <v>0</v>
      </c>
      <c r="AK164" s="852"/>
      <c r="AL164" s="852">
        <v>0</v>
      </c>
      <c r="AM164" s="1674"/>
      <c r="AN164" s="498"/>
    </row>
    <row r="165" spans="1:40" ht="18" customHeight="1">
      <c r="A165" s="498"/>
      <c r="D165" s="1598">
        <v>217200</v>
      </c>
      <c r="E165" s="1364" t="s">
        <v>137</v>
      </c>
      <c r="F165" s="1366">
        <v>3103</v>
      </c>
      <c r="G165" s="1364" t="s">
        <v>151</v>
      </c>
      <c r="H165" s="498">
        <v>0</v>
      </c>
      <c r="I165" s="498">
        <v>0</v>
      </c>
      <c r="J165" s="710">
        <v>0</v>
      </c>
      <c r="K165" s="710">
        <v>10255570</v>
      </c>
      <c r="L165" s="510">
        <f t="shared" si="45"/>
        <v>10255570</v>
      </c>
      <c r="N165" s="1673">
        <f>-SUMIF('1.0'!$D:$D,T_BS!D165,'1.0'!$V:$V)</f>
        <v>0</v>
      </c>
      <c r="O165" s="710">
        <f>-SUMIF('2.0'!$D:$D,T_BS!D165,'2.0'!$V:$V)</f>
        <v>0</v>
      </c>
      <c r="P165" s="509">
        <f>-ROUND(SUMIF('3.0'!$D:$D,T_BS!D165,'3.0'!$H:$H),0)</f>
        <v>0</v>
      </c>
      <c r="Q165" s="720">
        <f>-ROUND(SUMIF('4.0'!$D:$D,T_BS!D165,'4.0'!$V:$V),0)</f>
        <v>0</v>
      </c>
      <c r="R165" s="509">
        <f>-ROUND(SUMIF('5.0'!$D:$D,T_BS!D165,'5.0'!$V:$V),0)</f>
        <v>0</v>
      </c>
      <c r="S165" s="720">
        <f>-ROUND(SUMIF('6.0'!$D:$D,T_BS!D165,'6.0'!$V:$V),0)</f>
        <v>0</v>
      </c>
      <c r="T165" s="720">
        <f>-ROUND(SUMIF('7.0'!$D:$D,T_BS!D165,'7.0'!$V:$V),0)</f>
        <v>0</v>
      </c>
      <c r="U165" s="720">
        <f>-ROUND(SUMIF('8.0'!$D:$D,T_BS!D165,'8.0'!$H:$H),0)</f>
        <v>0</v>
      </c>
      <c r="V165" s="510">
        <f t="shared" si="46"/>
        <v>0</v>
      </c>
      <c r="X165" s="1622">
        <f t="shared" si="47"/>
        <v>10255570</v>
      </c>
      <c r="Z165" s="1622">
        <f t="shared" si="48"/>
        <v>-8174608</v>
      </c>
      <c r="AB165" s="1622">
        <v>10597640</v>
      </c>
      <c r="AC165" s="1622">
        <v>10356505</v>
      </c>
      <c r="AD165" s="1622">
        <v>10355225</v>
      </c>
      <c r="AE165" s="1622">
        <v>0</v>
      </c>
      <c r="AF165" s="1622">
        <v>18218782</v>
      </c>
      <c r="AG165" s="1622">
        <v>18430178</v>
      </c>
      <c r="AH165" s="1622">
        <v>11007355</v>
      </c>
      <c r="AI165" s="1622">
        <v>11290421</v>
      </c>
      <c r="AJ165" s="1622">
        <v>9836414</v>
      </c>
      <c r="AK165" s="1622">
        <v>19202349</v>
      </c>
      <c r="AL165" s="1622">
        <v>194155208</v>
      </c>
      <c r="AN165" s="498"/>
    </row>
    <row r="166" spans="1:40" ht="18" customHeight="1">
      <c r="A166" s="498"/>
      <c r="D166" s="1598">
        <v>217300</v>
      </c>
      <c r="E166" s="1364" t="s">
        <v>137</v>
      </c>
      <c r="F166" s="1366">
        <v>3103</v>
      </c>
      <c r="G166" s="1364" t="s">
        <v>152</v>
      </c>
      <c r="H166" s="498">
        <v>167622653</v>
      </c>
      <c r="I166" s="498">
        <v>0</v>
      </c>
      <c r="J166" s="710">
        <v>0</v>
      </c>
      <c r="K166" s="710">
        <v>0</v>
      </c>
      <c r="L166" s="510">
        <f t="shared" si="45"/>
        <v>167622653</v>
      </c>
      <c r="N166" s="1673">
        <f>-SUMIF('1.0'!$D:$D,T_BS!D166,'1.0'!$V:$V)</f>
        <v>0</v>
      </c>
      <c r="O166" s="710">
        <f>-SUMIF('2.0'!$D:$D,T_BS!D166,'2.0'!$V:$V)</f>
        <v>0</v>
      </c>
      <c r="P166" s="509">
        <f>-ROUND(SUMIF('3.0'!$D:$D,T_BS!D166,'3.0'!$H:$H),0)</f>
        <v>0</v>
      </c>
      <c r="Q166" s="720">
        <f>-ROUND(SUMIF('4.0'!$D:$D,T_BS!D166,'4.0'!$V:$V),0)</f>
        <v>0</v>
      </c>
      <c r="R166" s="509">
        <f>-ROUND(SUMIF('5.0'!$D:$D,T_BS!D166,'5.0'!$V:$V),0)</f>
        <v>0</v>
      </c>
      <c r="S166" s="720">
        <f>-ROUND(SUMIF('6.0'!$D:$D,T_BS!D166,'6.0'!$V:$V),0)</f>
        <v>0</v>
      </c>
      <c r="T166" s="720">
        <f>-ROUND(SUMIF('7.0'!$D:$D,T_BS!D166,'7.0'!$V:$V),0)</f>
        <v>0</v>
      </c>
      <c r="U166" s="720">
        <f>-ROUND(SUMIF('8.0'!$D:$D,T_BS!D166,'8.0'!$H:$H),0)</f>
        <v>0</v>
      </c>
      <c r="V166" s="510">
        <f t="shared" si="46"/>
        <v>0</v>
      </c>
      <c r="X166" s="1622">
        <f t="shared" si="47"/>
        <v>167622653</v>
      </c>
      <c r="Z166" s="1622">
        <f t="shared" si="48"/>
        <v>167614116</v>
      </c>
      <c r="AB166" s="1622">
        <v>27230348</v>
      </c>
      <c r="AC166" s="1622">
        <v>328223761</v>
      </c>
      <c r="AD166" s="1622">
        <v>772700091</v>
      </c>
      <c r="AE166" s="1622">
        <v>385182360</v>
      </c>
      <c r="AF166" s="1622">
        <v>8537</v>
      </c>
      <c r="AG166" s="1622">
        <v>8537</v>
      </c>
      <c r="AH166" s="1622">
        <v>4093</v>
      </c>
      <c r="AI166" s="1622">
        <v>37166723</v>
      </c>
      <c r="AJ166" s="1622">
        <v>37154093</v>
      </c>
      <c r="AK166" s="1622">
        <v>21102298</v>
      </c>
      <c r="AL166" s="1622">
        <v>6429</v>
      </c>
      <c r="AN166" s="498"/>
    </row>
    <row r="167" spans="1:40" ht="18" customHeight="1">
      <c r="A167" s="498"/>
      <c r="D167" s="1598">
        <v>217400</v>
      </c>
      <c r="E167" s="1364" t="s">
        <v>137</v>
      </c>
      <c r="F167" s="1366">
        <v>3103</v>
      </c>
      <c r="G167" s="1364" t="s">
        <v>153</v>
      </c>
      <c r="H167" s="498">
        <v>12209203</v>
      </c>
      <c r="I167" s="498">
        <v>0</v>
      </c>
      <c r="J167" s="710">
        <v>0</v>
      </c>
      <c r="K167" s="710">
        <v>0</v>
      </c>
      <c r="L167" s="510">
        <f t="shared" si="45"/>
        <v>12209203</v>
      </c>
      <c r="N167" s="1673">
        <f>-SUMIF('1.0'!$D:$D,T_BS!D167,'1.0'!$V:$V)</f>
        <v>0</v>
      </c>
      <c r="O167" s="710">
        <f>-SUMIF('2.0'!$D:$D,T_BS!D167,'2.0'!$V:$V)</f>
        <v>0</v>
      </c>
      <c r="P167" s="509">
        <f>-ROUND(SUMIF('3.0'!$D:$D,T_BS!D167,'3.0'!$H:$H),0)</f>
        <v>0</v>
      </c>
      <c r="Q167" s="720">
        <f>-ROUND(SUMIF('4.0'!$D:$D,T_BS!D167,'4.0'!$V:$V),0)</f>
        <v>0</v>
      </c>
      <c r="R167" s="509">
        <f>-ROUND(SUMIF('5.0'!$D:$D,T_BS!D167,'5.0'!$V:$V),0)</f>
        <v>0</v>
      </c>
      <c r="S167" s="720">
        <f>-ROUND(SUMIF('6.0'!$D:$D,T_BS!D167,'6.0'!$V:$V),0)</f>
        <v>0</v>
      </c>
      <c r="T167" s="720">
        <f>-ROUND(SUMIF('7.0'!$D:$D,T_BS!D167,'7.0'!$V:$V),0)</f>
        <v>0</v>
      </c>
      <c r="U167" s="720">
        <f>-ROUND(SUMIF('8.0'!$D:$D,T_BS!D167,'8.0'!$H:$H),0)</f>
        <v>0</v>
      </c>
      <c r="V167" s="510">
        <f t="shared" si="46"/>
        <v>0</v>
      </c>
      <c r="X167" s="1622">
        <f t="shared" si="47"/>
        <v>12209203</v>
      </c>
      <c r="Z167" s="1622">
        <f t="shared" si="48"/>
        <v>-135879954</v>
      </c>
      <c r="AB167" s="1622">
        <v>23043631</v>
      </c>
      <c r="AC167" s="1622">
        <v>15011078</v>
      </c>
      <c r="AD167" s="1622">
        <v>10259597</v>
      </c>
      <c r="AE167" s="1622">
        <v>21927323</v>
      </c>
      <c r="AF167" s="1622">
        <v>26863363</v>
      </c>
      <c r="AG167" s="1622">
        <v>148089157</v>
      </c>
      <c r="AH167" s="1622">
        <v>98422095</v>
      </c>
      <c r="AI167" s="1622">
        <v>91707586</v>
      </c>
      <c r="AJ167" s="1622">
        <v>68768297</v>
      </c>
      <c r="AK167" s="1622">
        <v>40118443</v>
      </c>
      <c r="AL167" s="1622">
        <v>30282251</v>
      </c>
      <c r="AN167" s="498"/>
    </row>
    <row r="168" spans="1:40" ht="18" customHeight="1">
      <c r="A168" s="498"/>
      <c r="D168" s="1598">
        <v>217500</v>
      </c>
      <c r="E168" s="1364" t="s">
        <v>137</v>
      </c>
      <c r="F168" s="1366">
        <v>3103</v>
      </c>
      <c r="G168" s="1364" t="s">
        <v>154</v>
      </c>
      <c r="H168" s="498">
        <v>991478200</v>
      </c>
      <c r="I168" s="498">
        <v>3370600</v>
      </c>
      <c r="J168" s="710">
        <v>0</v>
      </c>
      <c r="K168" s="710">
        <v>0</v>
      </c>
      <c r="L168" s="510">
        <f t="shared" si="45"/>
        <v>994848800</v>
      </c>
      <c r="N168" s="1673">
        <f>-SUMIF('1.0'!$D:$D,T_BS!D168,'1.0'!$V:$V)</f>
        <v>0</v>
      </c>
      <c r="O168" s="710">
        <f>-SUMIF('2.0'!$D:$D,T_BS!D168,'2.0'!$V:$V)</f>
        <v>0</v>
      </c>
      <c r="P168" s="509">
        <f>-ROUND(SUMIF('3.0'!$D:$D,T_BS!D168,'3.0'!$H:$H),0)</f>
        <v>0</v>
      </c>
      <c r="Q168" s="720">
        <f>-ROUND(SUMIF('4.0'!$D:$D,T_BS!D168,'4.0'!$V:$V),0)</f>
        <v>0</v>
      </c>
      <c r="R168" s="509">
        <f>-ROUND(SUMIF('5.0'!$D:$D,T_BS!D168,'5.0'!$V:$V),0)</f>
        <v>0</v>
      </c>
      <c r="S168" s="720">
        <f>-ROUND(SUMIF('6.0'!$D:$D,T_BS!D168,'6.0'!$V:$V),0)</f>
        <v>0</v>
      </c>
      <c r="T168" s="720">
        <f>-ROUND(SUMIF('7.0'!$D:$D,T_BS!D168,'7.0'!$V:$V),0)</f>
        <v>0</v>
      </c>
      <c r="U168" s="720">
        <f>-ROUND(SUMIF('8.0'!$D:$D,T_BS!D168,'8.0'!$H:$H),0)</f>
        <v>0</v>
      </c>
      <c r="V168" s="510">
        <f t="shared" si="46"/>
        <v>0</v>
      </c>
      <c r="X168" s="1622">
        <f t="shared" si="47"/>
        <v>994848800</v>
      </c>
      <c r="Z168" s="1622">
        <f t="shared" si="48"/>
        <v>205654299</v>
      </c>
      <c r="AB168" s="1622">
        <v>994848800</v>
      </c>
      <c r="AC168" s="1622">
        <v>931026086</v>
      </c>
      <c r="AD168" s="1622">
        <v>931026086</v>
      </c>
      <c r="AE168" s="1622">
        <v>931026086</v>
      </c>
      <c r="AF168" s="1622">
        <v>872565299</v>
      </c>
      <c r="AG168" s="1622">
        <v>789194501</v>
      </c>
      <c r="AH168" s="1622">
        <v>985058394</v>
      </c>
      <c r="AI168" s="1622">
        <v>985226370</v>
      </c>
      <c r="AJ168" s="1622">
        <v>971304430</v>
      </c>
      <c r="AK168" s="1622">
        <v>887958790</v>
      </c>
      <c r="AL168" s="1622">
        <v>769571220</v>
      </c>
      <c r="AN168" s="498"/>
    </row>
    <row r="169" spans="1:40" ht="18" customHeight="1">
      <c r="A169" s="498"/>
      <c r="B169" s="1367"/>
      <c r="D169" s="1598" t="s">
        <v>1535</v>
      </c>
      <c r="E169" s="1364" t="s">
        <v>137</v>
      </c>
      <c r="F169" s="1366">
        <v>3103</v>
      </c>
      <c r="G169" s="1364" t="s">
        <v>1536</v>
      </c>
      <c r="H169" s="498">
        <v>0</v>
      </c>
      <c r="I169" s="498">
        <v>0</v>
      </c>
      <c r="J169" s="710">
        <v>0</v>
      </c>
      <c r="K169" s="710">
        <v>0</v>
      </c>
      <c r="L169" s="510">
        <f t="shared" si="45"/>
        <v>0</v>
      </c>
      <c r="N169" s="1673">
        <f>-SUMIF('1.0'!$D:$D,T_BS!D169,'1.0'!$V:$V)</f>
        <v>0</v>
      </c>
      <c r="O169" s="710">
        <f>-SUMIF('2.0'!$D:$D,T_BS!D169,'2.0'!$V:$V)</f>
        <v>0</v>
      </c>
      <c r="P169" s="509">
        <f>-ROUND(SUMIF('3.0'!$D:$D,T_BS!D169,'3.0'!$H:$H),0)</f>
        <v>0</v>
      </c>
      <c r="Q169" s="720">
        <f>-ROUND(SUMIF('4.0'!$D:$D,T_BS!D169,'4.0'!$V:$V),0)</f>
        <v>0</v>
      </c>
      <c r="R169" s="509">
        <f>-ROUND(SUMIF('5.0'!$D:$D,T_BS!D169,'5.0'!$V:$V),0)</f>
        <v>0</v>
      </c>
      <c r="S169" s="720">
        <f>-ROUND(SUMIF('6.0'!$D:$D,T_BS!D169,'6.0'!$V:$V),0)</f>
        <v>0</v>
      </c>
      <c r="T169" s="720">
        <f>-ROUND(SUMIF('7.0'!$D:$D,T_BS!D169,'7.0'!$V:$V),0)</f>
        <v>0</v>
      </c>
      <c r="U169" s="720">
        <f>-ROUND(SUMIF('8.0'!$D:$D,T_BS!D169,'8.0'!$H:$H),0)</f>
        <v>0</v>
      </c>
      <c r="V169" s="510">
        <f t="shared" si="46"/>
        <v>0</v>
      </c>
      <c r="X169" s="1622">
        <f t="shared" si="47"/>
        <v>0</v>
      </c>
      <c r="Z169" s="1622">
        <f t="shared" si="48"/>
        <v>0</v>
      </c>
      <c r="AB169" s="1622">
        <v>0</v>
      </c>
      <c r="AC169" s="1622">
        <v>0</v>
      </c>
      <c r="AD169" s="1622">
        <v>0</v>
      </c>
      <c r="AE169" s="1622">
        <v>0</v>
      </c>
      <c r="AF169" s="1622">
        <v>0</v>
      </c>
      <c r="AG169" s="1622">
        <v>0</v>
      </c>
      <c r="AH169" s="1622">
        <v>0</v>
      </c>
      <c r="AI169" s="1622">
        <v>0</v>
      </c>
      <c r="AJ169" s="1622">
        <v>0</v>
      </c>
      <c r="AK169" s="1622">
        <v>0</v>
      </c>
      <c r="AL169" s="1622">
        <v>0</v>
      </c>
      <c r="AN169" s="498"/>
    </row>
    <row r="170" spans="1:40" s="1659" customFormat="1" ht="18" customHeight="1">
      <c r="A170" s="575"/>
      <c r="B170" s="1089"/>
      <c r="C170" s="1089"/>
      <c r="D170" s="1676">
        <v>223150</v>
      </c>
      <c r="E170" s="1089" t="s">
        <v>137</v>
      </c>
      <c r="F170" s="1680">
        <v>3104</v>
      </c>
      <c r="G170" s="1089" t="s">
        <v>155</v>
      </c>
      <c r="H170" s="498">
        <v>0</v>
      </c>
      <c r="I170" s="498">
        <v>0</v>
      </c>
      <c r="J170" s="710">
        <v>0</v>
      </c>
      <c r="K170" s="710">
        <v>0</v>
      </c>
      <c r="L170" s="1646">
        <f t="shared" si="45"/>
        <v>0</v>
      </c>
      <c r="N170" s="1642">
        <f>-SUMIF('1.0'!$D:$D,T_BS!D170,'1.0'!$V:$V)</f>
        <v>0</v>
      </c>
      <c r="O170" s="925">
        <f>-SUMIF('2.0'!$D:$D,T_BS!D170,'2.0'!$V:$V)</f>
        <v>0</v>
      </c>
      <c r="P170" s="925">
        <f>-ROUND(SUMIF('3.0'!$D:$D,T_BS!D170,'3.0'!$H:$H),0)</f>
        <v>0</v>
      </c>
      <c r="Q170" s="1119">
        <f>-ROUND(SUMIF('4.0'!$D:$D,T_BS!D170,'4.0'!$V:$V),0)</f>
        <v>0</v>
      </c>
      <c r="R170" s="925">
        <f>-ROUND(SUMIF('5.0'!$D:$D,T_BS!D170,'5.0'!$V:$V),0)</f>
        <v>0</v>
      </c>
      <c r="S170" s="1119">
        <f>-ROUND(SUMIF('6.0'!$D:$D,T_BS!D170,'6.0'!$V:$V),0)</f>
        <v>0</v>
      </c>
      <c r="T170" s="720">
        <f>-ROUND(SUMIF('7.0'!$D:$D,T_BS!D170,'7.0'!$V:$V),0)</f>
        <v>0</v>
      </c>
      <c r="U170" s="1119">
        <f>-ROUND(SUMIF('8.0'!$D:$D,T_BS!D170,'8.0'!$H:$H),0)</f>
        <v>0</v>
      </c>
      <c r="V170" s="1646">
        <f t="shared" si="46"/>
        <v>0</v>
      </c>
      <c r="X170" s="1647">
        <f t="shared" si="47"/>
        <v>0</v>
      </c>
      <c r="Z170" s="1622">
        <f t="shared" si="48"/>
        <v>0</v>
      </c>
      <c r="AB170" s="1647">
        <v>0</v>
      </c>
      <c r="AC170" s="1647">
        <v>0</v>
      </c>
      <c r="AD170" s="1647">
        <v>0</v>
      </c>
      <c r="AE170" s="1647">
        <v>0</v>
      </c>
      <c r="AF170" s="1647">
        <v>0</v>
      </c>
      <c r="AG170" s="1647">
        <v>0</v>
      </c>
      <c r="AH170" s="1647">
        <v>0</v>
      </c>
      <c r="AI170" s="1647">
        <v>0</v>
      </c>
      <c r="AJ170" s="1647">
        <v>0</v>
      </c>
      <c r="AK170" s="1647">
        <v>0</v>
      </c>
      <c r="AL170" s="1647">
        <v>0</v>
      </c>
      <c r="AN170" s="498"/>
    </row>
    <row r="171" spans="1:40" ht="18" customHeight="1">
      <c r="A171" s="498"/>
      <c r="D171" s="1593"/>
      <c r="E171" s="1594"/>
      <c r="F171" s="1595"/>
      <c r="G171" s="1594" t="s">
        <v>156</v>
      </c>
      <c r="H171" s="520">
        <f>SUM(H172:H178)</f>
        <v>51782363760</v>
      </c>
      <c r="I171" s="520">
        <f>SUM(I172:I178)</f>
        <v>0</v>
      </c>
      <c r="J171" s="520">
        <f>SUM(J172:J178)</f>
        <v>0</v>
      </c>
      <c r="K171" s="520">
        <f>SUM(K172:K178)</f>
        <v>0</v>
      </c>
      <c r="L171" s="507">
        <f>SUM(L172:L178)</f>
        <v>51782363760</v>
      </c>
      <c r="N171" s="1637">
        <f t="shared" ref="N171:V171" si="49">SUM(N172:N178)</f>
        <v>0</v>
      </c>
      <c r="O171" s="506">
        <f t="shared" si="49"/>
        <v>0</v>
      </c>
      <c r="P171" s="506">
        <f t="shared" si="49"/>
        <v>0</v>
      </c>
      <c r="Q171" s="506">
        <f t="shared" si="49"/>
        <v>0</v>
      </c>
      <c r="R171" s="506">
        <f t="shared" si="49"/>
        <v>0</v>
      </c>
      <c r="S171" s="506">
        <f t="shared" si="49"/>
        <v>0</v>
      </c>
      <c r="T171" s="506">
        <f t="shared" si="49"/>
        <v>0</v>
      </c>
      <c r="U171" s="506">
        <f t="shared" si="49"/>
        <v>0</v>
      </c>
      <c r="V171" s="507">
        <f t="shared" si="49"/>
        <v>0</v>
      </c>
      <c r="X171" s="1636">
        <f>SUM(X172:X178)</f>
        <v>51782363760</v>
      </c>
      <c r="Z171" s="1636">
        <f>SUM(Z172:Z178)</f>
        <v>-41363014942</v>
      </c>
      <c r="AB171" s="1636">
        <v>51782363760</v>
      </c>
      <c r="AC171" s="1636">
        <v>60131331830</v>
      </c>
      <c r="AD171" s="1636">
        <v>60131331830</v>
      </c>
      <c r="AE171" s="1636">
        <v>60131331830</v>
      </c>
      <c r="AF171" s="1636">
        <v>83715356003</v>
      </c>
      <c r="AG171" s="1636">
        <v>93145378702</v>
      </c>
      <c r="AH171" s="1636">
        <v>77995296477</v>
      </c>
      <c r="AI171" s="1636">
        <v>77995296477</v>
      </c>
      <c r="AJ171" s="1636">
        <v>88600114385</v>
      </c>
      <c r="AK171" s="1636">
        <f>SUM(AK172:AK178)</f>
        <v>0</v>
      </c>
      <c r="AL171" s="1636">
        <v>0</v>
      </c>
      <c r="AN171" s="498"/>
    </row>
    <row r="172" spans="1:40" ht="18" customHeight="1">
      <c r="A172" s="498"/>
      <c r="D172" s="1598">
        <v>212300</v>
      </c>
      <c r="E172" s="1364" t="s">
        <v>156</v>
      </c>
      <c r="F172" s="1366"/>
      <c r="G172" s="1364" t="s">
        <v>157</v>
      </c>
      <c r="H172" s="498">
        <v>0</v>
      </c>
      <c r="I172" s="498">
        <v>0</v>
      </c>
      <c r="J172" s="710">
        <v>0</v>
      </c>
      <c r="K172" s="710">
        <v>0</v>
      </c>
      <c r="L172" s="510">
        <f t="shared" ref="L172:L178" si="50">SUM(H172:K172)</f>
        <v>0</v>
      </c>
      <c r="N172" s="1673">
        <f>-SUMIF('1.0'!$D:$D,T_BS!D172,'1.0'!$V:$V)</f>
        <v>0</v>
      </c>
      <c r="O172" s="710">
        <f>-SUMIF('2.0'!$D:$D,T_BS!D172,'2.0'!$V:$V)</f>
        <v>0</v>
      </c>
      <c r="P172" s="509">
        <f>-ROUND(SUMIF('3.0'!$D:$D,T_BS!D172,'3.0'!$H:$H),0)</f>
        <v>0</v>
      </c>
      <c r="Q172" s="720">
        <f>-ROUND(SUMIF('4.0'!$D:$D,T_BS!D172,'4.0'!$V:$V),0)</f>
        <v>0</v>
      </c>
      <c r="R172" s="509">
        <f>-ROUND(SUMIF('5.0'!$D:$D,T_BS!D172,'5.0'!$V:$V),0)</f>
        <v>0</v>
      </c>
      <c r="S172" s="720">
        <f>-ROUND(SUMIF('6.0'!$D:$D,T_BS!D172,'6.0'!$V:$V),0)</f>
        <v>0</v>
      </c>
      <c r="T172" s="720">
        <f>-ROUND(SUMIF('7.0'!$D:$D,T_BS!D172,'7.0'!$V:$V),0)</f>
        <v>0</v>
      </c>
      <c r="U172" s="720">
        <f>-ROUND(SUMIF('8.0'!$D:$D,T_BS!D172,'8.0'!$H:$H),0)</f>
        <v>0</v>
      </c>
      <c r="V172" s="510">
        <f t="shared" ref="V172:V211" si="51">SUM(N172:U172)</f>
        <v>0</v>
      </c>
      <c r="X172" s="1622">
        <f t="shared" ref="X172:X178" si="52">V172+L172</f>
        <v>0</v>
      </c>
      <c r="Z172" s="1622">
        <f t="shared" ref="Z172:Z178" si="53">X172-AG172</f>
        <v>0</v>
      </c>
      <c r="AB172" s="1622">
        <v>0</v>
      </c>
      <c r="AC172" s="1622">
        <v>0</v>
      </c>
      <c r="AD172" s="1622">
        <v>0</v>
      </c>
      <c r="AE172" s="1622">
        <v>0</v>
      </c>
      <c r="AF172" s="1622">
        <v>0</v>
      </c>
      <c r="AG172" s="1622">
        <v>0</v>
      </c>
      <c r="AH172" s="1622">
        <v>0</v>
      </c>
      <c r="AI172" s="1622">
        <v>0</v>
      </c>
      <c r="AJ172" s="1622">
        <v>0</v>
      </c>
      <c r="AK172" s="1622">
        <v>0</v>
      </c>
      <c r="AL172" s="1622">
        <v>0</v>
      </c>
      <c r="AN172" s="498"/>
    </row>
    <row r="173" spans="1:40" ht="18" customHeight="1">
      <c r="A173" s="498"/>
      <c r="B173" s="1367"/>
      <c r="D173" s="1630">
        <v>212500</v>
      </c>
      <c r="E173" s="1552" t="s">
        <v>156</v>
      </c>
      <c r="F173" s="1366"/>
      <c r="G173" s="1364" t="s">
        <v>1547</v>
      </c>
      <c r="H173" s="498">
        <v>0</v>
      </c>
      <c r="I173" s="498">
        <v>0</v>
      </c>
      <c r="J173" s="710">
        <v>0</v>
      </c>
      <c r="K173" s="710">
        <v>0</v>
      </c>
      <c r="L173" s="510">
        <f t="shared" si="50"/>
        <v>0</v>
      </c>
      <c r="N173" s="1673">
        <f>-SUMIF('1.0'!$D:$D,T_BS!D173,'1.0'!$V:$V)</f>
        <v>0</v>
      </c>
      <c r="O173" s="710">
        <f>-SUMIF('2.0'!$D:$D,T_BS!D173,'2.0'!$V:$V)</f>
        <v>0</v>
      </c>
      <c r="P173" s="509">
        <f>-ROUND(SUMIF('3.0'!$D:$D,T_BS!D173,'3.0'!$H:$H),0)</f>
        <v>0</v>
      </c>
      <c r="Q173" s="720">
        <f>-ROUND(SUMIF('4.0'!$D:$D,T_BS!D173,'4.0'!$V:$V),0)</f>
        <v>0</v>
      </c>
      <c r="R173" s="509">
        <f>-ROUND(SUMIF('5.0'!$D:$D,T_BS!D173,'5.0'!$V:$V),0)</f>
        <v>0</v>
      </c>
      <c r="S173" s="720">
        <f>-ROUND(SUMIF('6.0'!$D:$D,T_BS!D173,'6.0'!$V:$V),0)</f>
        <v>0</v>
      </c>
      <c r="T173" s="720">
        <f>-ROUND(SUMIF('7.0'!$D:$D,T_BS!D173,'7.0'!$V:$V),0)</f>
        <v>0</v>
      </c>
      <c r="U173" s="720">
        <f>-ROUND(SUMIF('8.0'!$D:$D,T_BS!D173,'8.0'!$H:$H),0)</f>
        <v>0</v>
      </c>
      <c r="V173" s="510">
        <f t="shared" si="51"/>
        <v>0</v>
      </c>
      <c r="X173" s="1622">
        <f t="shared" si="52"/>
        <v>0</v>
      </c>
      <c r="Z173" s="1622">
        <f t="shared" si="53"/>
        <v>0</v>
      </c>
      <c r="AB173" s="1622">
        <v>0</v>
      </c>
      <c r="AC173" s="1622">
        <v>0</v>
      </c>
      <c r="AD173" s="1622">
        <v>0</v>
      </c>
      <c r="AE173" s="1622">
        <v>0</v>
      </c>
      <c r="AF173" s="1622">
        <v>0</v>
      </c>
      <c r="AG173" s="1622">
        <v>0</v>
      </c>
      <c r="AH173" s="1622">
        <v>0</v>
      </c>
      <c r="AI173" s="1622">
        <v>0</v>
      </c>
      <c r="AJ173" s="1622">
        <v>0</v>
      </c>
      <c r="AK173" s="1622">
        <v>0</v>
      </c>
      <c r="AL173" s="1622">
        <v>0</v>
      </c>
      <c r="AN173" s="498"/>
    </row>
    <row r="174" spans="1:40" ht="18" customHeight="1">
      <c r="A174" s="498"/>
      <c r="D174" s="1630">
        <v>230320</v>
      </c>
      <c r="E174" s="1552" t="s">
        <v>156</v>
      </c>
      <c r="F174" s="1366">
        <v>3501</v>
      </c>
      <c r="G174" s="1364" t="s">
        <v>158</v>
      </c>
      <c r="H174" s="498">
        <v>0</v>
      </c>
      <c r="I174" s="498">
        <v>0</v>
      </c>
      <c r="J174" s="710">
        <v>0</v>
      </c>
      <c r="K174" s="710">
        <v>0</v>
      </c>
      <c r="L174" s="510">
        <f t="shared" si="50"/>
        <v>0</v>
      </c>
      <c r="N174" s="1673">
        <f>-SUMIF('1.0'!$D:$D,T_BS!D174,'1.0'!$V:$V)</f>
        <v>0</v>
      </c>
      <c r="O174" s="710">
        <f>-SUMIF('2.0'!$D:$D,T_BS!D174,'2.0'!$V:$V)</f>
        <v>0</v>
      </c>
      <c r="P174" s="509">
        <f>-ROUND(SUMIF('3.0'!$D:$D,T_BS!D174,'3.0'!$H:$H),0)</f>
        <v>0</v>
      </c>
      <c r="Q174" s="720">
        <f>-ROUND(SUMIF('4.0'!$D:$D,T_BS!D174,'4.0'!$V:$V),0)</f>
        <v>0</v>
      </c>
      <c r="R174" s="509">
        <f>-ROUND(SUMIF('5.0'!$D:$D,T_BS!D174,'5.0'!$V:$V),0)</f>
        <v>0</v>
      </c>
      <c r="S174" s="720">
        <f>-ROUND(SUMIF('6.0'!$D:$D,T_BS!D174,'6.0'!$V:$V),0)</f>
        <v>0</v>
      </c>
      <c r="T174" s="720">
        <f>-ROUND(SUMIF('7.0'!$D:$D,T_BS!D174,'7.0'!$V:$V),0)</f>
        <v>0</v>
      </c>
      <c r="U174" s="720">
        <f>-ROUND(SUMIF('8.0'!$D:$D,T_BS!D174,'8.0'!$H:$H),0)</f>
        <v>0</v>
      </c>
      <c r="V174" s="510">
        <f t="shared" si="51"/>
        <v>0</v>
      </c>
      <c r="X174" s="1622">
        <f t="shared" si="52"/>
        <v>0</v>
      </c>
      <c r="Z174" s="1622">
        <f t="shared" si="53"/>
        <v>0</v>
      </c>
      <c r="AB174" s="1622">
        <v>0</v>
      </c>
      <c r="AC174" s="1622">
        <v>0</v>
      </c>
      <c r="AD174" s="1622">
        <v>0</v>
      </c>
      <c r="AE174" s="1622">
        <v>0</v>
      </c>
      <c r="AF174" s="1622">
        <v>0</v>
      </c>
      <c r="AG174" s="1622">
        <v>0</v>
      </c>
      <c r="AH174" s="1622">
        <v>0</v>
      </c>
      <c r="AI174" s="1622">
        <v>0</v>
      </c>
      <c r="AJ174" s="1622">
        <v>0</v>
      </c>
      <c r="AK174" s="1622">
        <v>0</v>
      </c>
      <c r="AL174" s="1622">
        <v>0</v>
      </c>
      <c r="AN174" s="498"/>
    </row>
    <row r="175" spans="1:40" ht="18" customHeight="1">
      <c r="A175" s="498"/>
      <c r="D175" s="1598">
        <v>230321</v>
      </c>
      <c r="E175" s="1364" t="s">
        <v>156</v>
      </c>
      <c r="F175" s="1366">
        <v>3502</v>
      </c>
      <c r="G175" s="1364" t="s">
        <v>159</v>
      </c>
      <c r="H175" s="498">
        <v>0</v>
      </c>
      <c r="I175" s="498">
        <v>0</v>
      </c>
      <c r="J175" s="710">
        <v>0</v>
      </c>
      <c r="K175" s="710">
        <v>0</v>
      </c>
      <c r="L175" s="510">
        <f t="shared" si="50"/>
        <v>0</v>
      </c>
      <c r="N175" s="1673">
        <f>-SUMIF('1.0'!$D:$D,T_BS!D175,'1.0'!$V:$V)</f>
        <v>0</v>
      </c>
      <c r="O175" s="710">
        <f>-SUMIF('2.0'!$D:$D,T_BS!D175,'2.0'!$V:$V)</f>
        <v>0</v>
      </c>
      <c r="P175" s="509">
        <f>-ROUND(SUMIF('3.0'!$D:$D,T_BS!D175,'3.0'!$H:$H),0)</f>
        <v>0</v>
      </c>
      <c r="Q175" s="720">
        <f>-ROUND(SUMIF('4.0'!$D:$D,T_BS!D175,'4.0'!$V:$V),0)</f>
        <v>0</v>
      </c>
      <c r="R175" s="509">
        <f>-ROUND(SUMIF('5.0'!$D:$D,T_BS!D175,'5.0'!$V:$V),0)</f>
        <v>0</v>
      </c>
      <c r="S175" s="720">
        <f>-ROUND(SUMIF('6.0'!$D:$D,T_BS!D175,'6.0'!$V:$V),0)</f>
        <v>0</v>
      </c>
      <c r="T175" s="720">
        <f>-ROUND(SUMIF('7.0'!$D:$D,T_BS!D175,'7.0'!$V:$V),0)</f>
        <v>0</v>
      </c>
      <c r="U175" s="720">
        <f>-ROUND(SUMIF('8.0'!$D:$D,T_BS!D175,'8.0'!$H:$H),0)</f>
        <v>0</v>
      </c>
      <c r="V175" s="510">
        <f t="shared" si="51"/>
        <v>0</v>
      </c>
      <c r="X175" s="1622">
        <f t="shared" si="52"/>
        <v>0</v>
      </c>
      <c r="Z175" s="1622">
        <f t="shared" si="53"/>
        <v>0</v>
      </c>
      <c r="AB175" s="1622">
        <v>0</v>
      </c>
      <c r="AC175" s="1622">
        <v>0</v>
      </c>
      <c r="AD175" s="1622">
        <v>0</v>
      </c>
      <c r="AE175" s="1622">
        <v>0</v>
      </c>
      <c r="AF175" s="1622">
        <v>0</v>
      </c>
      <c r="AG175" s="1622">
        <v>0</v>
      </c>
      <c r="AH175" s="1622">
        <v>0</v>
      </c>
      <c r="AI175" s="1622">
        <v>0</v>
      </c>
      <c r="AJ175" s="1622">
        <v>0</v>
      </c>
      <c r="AK175" s="1622">
        <v>0</v>
      </c>
      <c r="AL175" s="1622">
        <v>0</v>
      </c>
      <c r="AN175" s="498"/>
    </row>
    <row r="176" spans="1:40" ht="18" customHeight="1">
      <c r="A176" s="498"/>
      <c r="D176" s="1598">
        <v>230322</v>
      </c>
      <c r="E176" s="1364" t="s">
        <v>156</v>
      </c>
      <c r="F176" s="1366">
        <v>3503</v>
      </c>
      <c r="G176" s="1364" t="s">
        <v>160</v>
      </c>
      <c r="H176" s="498">
        <v>0</v>
      </c>
      <c r="I176" s="498">
        <v>0</v>
      </c>
      <c r="J176" s="710">
        <v>0</v>
      </c>
      <c r="K176" s="710">
        <v>0</v>
      </c>
      <c r="L176" s="510">
        <f t="shared" si="50"/>
        <v>0</v>
      </c>
      <c r="N176" s="1673">
        <f>-SUMIF('1.0'!$D:$D,T_BS!D176,'1.0'!$V:$V)</f>
        <v>0</v>
      </c>
      <c r="O176" s="710">
        <f>-SUMIF('2.0'!$D:$D,T_BS!D176,'2.0'!$V:$V)</f>
        <v>0</v>
      </c>
      <c r="P176" s="509">
        <f>-ROUND(SUMIF('3.0'!$D:$D,T_BS!D176,'3.0'!$H:$H),0)</f>
        <v>0</v>
      </c>
      <c r="Q176" s="720">
        <f>-ROUND(SUMIF('4.0'!$D:$D,T_BS!D176,'4.0'!$V:$V),0)</f>
        <v>0</v>
      </c>
      <c r="R176" s="509">
        <f>-ROUND(SUMIF('5.0'!$D:$D,T_BS!D176,'5.0'!$V:$V),0)</f>
        <v>0</v>
      </c>
      <c r="S176" s="720">
        <f>-ROUND(SUMIF('6.0'!$D:$D,T_BS!D176,'6.0'!$V:$V),0)</f>
        <v>0</v>
      </c>
      <c r="T176" s="720">
        <f>-ROUND(SUMIF('7.0'!$D:$D,T_BS!D176,'7.0'!$V:$V),0)</f>
        <v>0</v>
      </c>
      <c r="U176" s="720">
        <f>-ROUND(SUMIF('8.0'!$D:$D,T_BS!D176,'8.0'!$H:$H),0)</f>
        <v>0</v>
      </c>
      <c r="V176" s="510">
        <f t="shared" si="51"/>
        <v>0</v>
      </c>
      <c r="X176" s="1622">
        <f t="shared" si="52"/>
        <v>0</v>
      </c>
      <c r="Z176" s="1622">
        <f t="shared" si="53"/>
        <v>0</v>
      </c>
      <c r="AB176" s="1622">
        <v>0</v>
      </c>
      <c r="AC176" s="1622">
        <v>0</v>
      </c>
      <c r="AD176" s="1622">
        <v>0</v>
      </c>
      <c r="AE176" s="1622">
        <v>0</v>
      </c>
      <c r="AF176" s="1622">
        <v>0</v>
      </c>
      <c r="AG176" s="1622">
        <v>0</v>
      </c>
      <c r="AH176" s="1622">
        <v>0</v>
      </c>
      <c r="AI176" s="1622">
        <v>0</v>
      </c>
      <c r="AJ176" s="1622">
        <v>0</v>
      </c>
      <c r="AK176" s="1622">
        <v>0</v>
      </c>
      <c r="AL176" s="1622">
        <v>0</v>
      </c>
      <c r="AN176" s="498"/>
    </row>
    <row r="177" spans="1:40" s="1674" customFormat="1" ht="18" customHeight="1">
      <c r="A177" s="543"/>
      <c r="B177" s="1364"/>
      <c r="C177" s="1364"/>
      <c r="D177" s="1598">
        <v>230325</v>
      </c>
      <c r="E177" s="1364" t="s">
        <v>156</v>
      </c>
      <c r="F177" s="1366">
        <v>3502</v>
      </c>
      <c r="G177" s="1364" t="s">
        <v>161</v>
      </c>
      <c r="H177" s="498">
        <v>0</v>
      </c>
      <c r="I177" s="498">
        <v>0</v>
      </c>
      <c r="J177" s="710">
        <v>0</v>
      </c>
      <c r="K177" s="710">
        <v>0</v>
      </c>
      <c r="L177" s="510">
        <f t="shared" si="50"/>
        <v>0</v>
      </c>
      <c r="M177" s="1659"/>
      <c r="N177" s="1673">
        <f>-SUMIF('1.0'!$D:$D,T_BS!D177,'1.0'!$V:$V)</f>
        <v>0</v>
      </c>
      <c r="O177" s="710">
        <f>-SUMIF('2.0'!$D:$D,T_BS!D177,'2.0'!$V:$V)</f>
        <v>0</v>
      </c>
      <c r="P177" s="509">
        <f>-ROUND(SUMIF('3.0'!$D:$D,T_BS!D177,'3.0'!$H:$H),0)</f>
        <v>0</v>
      </c>
      <c r="Q177" s="720">
        <f>-ROUND(SUMIF('4.0'!$D:$D,T_BS!D177,'4.0'!$V:$V),0)</f>
        <v>0</v>
      </c>
      <c r="R177" s="509">
        <f>-ROUND(SUMIF('5.0'!$D:$D,T_BS!D177,'5.0'!$V:$V),0)</f>
        <v>0</v>
      </c>
      <c r="S177" s="720">
        <f>-ROUND(SUMIF('6.0'!$D:$D,T_BS!D177,'6.0'!$V:$V),0)</f>
        <v>0</v>
      </c>
      <c r="T177" s="720">
        <f>-ROUND(SUMIF('7.0'!$D:$D,T_BS!D177,'7.0'!$V:$V),0)</f>
        <v>0</v>
      </c>
      <c r="U177" s="720">
        <f>-ROUND(SUMIF('8.0'!$D:$D,T_BS!D177,'8.0'!$H:$H),0)</f>
        <v>0</v>
      </c>
      <c r="V177" s="510">
        <f t="shared" si="51"/>
        <v>0</v>
      </c>
      <c r="W177" s="1659"/>
      <c r="X177" s="1622">
        <f t="shared" si="52"/>
        <v>0</v>
      </c>
      <c r="Y177" s="1659"/>
      <c r="Z177" s="1622">
        <f t="shared" si="53"/>
        <v>0</v>
      </c>
      <c r="AA177" s="1659"/>
      <c r="AB177" s="1622">
        <v>0</v>
      </c>
      <c r="AC177" s="1622">
        <v>0</v>
      </c>
      <c r="AD177" s="1622">
        <v>0</v>
      </c>
      <c r="AE177" s="1622">
        <v>0</v>
      </c>
      <c r="AF177" s="1622">
        <v>0</v>
      </c>
      <c r="AG177" s="1622">
        <v>0</v>
      </c>
      <c r="AH177" s="1622">
        <v>0</v>
      </c>
      <c r="AI177" s="1622">
        <v>0</v>
      </c>
      <c r="AJ177" s="1622">
        <v>0</v>
      </c>
      <c r="AK177" s="1622">
        <v>0</v>
      </c>
      <c r="AL177" s="1622">
        <v>0</v>
      </c>
      <c r="AM177" s="770"/>
      <c r="AN177" s="498"/>
    </row>
    <row r="178" spans="1:40" ht="18" customHeight="1">
      <c r="A178" s="498"/>
      <c r="B178" s="1552"/>
      <c r="C178" s="1552"/>
      <c r="D178" s="1630">
        <v>223200</v>
      </c>
      <c r="E178" s="1089" t="s">
        <v>2317</v>
      </c>
      <c r="F178" s="1631">
        <v>3505</v>
      </c>
      <c r="G178" s="1552" t="s">
        <v>2445</v>
      </c>
      <c r="H178" s="498">
        <v>51782363760</v>
      </c>
      <c r="I178" s="498">
        <v>0</v>
      </c>
      <c r="J178" s="710">
        <v>0</v>
      </c>
      <c r="K178" s="710">
        <v>0</v>
      </c>
      <c r="L178" s="1678">
        <f t="shared" si="50"/>
        <v>51782363760</v>
      </c>
      <c r="N178" s="1673">
        <f>-SUMIF('1.0'!$D:$D,T_BS!D178,'1.0'!$V:$V)</f>
        <v>0</v>
      </c>
      <c r="O178" s="710">
        <f>-SUMIF('2.0'!$D:$D,T_BS!D178,'2.0'!$V:$V)</f>
        <v>0</v>
      </c>
      <c r="P178" s="710">
        <f>-ROUND(SUMIF('3.0'!$D:$D,T_BS!D178,'3.0'!$H:$H),0)</f>
        <v>0</v>
      </c>
      <c r="Q178" s="720">
        <f>-ROUND(SUMIF('4.0'!$D:$D,T_BS!D178,'4.0'!$V:$V),0)</f>
        <v>0</v>
      </c>
      <c r="R178" s="710">
        <f>-ROUND(SUMIF('5.0'!$D:$D,T_BS!D178,'5.0'!$V:$V),0)</f>
        <v>0</v>
      </c>
      <c r="S178" s="720">
        <f>-ROUND(SUMIF('6.0'!$D:$D,T_BS!D178,'6.0'!$V:$V),0)</f>
        <v>0</v>
      </c>
      <c r="T178" s="720">
        <f>-ROUND(SUMIF('7.0'!$D:$D,T_BS!D178,'7.0'!$V:$V),0)</f>
        <v>0</v>
      </c>
      <c r="U178" s="720">
        <f>-ROUND(SUMIF('8.0'!$D:$D,T_BS!D178,'8.0'!$H:$H),0)</f>
        <v>0</v>
      </c>
      <c r="V178" s="1678">
        <f>SUM(N178:U178)</f>
        <v>0</v>
      </c>
      <c r="X178" s="852">
        <f t="shared" si="52"/>
        <v>51782363760</v>
      </c>
      <c r="Z178" s="1622">
        <f t="shared" si="53"/>
        <v>-41363014942</v>
      </c>
      <c r="AB178" s="852">
        <v>51782363760</v>
      </c>
      <c r="AC178" s="852">
        <v>60131331830</v>
      </c>
      <c r="AD178" s="852">
        <v>60131331830</v>
      </c>
      <c r="AE178" s="852">
        <v>60131331830</v>
      </c>
      <c r="AF178" s="852">
        <v>83715356003</v>
      </c>
      <c r="AG178" s="852">
        <v>93145378702</v>
      </c>
      <c r="AH178" s="852">
        <v>77995296477</v>
      </c>
      <c r="AI178" s="852">
        <v>77995296477</v>
      </c>
      <c r="AJ178" s="852">
        <v>88600114385</v>
      </c>
      <c r="AK178" s="852"/>
      <c r="AL178" s="852">
        <v>0</v>
      </c>
      <c r="AM178" s="1674"/>
      <c r="AN178" s="498"/>
    </row>
    <row r="179" spans="1:40" ht="18" customHeight="1">
      <c r="A179" s="498"/>
      <c r="D179" s="1593"/>
      <c r="E179" s="1594"/>
      <c r="F179" s="1595"/>
      <c r="G179" s="1594" t="s">
        <v>162</v>
      </c>
      <c r="H179" s="520">
        <f>SUM(H180:H207)</f>
        <v>8183829833</v>
      </c>
      <c r="I179" s="506">
        <f>SUM(I180:I207)</f>
        <v>30526879</v>
      </c>
      <c r="J179" s="506">
        <f>SUM(J180:J207)</f>
        <v>74396227</v>
      </c>
      <c r="K179" s="506">
        <f>SUM(K180:K207)</f>
        <v>1281025435</v>
      </c>
      <c r="L179" s="507">
        <f>SUM(L180:L207)</f>
        <v>9569778374</v>
      </c>
      <c r="N179" s="1637">
        <f t="shared" ref="N179:S179" si="54">SUM(N180:N207)</f>
        <v>0</v>
      </c>
      <c r="O179" s="506">
        <f t="shared" si="54"/>
        <v>0</v>
      </c>
      <c r="P179" s="506">
        <f t="shared" si="54"/>
        <v>-919178</v>
      </c>
      <c r="Q179" s="506">
        <f t="shared" si="54"/>
        <v>0</v>
      </c>
      <c r="R179" s="506">
        <f t="shared" si="54"/>
        <v>0</v>
      </c>
      <c r="S179" s="506">
        <f t="shared" si="54"/>
        <v>-1128563830</v>
      </c>
      <c r="T179" s="506">
        <f>SUM(T180:T207)</f>
        <v>0</v>
      </c>
      <c r="U179" s="506">
        <f>SUM(U180:U207)</f>
        <v>0</v>
      </c>
      <c r="V179" s="507">
        <f>SUM(V180:V207)</f>
        <v>-1129483008</v>
      </c>
      <c r="X179" s="1636">
        <f>SUM(X180:X207)</f>
        <v>8440295366</v>
      </c>
      <c r="Z179" s="1636">
        <f>SUM(Z180:Z207)</f>
        <v>-2528516017</v>
      </c>
      <c r="AB179" s="1636">
        <v>8421068928</v>
      </c>
      <c r="AC179" s="1636">
        <v>8662708213</v>
      </c>
      <c r="AD179" s="1636">
        <v>8442218803</v>
      </c>
      <c r="AE179" s="1636">
        <v>10657657657</v>
      </c>
      <c r="AF179" s="1636">
        <v>10430315509</v>
      </c>
      <c r="AG179" s="1636">
        <v>10968811383</v>
      </c>
      <c r="AH179" s="1636">
        <v>7912010164</v>
      </c>
      <c r="AI179" s="1636">
        <v>7863948852</v>
      </c>
      <c r="AJ179" s="1636">
        <v>8559989966</v>
      </c>
      <c r="AK179" s="1636">
        <f>SUM(AK180:AK207)</f>
        <v>8082295816</v>
      </c>
      <c r="AL179" s="1636">
        <v>9194493551</v>
      </c>
      <c r="AN179" s="498"/>
    </row>
    <row r="180" spans="1:40" ht="18" customHeight="1">
      <c r="A180" s="498"/>
      <c r="D180" s="1598">
        <v>214100</v>
      </c>
      <c r="E180" s="1089" t="s">
        <v>162</v>
      </c>
      <c r="F180" s="1677">
        <v>3401</v>
      </c>
      <c r="G180" s="1089" t="s">
        <v>163</v>
      </c>
      <c r="H180" s="498">
        <v>7424374</v>
      </c>
      <c r="I180" s="498">
        <v>4118490</v>
      </c>
      <c r="J180" s="710">
        <v>0</v>
      </c>
      <c r="K180" s="710">
        <v>12431263</v>
      </c>
      <c r="L180" s="510">
        <f t="shared" ref="L180:L207" si="55">SUM(H180:K180)</f>
        <v>23974127</v>
      </c>
      <c r="N180" s="1673">
        <f>-SUMIF('1.0'!$D:$D,T_BS!D180,'1.0'!$V:$V)</f>
        <v>0</v>
      </c>
      <c r="O180" s="710">
        <f>-SUMIF('2.0'!$D:$D,T_BS!D180,'2.0'!$V:$V)</f>
        <v>0</v>
      </c>
      <c r="P180" s="509">
        <f>-ROUND(SUMIF('3.0'!$D:$D,T_BS!D180,'3.0'!$H:$H),0)</f>
        <v>0</v>
      </c>
      <c r="Q180" s="720">
        <f>-ROUND(SUMIF('4.0'!$D:$D,T_BS!D180,'4.0'!$V:$V),0)</f>
        <v>0</v>
      </c>
      <c r="R180" s="509">
        <f>-ROUND(SUMIF('5.0'!$D:$D,T_BS!D180,'5.0'!$V:$V),0)</f>
        <v>0</v>
      </c>
      <c r="S180" s="720">
        <f>-ROUND(SUMIF('6.0'!$D:$D,T_BS!D180,'6.0'!$V:$V),0)</f>
        <v>0</v>
      </c>
      <c r="T180" s="720">
        <f>-ROUND(SUMIF('7.0'!$D:$D,T_BS!D180,'7.0'!$V:$V),0)</f>
        <v>0</v>
      </c>
      <c r="U180" s="720">
        <f>-ROUND(SUMIF('8.0'!$D:$D,T_BS!D180,'8.0'!$H:$H),0)</f>
        <v>0</v>
      </c>
      <c r="V180" s="510">
        <f t="shared" si="51"/>
        <v>0</v>
      </c>
      <c r="X180" s="1622">
        <f t="shared" ref="X180:X207" si="56">V180+L180</f>
        <v>23974127</v>
      </c>
      <c r="Z180" s="1622">
        <f t="shared" ref="Z180:Z207" si="57">X180-AG180</f>
        <v>20291972</v>
      </c>
      <c r="AB180" s="1622">
        <v>17929581</v>
      </c>
      <c r="AC180" s="1622">
        <v>17637291</v>
      </c>
      <c r="AD180" s="1622">
        <v>17645739</v>
      </c>
      <c r="AE180" s="1622">
        <v>17324307</v>
      </c>
      <c r="AF180" s="1622">
        <v>19550500</v>
      </c>
      <c r="AG180" s="1622">
        <v>3682155</v>
      </c>
      <c r="AH180" s="1622">
        <v>8313294</v>
      </c>
      <c r="AI180" s="1622">
        <v>7812102</v>
      </c>
      <c r="AJ180" s="1622">
        <v>5520502</v>
      </c>
      <c r="AK180" s="1622">
        <v>1296280</v>
      </c>
      <c r="AL180" s="1622">
        <v>0</v>
      </c>
      <c r="AN180" s="498"/>
    </row>
    <row r="181" spans="1:40" ht="18" customHeight="1">
      <c r="A181" s="498"/>
      <c r="D181" s="1598">
        <v>214200</v>
      </c>
      <c r="E181" s="1089" t="s">
        <v>162</v>
      </c>
      <c r="F181" s="1677">
        <v>3401</v>
      </c>
      <c r="G181" s="1089" t="s">
        <v>164</v>
      </c>
      <c r="H181" s="498">
        <v>0</v>
      </c>
      <c r="I181" s="498">
        <v>0</v>
      </c>
      <c r="J181" s="710">
        <v>0</v>
      </c>
      <c r="K181" s="710">
        <v>0</v>
      </c>
      <c r="L181" s="510">
        <f t="shared" si="55"/>
        <v>0</v>
      </c>
      <c r="N181" s="1673">
        <f>-SUMIF('1.0'!$D:$D,T_BS!D181,'1.0'!$V:$V)</f>
        <v>0</v>
      </c>
      <c r="O181" s="710">
        <f>-SUMIF('2.0'!$D:$D,T_BS!D181,'2.0'!$V:$V)</f>
        <v>0</v>
      </c>
      <c r="P181" s="509">
        <f>-ROUND(SUMIF('3.0'!$D:$D,T_BS!D181,'3.0'!$H:$H),0)</f>
        <v>0</v>
      </c>
      <c r="Q181" s="720">
        <f>-ROUND(SUMIF('4.0'!$D:$D,T_BS!D181,'4.0'!$V:$V),0)</f>
        <v>0</v>
      </c>
      <c r="R181" s="509">
        <f>-ROUND(SUMIF('5.0'!$D:$D,T_BS!D181,'5.0'!$V:$V),0)</f>
        <v>0</v>
      </c>
      <c r="S181" s="720">
        <f>-ROUND(SUMIF('6.0'!$D:$D,T_BS!D181,'6.0'!$V:$V),0)</f>
        <v>0</v>
      </c>
      <c r="T181" s="720">
        <f>-ROUND(SUMIF('7.0'!$D:$D,T_BS!D181,'7.0'!$V:$V),0)</f>
        <v>0</v>
      </c>
      <c r="U181" s="720">
        <f>-ROUND(SUMIF('8.0'!$D:$D,T_BS!D181,'8.0'!$H:$H),0)</f>
        <v>0</v>
      </c>
      <c r="V181" s="510">
        <f t="shared" si="51"/>
        <v>0</v>
      </c>
      <c r="X181" s="1622">
        <f t="shared" si="56"/>
        <v>0</v>
      </c>
      <c r="Z181" s="1622">
        <f t="shared" si="57"/>
        <v>-13324300</v>
      </c>
      <c r="AB181" s="1622">
        <v>0</v>
      </c>
      <c r="AC181" s="1622">
        <v>0</v>
      </c>
      <c r="AD181" s="1622">
        <v>0</v>
      </c>
      <c r="AE181" s="1622">
        <v>0</v>
      </c>
      <c r="AF181" s="1622">
        <v>13019874</v>
      </c>
      <c r="AG181" s="1622">
        <v>13324300</v>
      </c>
      <c r="AH181" s="1622">
        <v>13342536</v>
      </c>
      <c r="AI181" s="1622">
        <v>13685654</v>
      </c>
      <c r="AJ181" s="1622">
        <v>13219282</v>
      </c>
      <c r="AK181" s="1622">
        <v>13286664</v>
      </c>
      <c r="AL181" s="1622">
        <v>14743067</v>
      </c>
      <c r="AN181" s="498"/>
    </row>
    <row r="182" spans="1:40" ht="18" customHeight="1">
      <c r="A182" s="498"/>
      <c r="B182" s="1364" t="s">
        <v>1825</v>
      </c>
      <c r="D182" s="1598">
        <v>214350</v>
      </c>
      <c r="E182" s="1089" t="s">
        <v>162</v>
      </c>
      <c r="F182" s="1677">
        <v>3401</v>
      </c>
      <c r="G182" s="1089" t="s">
        <v>1826</v>
      </c>
      <c r="H182" s="498">
        <v>33455950</v>
      </c>
      <c r="I182" s="498">
        <v>0</v>
      </c>
      <c r="J182" s="710">
        <v>0</v>
      </c>
      <c r="K182" s="710">
        <v>0</v>
      </c>
      <c r="L182" s="510">
        <f t="shared" si="55"/>
        <v>33455950</v>
      </c>
      <c r="N182" s="1673">
        <f>-SUMIF('1.0'!$D:$D,T_BS!D182,'1.0'!$V:$V)</f>
        <v>0</v>
      </c>
      <c r="O182" s="710">
        <f>-SUMIF('2.0'!$D:$D,T_BS!D182,'2.0'!$V:$V)</f>
        <v>0</v>
      </c>
      <c r="P182" s="509">
        <f>-ROUND(SUMIF('3.0'!$D:$D,T_BS!D182,'3.0'!$H:$H),0)</f>
        <v>0</v>
      </c>
      <c r="Q182" s="720">
        <f>-ROUND(SUMIF('4.0'!$D:$D,T_BS!D182,'4.0'!$V:$V),0)</f>
        <v>0</v>
      </c>
      <c r="R182" s="509">
        <f>-ROUND(SUMIF('5.0'!$D:$D,T_BS!D182,'5.0'!$V:$V),0)</f>
        <v>0</v>
      </c>
      <c r="S182" s="720">
        <f>-ROUND(SUMIF('6.0'!$D:$D,T_BS!D182,'6.0'!$V:$V),0)</f>
        <v>0</v>
      </c>
      <c r="T182" s="720">
        <f>-ROUND(SUMIF('7.0'!$D:$D,T_BS!D182,'7.0'!$V:$V),0)</f>
        <v>0</v>
      </c>
      <c r="U182" s="720">
        <f>-ROUND(SUMIF('8.0'!$D:$D,T_BS!D182,'8.0'!$H:$H),0)</f>
        <v>0</v>
      </c>
      <c r="V182" s="510">
        <f t="shared" si="51"/>
        <v>0</v>
      </c>
      <c r="X182" s="1622">
        <f t="shared" si="56"/>
        <v>33455950</v>
      </c>
      <c r="Z182" s="1622">
        <f t="shared" si="57"/>
        <v>-142150800</v>
      </c>
      <c r="AB182" s="1622">
        <v>26620000</v>
      </c>
      <c r="AC182" s="1622">
        <v>8807700</v>
      </c>
      <c r="AD182" s="1622">
        <v>246115080</v>
      </c>
      <c r="AE182" s="1622">
        <v>0</v>
      </c>
      <c r="AF182" s="1622">
        <v>0</v>
      </c>
      <c r="AG182" s="1622">
        <v>175606750</v>
      </c>
      <c r="AH182" s="1622">
        <v>0</v>
      </c>
      <c r="AI182" s="1622">
        <v>211228060</v>
      </c>
      <c r="AJ182" s="1622">
        <v>88348600</v>
      </c>
      <c r="AK182" s="1622">
        <v>254490830</v>
      </c>
      <c r="AL182" s="1622">
        <v>270610780</v>
      </c>
      <c r="AN182" s="498"/>
    </row>
    <row r="183" spans="1:40" ht="18" customHeight="1">
      <c r="A183" s="498"/>
      <c r="B183" s="1364" t="s">
        <v>1825</v>
      </c>
      <c r="D183" s="1598">
        <v>214360</v>
      </c>
      <c r="E183" s="1089" t="s">
        <v>162</v>
      </c>
      <c r="F183" s="1677">
        <v>3401</v>
      </c>
      <c r="G183" s="1089" t="s">
        <v>1827</v>
      </c>
      <c r="H183" s="498">
        <v>445889</v>
      </c>
      <c r="I183" s="498">
        <v>0</v>
      </c>
      <c r="J183" s="710">
        <v>0</v>
      </c>
      <c r="K183" s="710">
        <v>0</v>
      </c>
      <c r="L183" s="510">
        <f t="shared" si="55"/>
        <v>445889</v>
      </c>
      <c r="N183" s="1673">
        <f>-SUMIF('1.0'!$D:$D,T_BS!D183,'1.0'!$V:$V)</f>
        <v>0</v>
      </c>
      <c r="O183" s="710">
        <f>-SUMIF('2.0'!$D:$D,T_BS!D183,'2.0'!$V:$V)</f>
        <v>0</v>
      </c>
      <c r="P183" s="509">
        <f>-ROUND(SUMIF('3.0'!$D:$D,T_BS!D183,'3.0'!$H:$H),0)</f>
        <v>0</v>
      </c>
      <c r="Q183" s="720">
        <f>-ROUND(SUMIF('4.0'!$D:$D,T_BS!D183,'4.0'!$V:$V),0)</f>
        <v>0</v>
      </c>
      <c r="R183" s="509">
        <f>-ROUND(SUMIF('5.0'!$D:$D,T_BS!D183,'5.0'!$V:$V),0)</f>
        <v>0</v>
      </c>
      <c r="S183" s="720">
        <f>-ROUND(SUMIF('6.0'!$D:$D,T_BS!D183,'6.0'!$V:$V),0)</f>
        <v>0</v>
      </c>
      <c r="T183" s="720">
        <f>-ROUND(SUMIF('7.0'!$D:$D,T_BS!D183,'7.0'!$V:$V),0)</f>
        <v>0</v>
      </c>
      <c r="U183" s="720">
        <f>-ROUND(SUMIF('8.0'!$D:$D,T_BS!D183,'8.0'!$H:$H),0)</f>
        <v>0</v>
      </c>
      <c r="V183" s="510">
        <f t="shared" si="51"/>
        <v>0</v>
      </c>
      <c r="X183" s="1622">
        <f t="shared" si="56"/>
        <v>445889</v>
      </c>
      <c r="Z183" s="1622">
        <f t="shared" si="57"/>
        <v>445889</v>
      </c>
      <c r="AB183" s="1622">
        <v>699570</v>
      </c>
      <c r="AC183" s="1622">
        <v>9204965</v>
      </c>
      <c r="AD183" s="1622">
        <v>878536</v>
      </c>
      <c r="AE183" s="1622">
        <v>90860</v>
      </c>
      <c r="AF183" s="1622">
        <v>0</v>
      </c>
      <c r="AG183" s="1622">
        <v>0</v>
      </c>
      <c r="AH183" s="1622">
        <v>0</v>
      </c>
      <c r="AI183" s="1622">
        <v>27001388</v>
      </c>
      <c r="AJ183" s="1622">
        <v>743940</v>
      </c>
      <c r="AK183" s="1622">
        <v>31570000</v>
      </c>
      <c r="AL183" s="1622">
        <v>421777</v>
      </c>
      <c r="AN183" s="498"/>
    </row>
    <row r="184" spans="1:40" ht="18" customHeight="1">
      <c r="A184" s="498"/>
      <c r="B184" s="1364" t="s">
        <v>1825</v>
      </c>
      <c r="D184" s="1598">
        <v>214150</v>
      </c>
      <c r="E184" s="1089" t="s">
        <v>162</v>
      </c>
      <c r="F184" s="1677">
        <v>3401</v>
      </c>
      <c r="G184" s="1089" t="s">
        <v>1828</v>
      </c>
      <c r="H184" s="498">
        <v>25263071</v>
      </c>
      <c r="I184" s="498">
        <v>0</v>
      </c>
      <c r="J184" s="710">
        <v>0</v>
      </c>
      <c r="K184" s="710">
        <v>0</v>
      </c>
      <c r="L184" s="510">
        <f t="shared" si="55"/>
        <v>25263071</v>
      </c>
      <c r="N184" s="1673">
        <f>-SUMIF('1.0'!$D:$D,T_BS!D184,'1.0'!$V:$V)</f>
        <v>0</v>
      </c>
      <c r="O184" s="710">
        <f>-SUMIF('2.0'!$D:$D,T_BS!D184,'2.0'!$V:$V)</f>
        <v>0</v>
      </c>
      <c r="P184" s="509">
        <f>-ROUND(SUMIF('3.0'!$D:$D,T_BS!D184,'3.0'!$H:$H),0)</f>
        <v>0</v>
      </c>
      <c r="Q184" s="720">
        <f>-ROUND(SUMIF('4.0'!$D:$D,T_BS!D184,'4.0'!$V:$V),0)</f>
        <v>0</v>
      </c>
      <c r="R184" s="509">
        <f>-ROUND(SUMIF('5.0'!$D:$D,T_BS!D184,'5.0'!$V:$V),0)</f>
        <v>0</v>
      </c>
      <c r="S184" s="720">
        <f>-ROUND(SUMIF('6.0'!$D:$D,T_BS!D184,'6.0'!$V:$V),0)</f>
        <v>0</v>
      </c>
      <c r="T184" s="720">
        <f>-ROUND(SUMIF('7.0'!$D:$D,T_BS!D184,'7.0'!$V:$V),0)</f>
        <v>0</v>
      </c>
      <c r="U184" s="720">
        <f>-ROUND(SUMIF('8.0'!$D:$D,T_BS!D184,'8.0'!$H:$H),0)</f>
        <v>0</v>
      </c>
      <c r="V184" s="510">
        <f t="shared" si="51"/>
        <v>0</v>
      </c>
      <c r="X184" s="1622">
        <f t="shared" si="56"/>
        <v>25263071</v>
      </c>
      <c r="Z184" s="1622">
        <f t="shared" si="57"/>
        <v>617151</v>
      </c>
      <c r="AB184" s="1622">
        <v>3936579</v>
      </c>
      <c r="AC184" s="1622">
        <v>34705824</v>
      </c>
      <c r="AD184" s="1622">
        <v>24575193</v>
      </c>
      <c r="AE184" s="1622">
        <v>27472903</v>
      </c>
      <c r="AF184" s="1622">
        <v>218919360</v>
      </c>
      <c r="AG184" s="1622">
        <v>24645920</v>
      </c>
      <c r="AH184" s="1622">
        <v>32311577</v>
      </c>
      <c r="AI184" s="1622">
        <v>14900563</v>
      </c>
      <c r="AJ184" s="1622">
        <v>1624457</v>
      </c>
      <c r="AK184" s="1622">
        <v>0</v>
      </c>
      <c r="AL184" s="1622">
        <v>785168</v>
      </c>
      <c r="AN184" s="498"/>
    </row>
    <row r="185" spans="1:40" ht="18" customHeight="1">
      <c r="A185" s="498"/>
      <c r="B185" s="1364" t="s">
        <v>1825</v>
      </c>
      <c r="D185" s="1598">
        <v>214250</v>
      </c>
      <c r="E185" s="1089" t="s">
        <v>162</v>
      </c>
      <c r="F185" s="1677">
        <v>3401</v>
      </c>
      <c r="G185" s="1089" t="s">
        <v>1829</v>
      </c>
      <c r="H185" s="498">
        <v>0</v>
      </c>
      <c r="I185" s="498">
        <v>0</v>
      </c>
      <c r="J185" s="710">
        <v>0</v>
      </c>
      <c r="K185" s="710">
        <v>0</v>
      </c>
      <c r="L185" s="510">
        <f t="shared" si="55"/>
        <v>0</v>
      </c>
      <c r="N185" s="1673">
        <f>-SUMIF('1.0'!$D:$D,T_BS!D185,'1.0'!$V:$V)</f>
        <v>0</v>
      </c>
      <c r="O185" s="710">
        <f>-SUMIF('2.0'!$D:$D,T_BS!D185,'2.0'!$V:$V)</f>
        <v>0</v>
      </c>
      <c r="P185" s="509">
        <f>-ROUND(SUMIF('3.0'!$D:$D,T_BS!D185,'3.0'!$H:$H),0)</f>
        <v>0</v>
      </c>
      <c r="Q185" s="720">
        <f>-ROUND(SUMIF('4.0'!$D:$D,T_BS!D185,'4.0'!$V:$V),0)</f>
        <v>0</v>
      </c>
      <c r="R185" s="509">
        <f>-ROUND(SUMIF('5.0'!$D:$D,T_BS!D185,'5.0'!$V:$V),0)</f>
        <v>0</v>
      </c>
      <c r="S185" s="720">
        <f>-ROUND(SUMIF('6.0'!$D:$D,T_BS!D185,'6.0'!$V:$V),0)</f>
        <v>0</v>
      </c>
      <c r="T185" s="720">
        <f>-ROUND(SUMIF('7.0'!$D:$D,T_BS!D185,'7.0'!$V:$V),0)</f>
        <v>0</v>
      </c>
      <c r="U185" s="720">
        <f>-ROUND(SUMIF('8.0'!$D:$D,T_BS!D185,'8.0'!$H:$H),0)</f>
        <v>0</v>
      </c>
      <c r="V185" s="510">
        <f t="shared" si="51"/>
        <v>0</v>
      </c>
      <c r="X185" s="1622">
        <f t="shared" si="56"/>
        <v>0</v>
      </c>
      <c r="Z185" s="1622">
        <f t="shared" si="57"/>
        <v>-33825570</v>
      </c>
      <c r="AB185" s="1622">
        <v>0</v>
      </c>
      <c r="AC185" s="1622">
        <v>18931466</v>
      </c>
      <c r="AD185" s="1622">
        <v>10266083</v>
      </c>
      <c r="AE185" s="1622">
        <v>278098244</v>
      </c>
      <c r="AF185" s="1622">
        <v>5175776</v>
      </c>
      <c r="AG185" s="1622">
        <v>33825570</v>
      </c>
      <c r="AH185" s="1622">
        <v>8156045</v>
      </c>
      <c r="AI185" s="1622">
        <v>21511688</v>
      </c>
      <c r="AJ185" s="1622">
        <v>12088301</v>
      </c>
      <c r="AK185" s="1622">
        <v>1003662930</v>
      </c>
      <c r="AL185" s="1622">
        <v>201041970</v>
      </c>
      <c r="AN185" s="498"/>
    </row>
    <row r="186" spans="1:40" ht="18" customHeight="1">
      <c r="A186" s="498"/>
      <c r="B186" s="1364" t="s">
        <v>1901</v>
      </c>
      <c r="D186" s="1598">
        <v>214361</v>
      </c>
      <c r="E186" s="1089" t="s">
        <v>162</v>
      </c>
      <c r="F186" s="1677">
        <v>3401</v>
      </c>
      <c r="G186" s="1089" t="s">
        <v>1902</v>
      </c>
      <c r="H186" s="498">
        <v>0</v>
      </c>
      <c r="I186" s="498">
        <v>0</v>
      </c>
      <c r="J186" s="710">
        <v>0</v>
      </c>
      <c r="K186" s="710">
        <v>0</v>
      </c>
      <c r="L186" s="510">
        <f t="shared" si="55"/>
        <v>0</v>
      </c>
      <c r="N186" s="1673">
        <f>-SUMIF('1.0'!$D:$D,T_BS!D186,'1.0'!$V:$V)</f>
        <v>0</v>
      </c>
      <c r="O186" s="710">
        <f>-SUMIF('2.0'!$D:$D,T_BS!D186,'2.0'!$V:$V)</f>
        <v>0</v>
      </c>
      <c r="P186" s="509">
        <f>-ROUND(SUMIF('3.0'!$D:$D,T_BS!D186,'3.0'!$H:$H),0)</f>
        <v>0</v>
      </c>
      <c r="Q186" s="720">
        <f>-ROUND(SUMIF('4.0'!$D:$D,T_BS!D186,'4.0'!$V:$V),0)</f>
        <v>0</v>
      </c>
      <c r="R186" s="509">
        <f>-ROUND(SUMIF('5.0'!$D:$D,T_BS!D186,'5.0'!$V:$V),0)</f>
        <v>0</v>
      </c>
      <c r="S186" s="720">
        <f>-ROUND(SUMIF('6.0'!$D:$D,T_BS!D186,'6.0'!$V:$V),0)</f>
        <v>0</v>
      </c>
      <c r="T186" s="720">
        <f>-ROUND(SUMIF('7.0'!$D:$D,T_BS!D186,'7.0'!$V:$V),0)</f>
        <v>0</v>
      </c>
      <c r="U186" s="720">
        <f>-ROUND(SUMIF('8.0'!$D:$D,T_BS!D186,'8.0'!$H:$H),0)</f>
        <v>0</v>
      </c>
      <c r="V186" s="510">
        <f t="shared" si="51"/>
        <v>0</v>
      </c>
      <c r="X186" s="1622">
        <f t="shared" si="56"/>
        <v>0</v>
      </c>
      <c r="Z186" s="1622">
        <f t="shared" si="57"/>
        <v>0</v>
      </c>
      <c r="AB186" s="1622">
        <v>1618904</v>
      </c>
      <c r="AC186" s="1622">
        <v>0</v>
      </c>
      <c r="AD186" s="1622">
        <v>0</v>
      </c>
      <c r="AE186" s="1622">
        <v>0</v>
      </c>
      <c r="AF186" s="1622">
        <v>0</v>
      </c>
      <c r="AG186" s="1622">
        <v>0</v>
      </c>
      <c r="AH186" s="1622">
        <v>5692530</v>
      </c>
      <c r="AI186" s="1622">
        <v>0</v>
      </c>
      <c r="AJ186" s="1622">
        <v>0</v>
      </c>
      <c r="AK186" s="1622">
        <v>0</v>
      </c>
      <c r="AL186" s="1622">
        <v>0</v>
      </c>
      <c r="AN186" s="498"/>
    </row>
    <row r="187" spans="1:40" ht="18" customHeight="1">
      <c r="A187" s="498"/>
      <c r="B187" s="1364" t="s">
        <v>1825</v>
      </c>
      <c r="D187" s="1598">
        <v>214362</v>
      </c>
      <c r="E187" s="1089" t="s">
        <v>162</v>
      </c>
      <c r="F187" s="1677">
        <v>3401</v>
      </c>
      <c r="G187" s="1089" t="s">
        <v>1830</v>
      </c>
      <c r="H187" s="498">
        <v>1395257</v>
      </c>
      <c r="I187" s="498">
        <v>0</v>
      </c>
      <c r="J187" s="710">
        <v>0</v>
      </c>
      <c r="K187" s="710">
        <v>0</v>
      </c>
      <c r="L187" s="510">
        <f t="shared" si="55"/>
        <v>1395257</v>
      </c>
      <c r="N187" s="1673">
        <f>-SUMIF('1.0'!$D:$D,T_BS!D187,'1.0'!$V:$V)</f>
        <v>0</v>
      </c>
      <c r="O187" s="710">
        <f>-SUMIF('2.0'!$D:$D,T_BS!D187,'2.0'!$V:$V)</f>
        <v>0</v>
      </c>
      <c r="P187" s="509">
        <f>-ROUND(SUMIF('3.0'!$D:$D,T_BS!D187,'3.0'!$H:$H),0)</f>
        <v>0</v>
      </c>
      <c r="Q187" s="720">
        <f>-ROUND(SUMIF('4.0'!$D:$D,T_BS!D187,'4.0'!$V:$V),0)</f>
        <v>0</v>
      </c>
      <c r="R187" s="509">
        <f>-ROUND(SUMIF('5.0'!$D:$D,T_BS!D187,'5.0'!$V:$V),0)</f>
        <v>0</v>
      </c>
      <c r="S187" s="720">
        <f>-ROUND(SUMIF('6.0'!$D:$D,T_BS!D187,'6.0'!$V:$V),0)</f>
        <v>0</v>
      </c>
      <c r="T187" s="720">
        <f>-ROUND(SUMIF('7.0'!$D:$D,T_BS!D187,'7.0'!$V:$V),0)</f>
        <v>0</v>
      </c>
      <c r="U187" s="720">
        <f>-ROUND(SUMIF('8.0'!$D:$D,T_BS!D187,'8.0'!$H:$H),0)</f>
        <v>0</v>
      </c>
      <c r="V187" s="510">
        <f>SUM(N187:U187)</f>
        <v>0</v>
      </c>
      <c r="X187" s="1622">
        <f t="shared" si="56"/>
        <v>1395257</v>
      </c>
      <c r="Z187" s="1622">
        <f t="shared" si="57"/>
        <v>-73605242</v>
      </c>
      <c r="AB187" s="1622">
        <v>1394543</v>
      </c>
      <c r="AC187" s="1622">
        <v>1078798</v>
      </c>
      <c r="AD187" s="1622">
        <v>96135341</v>
      </c>
      <c r="AE187" s="1622">
        <v>4174984</v>
      </c>
      <c r="AF187" s="1622">
        <v>79824191</v>
      </c>
      <c r="AG187" s="1622">
        <v>75000499</v>
      </c>
      <c r="AH187" s="1622">
        <v>77853992</v>
      </c>
      <c r="AI187" s="1622">
        <v>83598160</v>
      </c>
      <c r="AJ187" s="1622">
        <v>184935</v>
      </c>
      <c r="AK187" s="1622">
        <v>60840738</v>
      </c>
      <c r="AL187" s="1622">
        <v>9043650</v>
      </c>
      <c r="AN187" s="498"/>
    </row>
    <row r="188" spans="1:40" ht="18" customHeight="1">
      <c r="A188" s="498"/>
      <c r="D188" s="1598" t="s">
        <v>1850</v>
      </c>
      <c r="E188" s="1089" t="s">
        <v>162</v>
      </c>
      <c r="F188" s="1677">
        <v>3401</v>
      </c>
      <c r="G188" s="1089" t="s">
        <v>1851</v>
      </c>
      <c r="H188" s="498">
        <v>176400000</v>
      </c>
      <c r="I188" s="498">
        <v>0</v>
      </c>
      <c r="J188" s="710">
        <v>0</v>
      </c>
      <c r="K188" s="710">
        <v>0</v>
      </c>
      <c r="L188" s="510">
        <f t="shared" si="55"/>
        <v>176400000</v>
      </c>
      <c r="N188" s="1673">
        <f>-SUMIF('1.0'!$D:$D,T_BS!D188,'1.0'!$V:$V)</f>
        <v>0</v>
      </c>
      <c r="O188" s="710">
        <f>-SUMIF('2.0'!$D:$D,T_BS!D188,'2.0'!$V:$V)</f>
        <v>0</v>
      </c>
      <c r="P188" s="509">
        <f>-ROUND(SUMIF('3.0'!$D:$D,T_BS!D188,'3.0'!$H:$H),0)</f>
        <v>0</v>
      </c>
      <c r="Q188" s="720">
        <f>-ROUND(SUMIF('4.0'!$D:$D,T_BS!D188,'4.0'!$V:$V),0)</f>
        <v>0</v>
      </c>
      <c r="R188" s="509">
        <f>-ROUND(SUMIF('5.0'!$D:$D,T_BS!D188,'5.0'!$V:$V),0)</f>
        <v>0</v>
      </c>
      <c r="S188" s="720">
        <f>-ROUND(SUMIF('6.0'!$D:$D,T_BS!D188,'6.0'!$V:$V),0)</f>
        <v>0</v>
      </c>
      <c r="T188" s="720">
        <f>-ROUND(SUMIF('7.0'!$D:$D,T_BS!D188,'7.0'!$V:$V),0)</f>
        <v>0</v>
      </c>
      <c r="U188" s="720">
        <f>-ROUND(SUMIF('8.0'!$D:$D,T_BS!D188,'8.0'!$H:$H),0)</f>
        <v>0</v>
      </c>
      <c r="V188" s="510">
        <f>SUM(N188:U188)</f>
        <v>0</v>
      </c>
      <c r="X188" s="1622">
        <f t="shared" si="56"/>
        <v>176400000</v>
      </c>
      <c r="Z188" s="1622">
        <f t="shared" si="57"/>
        <v>37839604</v>
      </c>
      <c r="AB188" s="1622">
        <v>1100000</v>
      </c>
      <c r="AC188" s="1622">
        <v>174313990</v>
      </c>
      <c r="AD188" s="1622">
        <v>176567158</v>
      </c>
      <c r="AE188" s="1622">
        <v>139832762</v>
      </c>
      <c r="AF188" s="1622">
        <v>18193732</v>
      </c>
      <c r="AG188" s="1622">
        <v>138560396</v>
      </c>
      <c r="AH188" s="1622">
        <v>20552836</v>
      </c>
      <c r="AI188" s="1622">
        <v>3844523</v>
      </c>
      <c r="AJ188" s="1622">
        <v>49851274</v>
      </c>
      <c r="AK188" s="1622">
        <v>0</v>
      </c>
      <c r="AL188" s="1622">
        <v>0</v>
      </c>
      <c r="AN188" s="498"/>
    </row>
    <row r="189" spans="1:40" ht="18" customHeight="1">
      <c r="A189" s="498"/>
      <c r="D189" s="1598" t="s">
        <v>1852</v>
      </c>
      <c r="E189" s="1089" t="s">
        <v>162</v>
      </c>
      <c r="F189" s="1677">
        <v>3401</v>
      </c>
      <c r="G189" s="1089" t="s">
        <v>2022</v>
      </c>
      <c r="H189" s="498">
        <v>0</v>
      </c>
      <c r="I189" s="498">
        <v>0</v>
      </c>
      <c r="J189" s="710">
        <v>0</v>
      </c>
      <c r="K189" s="710">
        <v>0</v>
      </c>
      <c r="L189" s="510">
        <f t="shared" si="55"/>
        <v>0</v>
      </c>
      <c r="N189" s="1673">
        <f>-SUMIF('1.0'!$D:$D,T_BS!D189,'1.0'!$V:$V)</f>
        <v>0</v>
      </c>
      <c r="O189" s="710">
        <f>-SUMIF('2.0'!$D:$D,T_BS!D189,'2.0'!$V:$V)</f>
        <v>0</v>
      </c>
      <c r="P189" s="509">
        <f>-ROUND(SUMIF('3.0'!$D:$D,T_BS!D189,'3.0'!$H:$H),0)</f>
        <v>0</v>
      </c>
      <c r="Q189" s="720">
        <f>-ROUND(SUMIF('4.0'!$D:$D,T_BS!D189,'4.0'!$V:$V),0)</f>
        <v>0</v>
      </c>
      <c r="R189" s="509">
        <f>-ROUND(SUMIF('5.0'!$D:$D,T_BS!D189,'5.0'!$V:$V),0)</f>
        <v>0</v>
      </c>
      <c r="S189" s="720">
        <f>-ROUND(SUMIF('6.0'!$D:$D,T_BS!D189,'6.0'!$V:$V),0)</f>
        <v>0</v>
      </c>
      <c r="T189" s="720">
        <f>-ROUND(SUMIF('7.0'!$D:$D,T_BS!D189,'7.0'!$V:$V),0)</f>
        <v>0</v>
      </c>
      <c r="U189" s="720">
        <f>-ROUND(SUMIF('8.0'!$D:$D,T_BS!D189,'8.0'!$H:$H),0)</f>
        <v>0</v>
      </c>
      <c r="V189" s="510">
        <f>SUM(N189:U189)</f>
        <v>0</v>
      </c>
      <c r="X189" s="1622">
        <f t="shared" si="56"/>
        <v>0</v>
      </c>
      <c r="Z189" s="1622">
        <f t="shared" si="57"/>
        <v>0</v>
      </c>
      <c r="AB189" s="1622">
        <v>0</v>
      </c>
      <c r="AC189" s="1622">
        <v>0</v>
      </c>
      <c r="AD189" s="1622">
        <v>0</v>
      </c>
      <c r="AE189" s="1622">
        <v>0</v>
      </c>
      <c r="AF189" s="1622">
        <v>0</v>
      </c>
      <c r="AG189" s="1622">
        <v>0</v>
      </c>
      <c r="AH189" s="1622">
        <v>0</v>
      </c>
      <c r="AI189" s="1622">
        <v>0</v>
      </c>
      <c r="AJ189" s="1622">
        <v>0</v>
      </c>
      <c r="AK189" s="1622">
        <v>728211</v>
      </c>
      <c r="AL189" s="1622">
        <v>0</v>
      </c>
      <c r="AN189" s="498"/>
    </row>
    <row r="190" spans="1:40" ht="18" customHeight="1">
      <c r="A190" s="498"/>
      <c r="D190" s="1598">
        <v>214400</v>
      </c>
      <c r="E190" s="1089" t="s">
        <v>162</v>
      </c>
      <c r="F190" s="1677">
        <v>3408</v>
      </c>
      <c r="G190" s="1089" t="s">
        <v>168</v>
      </c>
      <c r="H190" s="498">
        <v>11460000</v>
      </c>
      <c r="I190" s="498">
        <v>919178</v>
      </c>
      <c r="J190" s="710">
        <v>0</v>
      </c>
      <c r="K190" s="710">
        <v>0</v>
      </c>
      <c r="L190" s="510">
        <f t="shared" si="55"/>
        <v>12379178</v>
      </c>
      <c r="N190" s="1673">
        <f>-SUMIF('1.0'!$D:$D,T_BS!D190,'1.0'!$V:$V)</f>
        <v>0</v>
      </c>
      <c r="O190" s="710">
        <f>-SUMIF('2.0'!$D:$D,T_BS!D190,'2.0'!$V:$V)</f>
        <v>0</v>
      </c>
      <c r="P190" s="509">
        <f>-ROUND(SUMIF('3.0'!$D:$D,T_BS!D190,'3.0'!$H:$H),0)</f>
        <v>-919178</v>
      </c>
      <c r="Q190" s="720">
        <f>-ROUND(SUMIF('4.0'!$D:$D,T_BS!D190,'4.0'!$V:$V),0)</f>
        <v>0</v>
      </c>
      <c r="R190" s="509">
        <f>-ROUND(SUMIF('5.0'!$D:$D,T_BS!D190,'5.0'!$V:$V),0)</f>
        <v>0</v>
      </c>
      <c r="S190" s="720">
        <f>-ROUND(SUMIF('6.0'!$D:$D,T_BS!D190,'6.0'!$V:$V),0)</f>
        <v>0</v>
      </c>
      <c r="T190" s="720">
        <f>-ROUND(SUMIF('7.0'!$D:$D,T_BS!D190,'7.0'!$V:$V),0)</f>
        <v>0</v>
      </c>
      <c r="U190" s="720">
        <f>-ROUND(SUMIF('8.0'!$D:$D,T_BS!D190,'8.0'!$H:$H),0)</f>
        <v>0</v>
      </c>
      <c r="V190" s="510">
        <f t="shared" si="51"/>
        <v>-919178</v>
      </c>
      <c r="X190" s="1622">
        <f t="shared" si="56"/>
        <v>11460000</v>
      </c>
      <c r="Z190" s="1622">
        <f t="shared" si="57"/>
        <v>-118540000</v>
      </c>
      <c r="AB190" s="1622">
        <v>11460000</v>
      </c>
      <c r="AC190" s="1622">
        <v>11460000</v>
      </c>
      <c r="AD190" s="1622">
        <v>38460000</v>
      </c>
      <c r="AE190" s="1622">
        <v>0</v>
      </c>
      <c r="AF190" s="1622">
        <v>0</v>
      </c>
      <c r="AG190" s="1622">
        <v>130000000</v>
      </c>
      <c r="AH190" s="1622">
        <v>175000000</v>
      </c>
      <c r="AI190" s="1622">
        <v>25020000</v>
      </c>
      <c r="AJ190" s="1622">
        <v>213280000</v>
      </c>
      <c r="AK190" s="1622">
        <v>15000000</v>
      </c>
      <c r="AL190" s="1622">
        <v>15000000</v>
      </c>
      <c r="AN190" s="498"/>
    </row>
    <row r="191" spans="1:40" ht="18" customHeight="1">
      <c r="A191" s="498"/>
      <c r="D191" s="1598">
        <v>214600</v>
      </c>
      <c r="E191" s="1089" t="s">
        <v>162</v>
      </c>
      <c r="F191" s="1677">
        <v>3408</v>
      </c>
      <c r="G191" s="1089" t="s">
        <v>169</v>
      </c>
      <c r="H191" s="498">
        <v>237950608</v>
      </c>
      <c r="I191" s="498">
        <v>0</v>
      </c>
      <c r="J191" s="710">
        <v>0</v>
      </c>
      <c r="K191" s="710">
        <v>0</v>
      </c>
      <c r="L191" s="510">
        <f t="shared" si="55"/>
        <v>237950608</v>
      </c>
      <c r="N191" s="1673">
        <f>-SUMIF('1.0'!$D:$D,T_BS!D191,'1.0'!$V:$V)</f>
        <v>0</v>
      </c>
      <c r="O191" s="710">
        <f>-SUMIF('2.0'!$D:$D,T_BS!D191,'2.0'!$V:$V)</f>
        <v>0</v>
      </c>
      <c r="P191" s="509">
        <f>-ROUND(SUMIF('3.0'!$D:$D,T_BS!D191,'3.0'!$H:$H),0)</f>
        <v>0</v>
      </c>
      <c r="Q191" s="720">
        <f>-ROUND(SUMIF('4.0'!$D:$D,T_BS!D191,'4.0'!$V:$V),0)</f>
        <v>0</v>
      </c>
      <c r="R191" s="509">
        <f>-ROUND(SUMIF('5.0'!$D:$D,T_BS!D191,'5.0'!$V:$V),0)</f>
        <v>0</v>
      </c>
      <c r="S191" s="720">
        <f>-ROUND(SUMIF('6.0'!$D:$D,T_BS!D191,'6.0'!$V:$V),0)</f>
        <v>0</v>
      </c>
      <c r="T191" s="720">
        <f>-ROUND(SUMIF('7.0'!$D:$D,T_BS!D191,'7.0'!$V:$V),0)</f>
        <v>0</v>
      </c>
      <c r="U191" s="720">
        <f>-ROUND(SUMIF('8.0'!$D:$D,T_BS!D191,'8.0'!$H:$H),0)</f>
        <v>0</v>
      </c>
      <c r="V191" s="510">
        <f t="shared" si="51"/>
        <v>0</v>
      </c>
      <c r="X191" s="1622">
        <f t="shared" si="56"/>
        <v>237950608</v>
      </c>
      <c r="Z191" s="1622">
        <f t="shared" si="57"/>
        <v>-9129909</v>
      </c>
      <c r="AB191" s="1622">
        <v>238368887</v>
      </c>
      <c r="AC191" s="1622">
        <v>238804373</v>
      </c>
      <c r="AD191" s="1622">
        <v>239313500</v>
      </c>
      <c r="AE191" s="1622">
        <v>617109138</v>
      </c>
      <c r="AF191" s="1622">
        <v>426851098</v>
      </c>
      <c r="AG191" s="1622">
        <v>247080517</v>
      </c>
      <c r="AH191" s="1622">
        <v>150147280</v>
      </c>
      <c r="AI191" s="1622">
        <v>151475012</v>
      </c>
      <c r="AJ191" s="1622">
        <v>156284898</v>
      </c>
      <c r="AK191" s="1622">
        <v>160815266</v>
      </c>
      <c r="AL191" s="1622">
        <v>99954688</v>
      </c>
      <c r="AN191" s="498"/>
    </row>
    <row r="192" spans="1:40" ht="18" customHeight="1">
      <c r="A192" s="498"/>
      <c r="D192" s="1598" t="s">
        <v>1747</v>
      </c>
      <c r="E192" s="1089" t="s">
        <v>162</v>
      </c>
      <c r="F192" s="1677">
        <v>3408</v>
      </c>
      <c r="G192" s="1089" t="s">
        <v>1749</v>
      </c>
      <c r="H192" s="498">
        <v>0</v>
      </c>
      <c r="I192" s="498">
        <v>0</v>
      </c>
      <c r="J192" s="710">
        <v>0</v>
      </c>
      <c r="K192" s="710">
        <v>0</v>
      </c>
      <c r="L192" s="510">
        <f t="shared" si="55"/>
        <v>0</v>
      </c>
      <c r="N192" s="1673">
        <f>-SUMIF('1.0'!$D:$D,T_BS!D192,'1.0'!$V:$V)</f>
        <v>0</v>
      </c>
      <c r="O192" s="710">
        <f>-SUMIF('2.0'!$D:$D,T_BS!D192,'2.0'!$V:$V)</f>
        <v>0</v>
      </c>
      <c r="P192" s="509">
        <f>-ROUND(SUMIF('3.0'!$D:$D,T_BS!D192,'3.0'!$H:$H),0)</f>
        <v>0</v>
      </c>
      <c r="Q192" s="720">
        <f>-ROUND(SUMIF('4.0'!$D:$D,T_BS!D192,'4.0'!$V:$V),0)</f>
        <v>0</v>
      </c>
      <c r="R192" s="509">
        <f>-ROUND(SUMIF('5.0'!$D:$D,T_BS!D192,'5.0'!$V:$V),0)</f>
        <v>0</v>
      </c>
      <c r="S192" s="720">
        <f>-ROUND(SUMIF('6.0'!$D:$D,T_BS!D192,'6.0'!$V:$V),0)</f>
        <v>0</v>
      </c>
      <c r="T192" s="720">
        <f>-ROUND(SUMIF('7.0'!$D:$D,T_BS!D192,'7.0'!$V:$V),0)</f>
        <v>0</v>
      </c>
      <c r="U192" s="720">
        <f>-ROUND(SUMIF('8.0'!$D:$D,T_BS!D192,'8.0'!$H:$H),0)</f>
        <v>0</v>
      </c>
      <c r="V192" s="510">
        <f t="shared" si="51"/>
        <v>0</v>
      </c>
      <c r="X192" s="1622">
        <f t="shared" si="56"/>
        <v>0</v>
      </c>
      <c r="Z192" s="1622">
        <f t="shared" si="57"/>
        <v>0</v>
      </c>
      <c r="AB192" s="1622">
        <v>0</v>
      </c>
      <c r="AC192" s="1622">
        <v>0</v>
      </c>
      <c r="AD192" s="1622">
        <v>0</v>
      </c>
      <c r="AE192" s="1622">
        <v>0</v>
      </c>
      <c r="AF192" s="1622">
        <v>0</v>
      </c>
      <c r="AG192" s="1622">
        <v>0</v>
      </c>
      <c r="AH192" s="1622">
        <v>0</v>
      </c>
      <c r="AI192" s="1622">
        <v>0</v>
      </c>
      <c r="AJ192" s="1622">
        <v>0</v>
      </c>
      <c r="AK192" s="1622">
        <v>0</v>
      </c>
      <c r="AL192" s="1622">
        <v>52303062</v>
      </c>
      <c r="AN192" s="498"/>
    </row>
    <row r="193" spans="1:40" ht="18" customHeight="1">
      <c r="A193" s="498"/>
      <c r="D193" s="1598" t="s">
        <v>1748</v>
      </c>
      <c r="E193" s="1089" t="s">
        <v>162</v>
      </c>
      <c r="F193" s="1677">
        <v>3408</v>
      </c>
      <c r="G193" s="1089" t="s">
        <v>1750</v>
      </c>
      <c r="H193" s="498">
        <v>0</v>
      </c>
      <c r="I193" s="498">
        <v>0</v>
      </c>
      <c r="J193" s="710">
        <v>0</v>
      </c>
      <c r="K193" s="710">
        <v>0</v>
      </c>
      <c r="L193" s="510">
        <f t="shared" si="55"/>
        <v>0</v>
      </c>
      <c r="N193" s="1673">
        <f>-SUMIF('1.0'!$D:$D,T_BS!D193,'1.0'!$V:$V)</f>
        <v>0</v>
      </c>
      <c r="O193" s="710">
        <f>-SUMIF('2.0'!$D:$D,T_BS!D193,'2.0'!$V:$V)</f>
        <v>0</v>
      </c>
      <c r="P193" s="509">
        <f>-ROUND(SUMIF('3.0'!$D:$D,T_BS!D193,'3.0'!$H:$H),0)</f>
        <v>0</v>
      </c>
      <c r="Q193" s="720">
        <f>-ROUND(SUMIF('4.0'!$D:$D,T_BS!D193,'4.0'!$V:$V),0)</f>
        <v>0</v>
      </c>
      <c r="R193" s="509">
        <f>-ROUND(SUMIF('5.0'!$D:$D,T_BS!D193,'5.0'!$V:$V),0)</f>
        <v>0</v>
      </c>
      <c r="S193" s="720">
        <f>-ROUND(SUMIF('6.0'!$D:$D,T_BS!D193,'6.0'!$V:$V),0)</f>
        <v>0</v>
      </c>
      <c r="T193" s="720">
        <f>-ROUND(SUMIF('7.0'!$D:$D,T_BS!D193,'7.0'!$V:$V),0)</f>
        <v>0</v>
      </c>
      <c r="U193" s="720">
        <f>-ROUND(SUMIF('8.0'!$D:$D,T_BS!D193,'8.0'!$H:$H),0)</f>
        <v>0</v>
      </c>
      <c r="V193" s="510">
        <f t="shared" si="51"/>
        <v>0</v>
      </c>
      <c r="X193" s="1622">
        <f t="shared" si="56"/>
        <v>0</v>
      </c>
      <c r="Z193" s="1622">
        <f t="shared" si="57"/>
        <v>0</v>
      </c>
      <c r="AB193" s="1622">
        <v>0</v>
      </c>
      <c r="AC193" s="1622">
        <v>0</v>
      </c>
      <c r="AD193" s="1622">
        <v>0</v>
      </c>
      <c r="AE193" s="1622">
        <v>0</v>
      </c>
      <c r="AF193" s="1622">
        <v>0</v>
      </c>
      <c r="AG193" s="1622">
        <v>0</v>
      </c>
      <c r="AH193" s="1622">
        <v>0</v>
      </c>
      <c r="AI193" s="1622">
        <v>0</v>
      </c>
      <c r="AJ193" s="1622">
        <v>0</v>
      </c>
      <c r="AK193" s="1622">
        <v>40000000</v>
      </c>
      <c r="AL193" s="1622">
        <v>450000000</v>
      </c>
      <c r="AN193" s="498"/>
    </row>
    <row r="194" spans="1:40" ht="18" customHeight="1">
      <c r="A194" s="498"/>
      <c r="D194" s="1598">
        <v>214700</v>
      </c>
      <c r="E194" s="1089" t="s">
        <v>162</v>
      </c>
      <c r="F194" s="1677">
        <v>3408</v>
      </c>
      <c r="G194" s="1089" t="s">
        <v>170</v>
      </c>
      <c r="H194" s="498">
        <v>5945600039</v>
      </c>
      <c r="I194" s="498">
        <v>0</v>
      </c>
      <c r="J194" s="710">
        <v>0</v>
      </c>
      <c r="K194" s="710">
        <v>0</v>
      </c>
      <c r="L194" s="510">
        <f t="shared" si="55"/>
        <v>5945600039</v>
      </c>
      <c r="N194" s="1673">
        <f>-SUMIF('1.0'!$D:$D,T_BS!D194,'1.0'!$V:$V)</f>
        <v>0</v>
      </c>
      <c r="O194" s="710">
        <f>-SUMIF('2.0'!$D:$D,T_BS!D194,'2.0'!$V:$V)</f>
        <v>0</v>
      </c>
      <c r="P194" s="509">
        <f>-ROUND(SUMIF('3.0'!$D:$D,T_BS!D194,'3.0'!$H:$H),0)</f>
        <v>0</v>
      </c>
      <c r="Q194" s="720">
        <f>-ROUND(SUMIF('4.0'!$D:$D,T_BS!D194,'4.0'!$V:$V),0)</f>
        <v>0</v>
      </c>
      <c r="R194" s="509">
        <f>-ROUND(SUMIF('5.0'!$D:$D,T_BS!D194,'5.0'!$V:$V),0)</f>
        <v>0</v>
      </c>
      <c r="S194" s="720">
        <f>-ROUND(SUMIF('6.0'!$D:$D,T_BS!D194,'6.0'!$V:$V),0)</f>
        <v>0</v>
      </c>
      <c r="T194" s="720">
        <f>-ROUND(SUMIF('7.0'!$D:$D,T_BS!D194,'7.0'!$V:$V),0)</f>
        <v>0</v>
      </c>
      <c r="U194" s="720">
        <f>-ROUND(SUMIF('8.0'!$D:$D,T_BS!D194,'8.0'!$H:$H),0)</f>
        <v>0</v>
      </c>
      <c r="V194" s="510">
        <f t="shared" si="51"/>
        <v>0</v>
      </c>
      <c r="X194" s="1622">
        <f t="shared" si="56"/>
        <v>5945600039</v>
      </c>
      <c r="Z194" s="1622">
        <f t="shared" si="57"/>
        <v>-672181025</v>
      </c>
      <c r="AB194" s="1622">
        <v>6197643421</v>
      </c>
      <c r="AC194" s="1622">
        <v>6143379797</v>
      </c>
      <c r="AD194" s="1622">
        <v>6234952659</v>
      </c>
      <c r="AE194" s="1622">
        <v>6308832019</v>
      </c>
      <c r="AF194" s="1622">
        <v>7195766704</v>
      </c>
      <c r="AG194" s="1622">
        <v>6617781064</v>
      </c>
      <c r="AH194" s="1622">
        <v>5492834404</v>
      </c>
      <c r="AI194" s="1622">
        <v>5226136932</v>
      </c>
      <c r="AJ194" s="1622">
        <v>5268245662</v>
      </c>
      <c r="AK194" s="1622">
        <v>4718022767</v>
      </c>
      <c r="AL194" s="1622">
        <v>4628653703</v>
      </c>
      <c r="AN194" s="498"/>
    </row>
    <row r="195" spans="1:40" ht="18" customHeight="1">
      <c r="A195" s="498"/>
      <c r="D195" s="1598">
        <v>215100</v>
      </c>
      <c r="E195" s="1089" t="s">
        <v>162</v>
      </c>
      <c r="F195" s="1677">
        <v>3402</v>
      </c>
      <c r="G195" s="1089" t="s">
        <v>171</v>
      </c>
      <c r="H195" s="498">
        <v>128375784</v>
      </c>
      <c r="I195" s="498">
        <v>17889240</v>
      </c>
      <c r="J195" s="710">
        <v>0</v>
      </c>
      <c r="K195" s="710">
        <v>0</v>
      </c>
      <c r="L195" s="510">
        <f t="shared" si="55"/>
        <v>146265024</v>
      </c>
      <c r="N195" s="1673">
        <f>-SUMIF('1.0'!$D:$D,T_BS!D195,'1.0'!$V:$V)</f>
        <v>0</v>
      </c>
      <c r="O195" s="710">
        <f>-SUMIF('2.0'!$D:$D,T_BS!D195,'2.0'!$V:$V)</f>
        <v>0</v>
      </c>
      <c r="P195" s="509">
        <f>-ROUND(SUMIF('3.0'!$D:$D,T_BS!D195,'3.0'!$H:$H),0)</f>
        <v>0</v>
      </c>
      <c r="Q195" s="720">
        <f>-ROUND(SUMIF('4.0'!$D:$D,T_BS!D195,'4.0'!$V:$V),0)</f>
        <v>0</v>
      </c>
      <c r="R195" s="509">
        <f>-ROUND(SUMIF('5.0'!$D:$D,T_BS!D195,'5.0'!$V:$V),0)</f>
        <v>0</v>
      </c>
      <c r="S195" s="720">
        <f>-ROUND(SUMIF('6.0'!$D:$D,T_BS!D195,'6.0'!$V:$V),0)</f>
        <v>0</v>
      </c>
      <c r="T195" s="720">
        <f>-ROUND(SUMIF('7.0'!$D:$D,T_BS!D195,'7.0'!$V:$V),0)</f>
        <v>0</v>
      </c>
      <c r="U195" s="720">
        <f>-ROUND(SUMIF('8.0'!$D:$D,T_BS!D195,'8.0'!$H:$H),0)</f>
        <v>0</v>
      </c>
      <c r="V195" s="510">
        <f t="shared" si="51"/>
        <v>0</v>
      </c>
      <c r="X195" s="1622">
        <f t="shared" si="56"/>
        <v>146265024</v>
      </c>
      <c r="Z195" s="1622">
        <f t="shared" si="57"/>
        <v>-95571828</v>
      </c>
      <c r="AB195" s="1622">
        <v>142990162</v>
      </c>
      <c r="AC195" s="1622">
        <v>145944209</v>
      </c>
      <c r="AD195" s="1622">
        <v>136149148</v>
      </c>
      <c r="AE195" s="1622">
        <v>163325499</v>
      </c>
      <c r="AF195" s="1622">
        <v>122544688</v>
      </c>
      <c r="AG195" s="1622">
        <v>241836852</v>
      </c>
      <c r="AH195" s="1622">
        <v>111477116</v>
      </c>
      <c r="AI195" s="1622">
        <v>112278235</v>
      </c>
      <c r="AJ195" s="1622">
        <v>103329280</v>
      </c>
      <c r="AK195" s="1622">
        <v>110190376</v>
      </c>
      <c r="AL195" s="1622">
        <v>128386646</v>
      </c>
      <c r="AN195" s="498"/>
    </row>
    <row r="196" spans="1:40" ht="18" customHeight="1">
      <c r="A196" s="498"/>
      <c r="D196" s="1598">
        <v>215200</v>
      </c>
      <c r="E196" s="1089" t="s">
        <v>162</v>
      </c>
      <c r="F196" s="1677">
        <v>3402</v>
      </c>
      <c r="G196" s="1089" t="s">
        <v>172</v>
      </c>
      <c r="H196" s="498">
        <v>12836421</v>
      </c>
      <c r="I196" s="498">
        <v>1788540</v>
      </c>
      <c r="J196" s="710">
        <v>0</v>
      </c>
      <c r="K196" s="710">
        <v>0</v>
      </c>
      <c r="L196" s="510">
        <f t="shared" si="55"/>
        <v>14624961</v>
      </c>
      <c r="N196" s="1673">
        <f>-SUMIF('1.0'!$D:$D,T_BS!D196,'1.0'!$V:$V)</f>
        <v>0</v>
      </c>
      <c r="O196" s="710">
        <f>-SUMIF('2.0'!$D:$D,T_BS!D196,'2.0'!$V:$V)</f>
        <v>0</v>
      </c>
      <c r="P196" s="509">
        <f>-ROUND(SUMIF('3.0'!$D:$D,T_BS!D196,'3.0'!$H:$H),0)</f>
        <v>0</v>
      </c>
      <c r="Q196" s="720">
        <f>-ROUND(SUMIF('4.0'!$D:$D,T_BS!D196,'4.0'!$V:$V),0)</f>
        <v>0</v>
      </c>
      <c r="R196" s="509">
        <f>-ROUND(SUMIF('5.0'!$D:$D,T_BS!D196,'5.0'!$V:$V),0)</f>
        <v>0</v>
      </c>
      <c r="S196" s="720">
        <f>-ROUND(SUMIF('6.0'!$D:$D,T_BS!D196,'6.0'!$V:$V),0)</f>
        <v>0</v>
      </c>
      <c r="T196" s="720">
        <f>-ROUND(SUMIF('7.0'!$D:$D,T_BS!D196,'7.0'!$V:$V),0)</f>
        <v>0</v>
      </c>
      <c r="U196" s="720">
        <f>-ROUND(SUMIF('8.0'!$D:$D,T_BS!D196,'8.0'!$H:$H),0)</f>
        <v>0</v>
      </c>
      <c r="V196" s="510">
        <f t="shared" si="51"/>
        <v>0</v>
      </c>
      <c r="X196" s="1622">
        <f t="shared" si="56"/>
        <v>14624961</v>
      </c>
      <c r="Z196" s="1622">
        <f t="shared" si="57"/>
        <v>-9510884</v>
      </c>
      <c r="AB196" s="1622">
        <v>14292613</v>
      </c>
      <c r="AC196" s="1622">
        <v>14592809</v>
      </c>
      <c r="AD196" s="1622">
        <v>13613351</v>
      </c>
      <c r="AE196" s="1622">
        <v>16331243</v>
      </c>
      <c r="AF196" s="1622">
        <v>12253096</v>
      </c>
      <c r="AG196" s="1622">
        <v>24135845</v>
      </c>
      <c r="AH196" s="1622">
        <v>11146675</v>
      </c>
      <c r="AI196" s="1622">
        <v>11226677</v>
      </c>
      <c r="AJ196" s="1622">
        <v>10309133</v>
      </c>
      <c r="AK196" s="1622">
        <v>10994977</v>
      </c>
      <c r="AL196" s="1622">
        <v>12814714</v>
      </c>
      <c r="AN196" s="498"/>
    </row>
    <row r="197" spans="1:40" ht="18" customHeight="1">
      <c r="A197" s="498"/>
      <c r="D197" s="1598">
        <v>215300</v>
      </c>
      <c r="E197" s="1089" t="s">
        <v>162</v>
      </c>
      <c r="F197" s="1677">
        <v>3402</v>
      </c>
      <c r="G197" s="1089" t="s">
        <v>173</v>
      </c>
      <c r="H197" s="498">
        <v>-1414000</v>
      </c>
      <c r="I197" s="498">
        <v>3241520</v>
      </c>
      <c r="J197" s="710">
        <v>0</v>
      </c>
      <c r="K197" s="710">
        <v>0</v>
      </c>
      <c r="L197" s="510">
        <f t="shared" si="55"/>
        <v>1827520</v>
      </c>
      <c r="N197" s="1673">
        <f>-SUMIF('1.0'!$D:$D,T_BS!D197,'1.0'!$V:$V)</f>
        <v>0</v>
      </c>
      <c r="O197" s="710">
        <f>-SUMIF('2.0'!$D:$D,T_BS!D197,'2.0'!$V:$V)</f>
        <v>0</v>
      </c>
      <c r="P197" s="509">
        <f>-ROUND(SUMIF('3.0'!$D:$D,T_BS!D197,'3.0'!$H:$H),0)</f>
        <v>0</v>
      </c>
      <c r="Q197" s="720">
        <f>-ROUND(SUMIF('4.0'!$D:$D,T_BS!D197,'4.0'!$V:$V),0)</f>
        <v>0</v>
      </c>
      <c r="R197" s="509">
        <f>-ROUND(SUMIF('5.0'!$D:$D,T_BS!D197,'5.0'!$V:$V),0)</f>
        <v>0</v>
      </c>
      <c r="S197" s="720">
        <f>-ROUND(SUMIF('6.0'!$D:$D,T_BS!D197,'6.0'!$V:$V),0)</f>
        <v>0</v>
      </c>
      <c r="T197" s="720">
        <f>-ROUND(SUMIF('7.0'!$D:$D,T_BS!D197,'7.0'!$V:$V),0)</f>
        <v>0</v>
      </c>
      <c r="U197" s="720">
        <f>-ROUND(SUMIF('8.0'!$D:$D,T_BS!D197,'8.0'!$H:$H),0)</f>
        <v>0</v>
      </c>
      <c r="V197" s="510">
        <f t="shared" si="51"/>
        <v>0</v>
      </c>
      <c r="X197" s="1622">
        <f t="shared" si="56"/>
        <v>1827520</v>
      </c>
      <c r="Z197" s="1622">
        <f t="shared" si="57"/>
        <v>2760230</v>
      </c>
      <c r="AB197" s="1622">
        <v>1770420</v>
      </c>
      <c r="AC197" s="1622">
        <v>2380540</v>
      </c>
      <c r="AD197" s="1622">
        <v>3097910</v>
      </c>
      <c r="AE197" s="1622">
        <v>4903330</v>
      </c>
      <c r="AF197" s="1622">
        <v>109140</v>
      </c>
      <c r="AG197" s="1622">
        <v>-932710</v>
      </c>
      <c r="AH197" s="1622">
        <v>-1358200</v>
      </c>
      <c r="AI197" s="1622">
        <v>-884310</v>
      </c>
      <c r="AJ197" s="1622">
        <v>-915720</v>
      </c>
      <c r="AK197" s="1622">
        <v>-989030</v>
      </c>
      <c r="AL197" s="1622">
        <v>-1245870</v>
      </c>
      <c r="AN197" s="498"/>
    </row>
    <row r="198" spans="1:40" ht="18" customHeight="1">
      <c r="A198" s="498"/>
      <c r="D198" s="1598">
        <v>215400</v>
      </c>
      <c r="E198" s="1089" t="s">
        <v>162</v>
      </c>
      <c r="F198" s="1677">
        <v>3402</v>
      </c>
      <c r="G198" s="1089" t="s">
        <v>174</v>
      </c>
      <c r="H198" s="498">
        <v>2009030</v>
      </c>
      <c r="I198" s="498">
        <v>1379570</v>
      </c>
      <c r="J198" s="710">
        <v>0</v>
      </c>
      <c r="K198" s="710">
        <v>0</v>
      </c>
      <c r="L198" s="510">
        <f t="shared" si="55"/>
        <v>3388600</v>
      </c>
      <c r="N198" s="1673">
        <f>-SUMIF('1.0'!$D:$D,T_BS!D198,'1.0'!$V:$V)</f>
        <v>0</v>
      </c>
      <c r="O198" s="710">
        <f>-SUMIF('2.0'!$D:$D,T_BS!D198,'2.0'!$V:$V)</f>
        <v>0</v>
      </c>
      <c r="P198" s="509">
        <f>-ROUND(SUMIF('3.0'!$D:$D,T_BS!D198,'3.0'!$H:$H),0)</f>
        <v>0</v>
      </c>
      <c r="Q198" s="720">
        <f>-ROUND(SUMIF('4.0'!$D:$D,T_BS!D198,'4.0'!$V:$V),0)</f>
        <v>0</v>
      </c>
      <c r="R198" s="509">
        <f>-ROUND(SUMIF('5.0'!$D:$D,T_BS!D198,'5.0'!$V:$V),0)</f>
        <v>0</v>
      </c>
      <c r="S198" s="720">
        <f>-ROUND(SUMIF('6.0'!$D:$D,T_BS!D198,'6.0'!$V:$V),0)</f>
        <v>0</v>
      </c>
      <c r="T198" s="720">
        <f>-ROUND(SUMIF('7.0'!$D:$D,T_BS!D198,'7.0'!$V:$V),0)</f>
        <v>0</v>
      </c>
      <c r="U198" s="720">
        <f>-ROUND(SUMIF('8.0'!$D:$D,T_BS!D198,'8.0'!$H:$H),0)</f>
        <v>0</v>
      </c>
      <c r="V198" s="510">
        <f t="shared" si="51"/>
        <v>0</v>
      </c>
      <c r="X198" s="1622">
        <f t="shared" si="56"/>
        <v>3388600</v>
      </c>
      <c r="Z198" s="1622">
        <f t="shared" si="57"/>
        <v>1247450</v>
      </c>
      <c r="AB198" s="1622">
        <v>3677290</v>
      </c>
      <c r="AC198" s="1622">
        <v>3677290</v>
      </c>
      <c r="AD198" s="1622">
        <v>4148890</v>
      </c>
      <c r="AE198" s="1622">
        <v>3315760</v>
      </c>
      <c r="AF198" s="1622">
        <v>2009030</v>
      </c>
      <c r="AG198" s="1622">
        <v>2141150</v>
      </c>
      <c r="AH198" s="1622">
        <v>1710365</v>
      </c>
      <c r="AI198" s="1622">
        <v>1710365</v>
      </c>
      <c r="AJ198" s="1622">
        <v>1710365</v>
      </c>
      <c r="AK198" s="1622">
        <v>1710365</v>
      </c>
      <c r="AL198" s="1622">
        <v>1710365</v>
      </c>
      <c r="AN198" s="498"/>
    </row>
    <row r="199" spans="1:40" ht="18" customHeight="1">
      <c r="A199" s="498"/>
      <c r="D199" s="1598">
        <v>215500</v>
      </c>
      <c r="E199" s="1089" t="s">
        <v>162</v>
      </c>
      <c r="F199" s="1677">
        <v>3402</v>
      </c>
      <c r="G199" s="1089" t="s">
        <v>175</v>
      </c>
      <c r="H199" s="498">
        <v>2979668</v>
      </c>
      <c r="I199" s="498">
        <v>266000</v>
      </c>
      <c r="J199" s="710">
        <v>0</v>
      </c>
      <c r="K199" s="710">
        <v>0</v>
      </c>
      <c r="L199" s="510">
        <f t="shared" si="55"/>
        <v>3245668</v>
      </c>
      <c r="N199" s="1673">
        <f>-SUMIF('1.0'!$D:$D,T_BS!D199,'1.0'!$V:$V)</f>
        <v>0</v>
      </c>
      <c r="O199" s="710">
        <f>-SUMIF('2.0'!$D:$D,T_BS!D199,'2.0'!$V:$V)</f>
        <v>0</v>
      </c>
      <c r="P199" s="509">
        <f>-ROUND(SUMIF('3.0'!$D:$D,T_BS!D199,'3.0'!$H:$H),0)</f>
        <v>0</v>
      </c>
      <c r="Q199" s="720">
        <f>-ROUND(SUMIF('4.0'!$D:$D,T_BS!D199,'4.0'!$V:$V),0)</f>
        <v>0</v>
      </c>
      <c r="R199" s="509">
        <f>-ROUND(SUMIF('5.0'!$D:$D,T_BS!D199,'5.0'!$V:$V),0)</f>
        <v>0</v>
      </c>
      <c r="S199" s="720">
        <f>-ROUND(SUMIF('6.0'!$D:$D,T_BS!D199,'6.0'!$V:$V),0)</f>
        <v>0</v>
      </c>
      <c r="T199" s="720">
        <f>-ROUND(SUMIF('7.0'!$D:$D,T_BS!D199,'7.0'!$V:$V),0)</f>
        <v>0</v>
      </c>
      <c r="U199" s="720">
        <f>-ROUND(SUMIF('8.0'!$D:$D,T_BS!D199,'8.0'!$H:$H),0)</f>
        <v>0</v>
      </c>
      <c r="V199" s="510">
        <f t="shared" si="51"/>
        <v>0</v>
      </c>
      <c r="X199" s="1622">
        <f t="shared" si="56"/>
        <v>3245668</v>
      </c>
      <c r="Z199" s="1622">
        <f t="shared" si="57"/>
        <v>-7943550</v>
      </c>
      <c r="AB199" s="1622">
        <v>3018528</v>
      </c>
      <c r="AC199" s="1622">
        <v>2421058</v>
      </c>
      <c r="AD199" s="1622">
        <v>1871318</v>
      </c>
      <c r="AE199" s="1622">
        <v>1716448</v>
      </c>
      <c r="AF199" s="1622">
        <v>11368318</v>
      </c>
      <c r="AG199" s="1622">
        <v>11189218</v>
      </c>
      <c r="AH199" s="1622">
        <v>9190608</v>
      </c>
      <c r="AI199" s="1622">
        <v>8875818</v>
      </c>
      <c r="AJ199" s="1622">
        <v>8724550</v>
      </c>
      <c r="AK199" s="1622">
        <v>17169730</v>
      </c>
      <c r="AL199" s="1622">
        <v>9394370</v>
      </c>
      <c r="AN199" s="498"/>
    </row>
    <row r="200" spans="1:40" ht="18" customHeight="1">
      <c r="A200" s="498"/>
      <c r="D200" s="1598">
        <v>215900</v>
      </c>
      <c r="E200" s="1089" t="s">
        <v>162</v>
      </c>
      <c r="F200" s="1677">
        <v>3402</v>
      </c>
      <c r="G200" s="1089" t="s">
        <v>176</v>
      </c>
      <c r="H200" s="498">
        <v>346541986</v>
      </c>
      <c r="I200" s="498">
        <v>0</v>
      </c>
      <c r="J200" s="710">
        <v>68309659</v>
      </c>
      <c r="K200" s="710">
        <v>10486823</v>
      </c>
      <c r="L200" s="510">
        <f t="shared" si="55"/>
        <v>425338468</v>
      </c>
      <c r="N200" s="1673">
        <f>-SUMIF('1.0'!$D:$D,T_BS!D200,'1.0'!$V:$V)</f>
        <v>0</v>
      </c>
      <c r="O200" s="710">
        <f>-SUMIF('2.0'!$D:$D,T_BS!D200,'2.0'!$V:$V)</f>
        <v>0</v>
      </c>
      <c r="P200" s="509">
        <f>-ROUND(SUMIF('3.0'!$D:$D,T_BS!D200,'3.0'!$H:$H),0)</f>
        <v>0</v>
      </c>
      <c r="Q200" s="720">
        <f>-ROUND(SUMIF('4.0'!$D:$D,T_BS!D200,'4.0'!$V:$V),0)</f>
        <v>0</v>
      </c>
      <c r="R200" s="509">
        <f>-ROUND(SUMIF('5.0'!$D:$D,T_BS!D200,'5.0'!$V:$V),0)</f>
        <v>0</v>
      </c>
      <c r="S200" s="720">
        <f>-ROUND(SUMIF('6.0'!$D:$D,T_BS!D200,'6.0'!$V:$V),0)</f>
        <v>0</v>
      </c>
      <c r="T200" s="720">
        <f>-ROUND(SUMIF('7.0'!$D:$D,T_BS!D200,'7.0'!$V:$V),0)</f>
        <v>0</v>
      </c>
      <c r="U200" s="720">
        <f>-ROUND(SUMIF('8.0'!$D:$D,T_BS!D200,'8.0'!$H:$H),0)</f>
        <v>0</v>
      </c>
      <c r="V200" s="510">
        <f t="shared" si="51"/>
        <v>0</v>
      </c>
      <c r="X200" s="1622">
        <f t="shared" si="56"/>
        <v>425338468</v>
      </c>
      <c r="Z200" s="1622">
        <f t="shared" si="57"/>
        <v>-164133656</v>
      </c>
      <c r="AB200" s="1622">
        <v>397650314</v>
      </c>
      <c r="AC200" s="1622">
        <v>504400168</v>
      </c>
      <c r="AD200" s="1622">
        <v>589242069</v>
      </c>
      <c r="AE200" s="1622">
        <v>686038024</v>
      </c>
      <c r="AF200" s="1622">
        <v>360438188</v>
      </c>
      <c r="AG200" s="1622">
        <v>589472124</v>
      </c>
      <c r="AH200" s="1622">
        <v>328788542</v>
      </c>
      <c r="AI200" s="1622">
        <v>492588474</v>
      </c>
      <c r="AJ200" s="1622">
        <v>759289804</v>
      </c>
      <c r="AK200" s="1622">
        <v>640587151</v>
      </c>
      <c r="AL200" s="1622">
        <v>948604126</v>
      </c>
      <c r="AN200" s="498"/>
    </row>
    <row r="201" spans="1:40" ht="18" customHeight="1">
      <c r="A201" s="498"/>
      <c r="D201" s="1598">
        <v>215700</v>
      </c>
      <c r="E201" s="1089" t="s">
        <v>162</v>
      </c>
      <c r="F201" s="1677">
        <v>3402</v>
      </c>
      <c r="G201" s="1089" t="s">
        <v>177</v>
      </c>
      <c r="H201" s="498">
        <v>0</v>
      </c>
      <c r="I201" s="498">
        <v>0</v>
      </c>
      <c r="J201" s="710">
        <v>0</v>
      </c>
      <c r="K201" s="710">
        <v>0</v>
      </c>
      <c r="L201" s="510">
        <f t="shared" si="55"/>
        <v>0</v>
      </c>
      <c r="N201" s="1673">
        <f>-SUMIF('1.0'!$D:$D,T_BS!D201,'1.0'!$V:$V)</f>
        <v>0</v>
      </c>
      <c r="O201" s="710">
        <f>-SUMIF('2.0'!$D:$D,T_BS!D201,'2.0'!$V:$V)</f>
        <v>0</v>
      </c>
      <c r="P201" s="509">
        <f>-ROUND(SUMIF('3.0'!$D:$D,T_BS!D201,'3.0'!$H:$H),0)</f>
        <v>0</v>
      </c>
      <c r="Q201" s="720">
        <f>-ROUND(SUMIF('4.0'!$D:$D,T_BS!D201,'4.0'!$V:$V),0)</f>
        <v>0</v>
      </c>
      <c r="R201" s="509">
        <f>-ROUND(SUMIF('5.0'!$D:$D,T_BS!D201,'5.0'!$V:$V),0)</f>
        <v>0</v>
      </c>
      <c r="S201" s="720">
        <f>-ROUND(SUMIF('6.0'!$D:$D,T_BS!D201,'6.0'!$V:$V),0)</f>
        <v>0</v>
      </c>
      <c r="T201" s="720">
        <f>-ROUND(SUMIF('7.0'!$D:$D,T_BS!D201,'7.0'!$V:$V),0)</f>
        <v>0</v>
      </c>
      <c r="U201" s="720">
        <f>-ROUND(SUMIF('8.0'!$D:$D,T_BS!D201,'8.0'!$H:$H),0)</f>
        <v>0</v>
      </c>
      <c r="V201" s="510">
        <f t="shared" si="51"/>
        <v>0</v>
      </c>
      <c r="X201" s="1622">
        <f t="shared" si="56"/>
        <v>0</v>
      </c>
      <c r="Z201" s="1622">
        <f t="shared" si="57"/>
        <v>0</v>
      </c>
      <c r="AB201" s="1622">
        <v>0</v>
      </c>
      <c r="AC201" s="1622">
        <v>0</v>
      </c>
      <c r="AD201" s="1622">
        <v>0</v>
      </c>
      <c r="AE201" s="1622">
        <v>0</v>
      </c>
      <c r="AF201" s="1622">
        <v>0</v>
      </c>
      <c r="AG201" s="1622">
        <v>0</v>
      </c>
      <c r="AH201" s="1622">
        <v>0</v>
      </c>
      <c r="AI201" s="1622">
        <v>0</v>
      </c>
      <c r="AJ201" s="1622">
        <v>0</v>
      </c>
      <c r="AK201" s="1622">
        <v>0</v>
      </c>
      <c r="AL201" s="1622">
        <v>0</v>
      </c>
      <c r="AN201" s="498"/>
    </row>
    <row r="202" spans="1:40" ht="18" customHeight="1">
      <c r="A202" s="498"/>
      <c r="D202" s="1639">
        <v>215800</v>
      </c>
      <c r="E202" s="1506" t="s">
        <v>162</v>
      </c>
      <c r="F202" s="1640">
        <v>3402</v>
      </c>
      <c r="G202" s="1506" t="s">
        <v>178</v>
      </c>
      <c r="H202" s="498">
        <v>0</v>
      </c>
      <c r="I202" s="498">
        <v>0</v>
      </c>
      <c r="J202" s="710">
        <v>0</v>
      </c>
      <c r="K202" s="710">
        <v>0</v>
      </c>
      <c r="L202" s="510">
        <f t="shared" si="55"/>
        <v>0</v>
      </c>
      <c r="N202" s="1673">
        <f>-SUMIF('1.0'!$D:$D,T_BS!D202,'1.0'!$V:$V)</f>
        <v>0</v>
      </c>
      <c r="O202" s="710">
        <f>-SUMIF('2.0'!$D:$D,T_BS!D202,'2.0'!$V:$V)</f>
        <v>0</v>
      </c>
      <c r="P202" s="509">
        <f>-ROUND(SUMIF('3.0'!$D:$D,T_BS!D202,'3.0'!$H:$H),0)</f>
        <v>0</v>
      </c>
      <c r="Q202" s="720">
        <f>-ROUND(SUMIF('4.0'!$D:$D,T_BS!D202,'4.0'!$V:$V),0)</f>
        <v>0</v>
      </c>
      <c r="R202" s="509">
        <f>-ROUND(SUMIF('5.0'!$D:$D,T_BS!D202,'5.0'!$V:$V),0)</f>
        <v>0</v>
      </c>
      <c r="S202" s="720">
        <f>-ROUND(SUMIF('6.0'!$D:$D,T_BS!D202,'6.0'!$V:$V),0)</f>
        <v>0</v>
      </c>
      <c r="T202" s="720">
        <f>-ROUND(SUMIF('7.0'!$D:$D,T_BS!D202,'7.0'!$V:$V),0)</f>
        <v>0</v>
      </c>
      <c r="U202" s="720">
        <f>-ROUND(SUMIF('8.0'!$D:$D,T_BS!D202,'8.0'!$H:$H),0)</f>
        <v>0</v>
      </c>
      <c r="V202" s="510">
        <f t="shared" si="51"/>
        <v>0</v>
      </c>
      <c r="X202" s="1622">
        <f t="shared" si="56"/>
        <v>0</v>
      </c>
      <c r="Z202" s="1622">
        <f t="shared" si="57"/>
        <v>0</v>
      </c>
      <c r="AB202" s="1622">
        <v>0</v>
      </c>
      <c r="AC202" s="1622">
        <v>0</v>
      </c>
      <c r="AD202" s="1622">
        <v>0</v>
      </c>
      <c r="AE202" s="1622">
        <v>0</v>
      </c>
      <c r="AF202" s="1622">
        <v>0</v>
      </c>
      <c r="AG202" s="1622">
        <v>0</v>
      </c>
      <c r="AH202" s="1622">
        <v>0</v>
      </c>
      <c r="AI202" s="1622">
        <v>-8500</v>
      </c>
      <c r="AJ202" s="1622">
        <v>0</v>
      </c>
      <c r="AK202" s="1622">
        <v>0</v>
      </c>
      <c r="AL202" s="1622">
        <v>0</v>
      </c>
      <c r="AN202" s="498"/>
    </row>
    <row r="203" spans="1:40" ht="18" customHeight="1">
      <c r="A203" s="498"/>
      <c r="D203" s="1639">
        <v>219000</v>
      </c>
      <c r="E203" s="1276" t="s">
        <v>162</v>
      </c>
      <c r="F203" s="1640">
        <v>219000</v>
      </c>
      <c r="G203" s="1276" t="s">
        <v>179</v>
      </c>
      <c r="H203" s="498">
        <v>773173310</v>
      </c>
      <c r="I203" s="498">
        <v>924341</v>
      </c>
      <c r="J203" s="710">
        <v>6086568</v>
      </c>
      <c r="K203" s="710">
        <v>1258107349</v>
      </c>
      <c r="L203" s="510">
        <f t="shared" si="55"/>
        <v>2038291568</v>
      </c>
      <c r="N203" s="1673">
        <f>-SUMIF('1.0'!$D:$D,T_BS!D203,'1.0'!$V:$V)</f>
        <v>0</v>
      </c>
      <c r="O203" s="710">
        <f>-SUMIF('2.0'!$D:$D,T_BS!D203,'2.0'!$V:$V)</f>
        <v>0</v>
      </c>
      <c r="P203" s="509">
        <f>-ROUND(SUMIF('3.0'!$D:$D,T_BS!D203,'3.0'!$H:$H),0)</f>
        <v>0</v>
      </c>
      <c r="Q203" s="720">
        <f>-ROUND(SUMIF('4.0'!$D:$D,T_BS!D203,'4.0'!$V:$V),0)</f>
        <v>0</v>
      </c>
      <c r="R203" s="509">
        <f>-ROUND(SUMIF('5.0'!$D:$D,T_BS!D203,'5.0'!$V:$V),0)</f>
        <v>0</v>
      </c>
      <c r="S203" s="720">
        <f>-ROUND(SUMIF('6.0'!$D:$D,T_BS!D203,'6.0'!$V:$V),0)</f>
        <v>-1128563830</v>
      </c>
      <c r="T203" s="720">
        <f>-ROUND(SUMIF('7.0'!$D:$D,T_BS!D203,'7.0'!$V:$V),0)</f>
        <v>0</v>
      </c>
      <c r="U203" s="720">
        <f>-ROUND(SUMIF('8.0'!$D:$D,T_BS!D203,'8.0'!$H:$H),0)</f>
        <v>0</v>
      </c>
      <c r="V203" s="510">
        <f t="shared" si="51"/>
        <v>-1128563830</v>
      </c>
      <c r="X203" s="1622">
        <f t="shared" si="56"/>
        <v>909727738</v>
      </c>
      <c r="Z203" s="1622">
        <f t="shared" si="57"/>
        <v>-1226183749</v>
      </c>
      <c r="AB203" s="1622">
        <v>876907416</v>
      </c>
      <c r="AC203" s="1622">
        <v>850978560</v>
      </c>
      <c r="AD203" s="1622">
        <v>129197460</v>
      </c>
      <c r="AE203" s="1622">
        <v>1909104181</v>
      </c>
      <c r="AF203" s="1622">
        <v>1437541910</v>
      </c>
      <c r="AG203" s="1622">
        <v>2135911487</v>
      </c>
      <c r="AH203" s="1622">
        <v>997197575</v>
      </c>
      <c r="AI203" s="1622">
        <v>982278440</v>
      </c>
      <c r="AJ203" s="1622">
        <v>1398858058</v>
      </c>
      <c r="AK203" s="1622">
        <v>532417666</v>
      </c>
      <c r="AL203" s="1622">
        <v>1883642907</v>
      </c>
      <c r="AN203" s="498"/>
    </row>
    <row r="204" spans="1:40" ht="18" customHeight="1">
      <c r="A204" s="498"/>
      <c r="D204" s="1639">
        <v>220000</v>
      </c>
      <c r="E204" s="1276" t="s">
        <v>162</v>
      </c>
      <c r="F204" s="1680">
        <v>3402</v>
      </c>
      <c r="G204" s="1276" t="s">
        <v>1855</v>
      </c>
      <c r="H204" s="498">
        <v>0</v>
      </c>
      <c r="I204" s="498">
        <v>0</v>
      </c>
      <c r="J204" s="710">
        <v>0</v>
      </c>
      <c r="K204" s="710">
        <v>0</v>
      </c>
      <c r="L204" s="510">
        <f t="shared" si="55"/>
        <v>0</v>
      </c>
      <c r="N204" s="1673">
        <f>-SUMIF('1.0'!$D:$D,T_BS!D204,'1.0'!$V:$V)</f>
        <v>0</v>
      </c>
      <c r="O204" s="710">
        <f>-SUMIF('2.0'!$D:$D,T_BS!D204,'2.0'!$V:$V)</f>
        <v>0</v>
      </c>
      <c r="P204" s="509">
        <f>-ROUND(SUMIF('3.0'!$D:$D,T_BS!D204,'3.0'!$H:$H),0)</f>
        <v>0</v>
      </c>
      <c r="Q204" s="720">
        <f>-ROUND(SUMIF('4.0'!$D:$D,T_BS!D204,'4.0'!$V:$V),0)</f>
        <v>0</v>
      </c>
      <c r="R204" s="509">
        <f>-ROUND(SUMIF('5.0'!$D:$D,T_BS!D204,'5.0'!$V:$V),0)</f>
        <v>0</v>
      </c>
      <c r="S204" s="720">
        <f>-ROUND(SUMIF('6.0'!$D:$D,T_BS!D204,'6.0'!$V:$V),0)</f>
        <v>0</v>
      </c>
      <c r="T204" s="720">
        <f>-ROUND(SUMIF('7.0'!$D:$D,T_BS!D204,'7.0'!$V:$V),0)</f>
        <v>0</v>
      </c>
      <c r="U204" s="720">
        <f>-ROUND(SUMIF('8.0'!$D:$D,T_BS!D204,'8.0'!$H:$H),0)</f>
        <v>0</v>
      </c>
      <c r="V204" s="510">
        <f>SUM(N204:U204)</f>
        <v>0</v>
      </c>
      <c r="X204" s="1622">
        <f t="shared" si="56"/>
        <v>0</v>
      </c>
      <c r="Z204" s="1622">
        <f t="shared" si="57"/>
        <v>0</v>
      </c>
      <c r="AB204" s="1622">
        <v>58254</v>
      </c>
      <c r="AC204" s="1622">
        <v>56929</v>
      </c>
      <c r="AD204" s="1622">
        <v>56922</v>
      </c>
      <c r="AE204" s="1622">
        <v>55509</v>
      </c>
      <c r="AF204" s="1622">
        <v>58224</v>
      </c>
      <c r="AG204" s="1622">
        <v>0</v>
      </c>
      <c r="AH204" s="1622">
        <v>644781</v>
      </c>
      <c r="AI204" s="1622">
        <v>661363</v>
      </c>
      <c r="AJ204" s="1622">
        <v>284437</v>
      </c>
      <c r="AK204" s="1622">
        <v>3028468</v>
      </c>
      <c r="AL204" s="1622">
        <v>1156001</v>
      </c>
      <c r="AN204" s="498"/>
    </row>
    <row r="205" spans="1:40" ht="18" customHeight="1">
      <c r="A205" s="498"/>
      <c r="D205" s="1639">
        <v>223100</v>
      </c>
      <c r="E205" s="1276" t="s">
        <v>162</v>
      </c>
      <c r="F205" s="1680">
        <v>3404</v>
      </c>
      <c r="G205" s="1276" t="s">
        <v>180</v>
      </c>
      <c r="H205" s="498">
        <v>399893521</v>
      </c>
      <c r="I205" s="498">
        <v>0</v>
      </c>
      <c r="J205" s="710">
        <v>0</v>
      </c>
      <c r="K205" s="710">
        <v>0</v>
      </c>
      <c r="L205" s="510">
        <f t="shared" si="55"/>
        <v>399893521</v>
      </c>
      <c r="N205" s="1673">
        <f>-SUMIF('1.0'!$D:$D,T_BS!D205,'1.0'!$V:$V)</f>
        <v>0</v>
      </c>
      <c r="O205" s="710">
        <f>-SUMIF('2.0'!$D:$D,T_BS!D205,'2.0'!$V:$V)</f>
        <v>0</v>
      </c>
      <c r="P205" s="509">
        <f>-ROUND(SUMIF('3.0'!$D:$D,T_BS!D205,'3.0'!$H:$H),0)</f>
        <v>0</v>
      </c>
      <c r="Q205" s="720">
        <f>-ROUND(SUMIF('4.0'!$D:$D,T_BS!D205,'4.0'!$V:$V),0)</f>
        <v>0</v>
      </c>
      <c r="R205" s="509">
        <f>-ROUND(SUMIF('5.0'!$D:$D,T_BS!D205,'5.0'!$V:$V),0)</f>
        <v>0</v>
      </c>
      <c r="S205" s="720">
        <f>-ROUND(SUMIF('6.0'!$D:$D,T_BS!D205,'6.0'!$V:$V),0)</f>
        <v>0</v>
      </c>
      <c r="T205" s="720">
        <f>-ROUND(SUMIF('7.0'!$D:$D,T_BS!D205,'7.0'!$V:$V),0)</f>
        <v>0</v>
      </c>
      <c r="U205" s="720">
        <f>-ROUND(SUMIF('8.0'!$D:$D,T_BS!D205,'8.0'!$H:$H),0)</f>
        <v>0</v>
      </c>
      <c r="V205" s="510">
        <f t="shared" si="51"/>
        <v>0</v>
      </c>
      <c r="X205" s="1622">
        <f t="shared" si="56"/>
        <v>399893521</v>
      </c>
      <c r="Z205" s="1622">
        <f t="shared" si="57"/>
        <v>70302627</v>
      </c>
      <c r="AB205" s="1622">
        <v>399893521</v>
      </c>
      <c r="AC205" s="1622">
        <v>399893521</v>
      </c>
      <c r="AD205" s="1622">
        <v>399893521</v>
      </c>
      <c r="AE205" s="1622">
        <v>399893521</v>
      </c>
      <c r="AF205" s="1622">
        <v>329590894</v>
      </c>
      <c r="AG205" s="1622">
        <v>329590894</v>
      </c>
      <c r="AH205" s="1622">
        <v>287995683</v>
      </c>
      <c r="AI205" s="1622">
        <v>287995683</v>
      </c>
      <c r="AJ205" s="1622">
        <v>287995683</v>
      </c>
      <c r="AK205" s="1622">
        <v>327831696</v>
      </c>
      <c r="AL205" s="1622">
        <v>327831696</v>
      </c>
      <c r="AN205" s="498"/>
    </row>
    <row r="206" spans="1:40" s="1659" customFormat="1" ht="18" customHeight="1">
      <c r="A206" s="575"/>
      <c r="B206" s="1089"/>
      <c r="C206" s="1089"/>
      <c r="D206" s="1681">
        <v>223120</v>
      </c>
      <c r="E206" s="1276" t="s">
        <v>162</v>
      </c>
      <c r="F206" s="1680">
        <v>3405</v>
      </c>
      <c r="G206" s="1276" t="s">
        <v>2366</v>
      </c>
      <c r="H206" s="498">
        <v>0</v>
      </c>
      <c r="I206" s="498">
        <v>0</v>
      </c>
      <c r="J206" s="710">
        <v>0</v>
      </c>
      <c r="K206" s="710">
        <v>0</v>
      </c>
      <c r="L206" s="1646">
        <f t="shared" si="55"/>
        <v>0</v>
      </c>
      <c r="N206" s="1642">
        <f>-SUMIF('1.0'!$D:$D,T_BS!D206,'1.0'!$V:$V)</f>
        <v>0</v>
      </c>
      <c r="O206" s="925">
        <f>-SUMIF('2.0'!$D:$D,T_BS!D206,'2.0'!$V:$V)</f>
        <v>0</v>
      </c>
      <c r="P206" s="925">
        <f>-ROUND(SUMIF('3.0'!$D:$D,T_BS!D206,'3.0'!$H:$H),0)</f>
        <v>0</v>
      </c>
      <c r="Q206" s="1119">
        <f>-ROUND(SUMIF('4.0'!$D:$D,T_BS!D206,'4.0'!$V:$V),0)</f>
        <v>0</v>
      </c>
      <c r="R206" s="925">
        <f>-ROUND(SUMIF('5.0'!$D:$D,T_BS!D206,'5.0'!$V:$V),0)</f>
        <v>0</v>
      </c>
      <c r="S206" s="1119">
        <f>-ROUND(SUMIF('6.0'!$D:$D,T_BS!D206,'6.0'!$V:$V),0)</f>
        <v>0</v>
      </c>
      <c r="T206" s="1119">
        <f>-ROUND(SUMIF('7.0'!$D:$D,T_BS!D206,'7.0'!$V:$V),0)</f>
        <v>0</v>
      </c>
      <c r="U206" s="1119">
        <f>-ROUND(SUMIF('8.0'!$D:$D,T_BS!D206,'8.0'!$H:$H),0)</f>
        <v>0</v>
      </c>
      <c r="V206" s="1646">
        <f>SUM(N206:U206)</f>
        <v>0</v>
      </c>
      <c r="X206" s="1647">
        <f t="shared" si="56"/>
        <v>0</v>
      </c>
      <c r="Z206" s="1622">
        <f t="shared" si="57"/>
        <v>-59468222</v>
      </c>
      <c r="AB206" s="1647">
        <v>0</v>
      </c>
      <c r="AC206" s="1647">
        <v>0</v>
      </c>
      <c r="AD206" s="1647">
        <v>0</v>
      </c>
      <c r="AE206" s="1647">
        <v>0</v>
      </c>
      <c r="AF206" s="1647">
        <v>60609656</v>
      </c>
      <c r="AG206" s="1647">
        <v>59468222</v>
      </c>
      <c r="AH206" s="1647"/>
      <c r="AI206" s="1647">
        <v>0</v>
      </c>
      <c r="AJ206" s="1647">
        <v>0</v>
      </c>
      <c r="AK206" s="1647">
        <v>0</v>
      </c>
      <c r="AL206" s="1647">
        <v>0</v>
      </c>
      <c r="AN206" s="498"/>
    </row>
    <row r="207" spans="1:40" ht="18" customHeight="1">
      <c r="A207" s="498"/>
      <c r="D207" s="1598">
        <v>223130</v>
      </c>
      <c r="E207" s="1089" t="s">
        <v>162</v>
      </c>
      <c r="F207" s="1677" t="s">
        <v>2286</v>
      </c>
      <c r="G207" s="1089" t="s">
        <v>2446</v>
      </c>
      <c r="H207" s="498">
        <v>80038925</v>
      </c>
      <c r="I207" s="498">
        <v>0</v>
      </c>
      <c r="J207" s="710">
        <v>0</v>
      </c>
      <c r="K207" s="710">
        <v>0</v>
      </c>
      <c r="L207" s="510">
        <f t="shared" si="55"/>
        <v>80038925</v>
      </c>
      <c r="N207" s="1673">
        <f>-SUMIF('1.0'!$D:$D,T_BS!D207,'1.0'!$V:$V)</f>
        <v>0</v>
      </c>
      <c r="O207" s="710">
        <f>-SUMIF('2.0'!$D:$D,T_BS!D207,'2.0'!$V:$V)</f>
        <v>0</v>
      </c>
      <c r="P207" s="509">
        <f>-ROUND(SUMIF('3.0'!$D:$D,T_BS!D207,'3.0'!$H:$H),0)</f>
        <v>0</v>
      </c>
      <c r="Q207" s="720">
        <f>-ROUND(SUMIF('4.0'!$D:$D,T_BS!D207,'4.0'!$V:$V),0)</f>
        <v>0</v>
      </c>
      <c r="R207" s="509">
        <f>-ROUND(SUMIF('5.0'!$D:$D,T_BS!D207,'5.0'!$V:$V),0)</f>
        <v>0</v>
      </c>
      <c r="S207" s="720">
        <f>-ROUND(SUMIF('6.0'!$D:$D,T_BS!D207,'6.0'!$V:$V),0)</f>
        <v>0</v>
      </c>
      <c r="T207" s="720">
        <f>-ROUND(SUMIF('7.0'!$D:$D,T_BS!D207,'7.0'!$V:$V),0)</f>
        <v>0</v>
      </c>
      <c r="U207" s="720">
        <f>-ROUND(SUMIF('8.0'!$D:$D,T_BS!D207,'8.0'!$H:$H),0)</f>
        <v>0</v>
      </c>
      <c r="V207" s="510">
        <f t="shared" si="51"/>
        <v>0</v>
      </c>
      <c r="X207" s="1622">
        <f t="shared" si="56"/>
        <v>80038925</v>
      </c>
      <c r="Z207" s="1622">
        <f t="shared" si="57"/>
        <v>-36452205</v>
      </c>
      <c r="AB207" s="1622">
        <v>80038925</v>
      </c>
      <c r="AC207" s="1622">
        <v>80038925</v>
      </c>
      <c r="AD207" s="1622">
        <v>80038925</v>
      </c>
      <c r="AE207" s="1622">
        <v>80038925</v>
      </c>
      <c r="AF207" s="1622">
        <v>116491130</v>
      </c>
      <c r="AG207" s="1622">
        <v>116491130</v>
      </c>
      <c r="AH207" s="1622">
        <v>181012525</v>
      </c>
      <c r="AI207" s="1622">
        <v>181012525</v>
      </c>
      <c r="AJ207" s="1622">
        <v>181012525</v>
      </c>
      <c r="AK207" s="1622">
        <v>139640731</v>
      </c>
      <c r="AL207" s="1622">
        <v>139640731</v>
      </c>
      <c r="AN207" s="498"/>
    </row>
    <row r="208" spans="1:40" ht="18" customHeight="1">
      <c r="A208" s="498"/>
      <c r="D208" s="1593"/>
      <c r="E208" s="1594"/>
      <c r="F208" s="1595"/>
      <c r="G208" s="1594" t="s">
        <v>182</v>
      </c>
      <c r="H208" s="520">
        <f>H209</f>
        <v>1333669787</v>
      </c>
      <c r="I208" s="506">
        <f>I209</f>
        <v>162736364</v>
      </c>
      <c r="J208" s="506">
        <f>J209</f>
        <v>0</v>
      </c>
      <c r="K208" s="506">
        <f>K209</f>
        <v>573267807</v>
      </c>
      <c r="L208" s="507">
        <f>L209</f>
        <v>2069673958</v>
      </c>
      <c r="N208" s="1637">
        <f t="shared" ref="N208:AK208" si="58">N209</f>
        <v>0</v>
      </c>
      <c r="O208" s="506">
        <f t="shared" si="58"/>
        <v>0</v>
      </c>
      <c r="P208" s="506">
        <f t="shared" si="58"/>
        <v>0</v>
      </c>
      <c r="Q208" s="506">
        <f t="shared" si="58"/>
        <v>0</v>
      </c>
      <c r="R208" s="506">
        <f t="shared" si="58"/>
        <v>0</v>
      </c>
      <c r="S208" s="506">
        <f t="shared" si="58"/>
        <v>0</v>
      </c>
      <c r="T208" s="506">
        <f t="shared" si="58"/>
        <v>0</v>
      </c>
      <c r="U208" s="506">
        <f t="shared" si="58"/>
        <v>0</v>
      </c>
      <c r="V208" s="507">
        <f t="shared" si="58"/>
        <v>0</v>
      </c>
      <c r="X208" s="1636">
        <f t="shared" si="58"/>
        <v>2069673958</v>
      </c>
      <c r="Z208" s="1636">
        <f t="shared" si="58"/>
        <v>-729780400</v>
      </c>
      <c r="AB208" s="1636">
        <v>2326604146</v>
      </c>
      <c r="AC208" s="1636">
        <v>2526353367</v>
      </c>
      <c r="AD208" s="1636">
        <v>2722503208</v>
      </c>
      <c r="AE208" s="1636">
        <v>2903335308</v>
      </c>
      <c r="AF208" s="1636">
        <v>3115757946</v>
      </c>
      <c r="AG208" s="1636">
        <v>2799454358</v>
      </c>
      <c r="AH208" s="1636">
        <v>2613170418</v>
      </c>
      <c r="AI208" s="1636">
        <v>2538232841</v>
      </c>
      <c r="AJ208" s="1636">
        <v>2380747407</v>
      </c>
      <c r="AK208" s="1636">
        <f t="shared" si="58"/>
        <v>2184416827</v>
      </c>
      <c r="AL208" s="1636">
        <v>2631820890</v>
      </c>
      <c r="AN208" s="498"/>
    </row>
    <row r="209" spans="1:40" s="772" customFormat="1" ht="18" customHeight="1">
      <c r="A209" s="498"/>
      <c r="B209" s="1364"/>
      <c r="C209" s="1364"/>
      <c r="D209" s="1598">
        <v>223110</v>
      </c>
      <c r="E209" s="1364" t="s">
        <v>1644</v>
      </c>
      <c r="F209" s="1366">
        <v>3504</v>
      </c>
      <c r="G209" s="1364" t="s">
        <v>182</v>
      </c>
      <c r="H209" s="498">
        <v>1333669787</v>
      </c>
      <c r="I209" s="498">
        <v>162736364</v>
      </c>
      <c r="J209" s="710">
        <v>0</v>
      </c>
      <c r="K209" s="710">
        <v>573267807</v>
      </c>
      <c r="L209" s="510">
        <f>SUM(H209:K209)</f>
        <v>2069673958</v>
      </c>
      <c r="M209" s="1659"/>
      <c r="N209" s="1673">
        <f>-SUMIF('1.0'!$D:$D,T_BS!D209,'1.0'!$V:$V)</f>
        <v>0</v>
      </c>
      <c r="O209" s="710">
        <f>-SUMIF('2.0'!$D:$D,T_BS!D209,'2.0'!$V:$V)</f>
        <v>0</v>
      </c>
      <c r="P209" s="509">
        <f>-ROUND(SUMIF('3.0'!$D:$D,T_BS!D209,'3.0'!$H:$H),0)</f>
        <v>0</v>
      </c>
      <c r="Q209" s="720">
        <f>-ROUND(SUMIF('4.0'!$D:$D,T_BS!D209,'4.0'!$V:$V),0)</f>
        <v>0</v>
      </c>
      <c r="R209" s="509">
        <f>-ROUND(SUMIF('5.0'!$D:$D,T_BS!D209,'5.0'!$V:$V),0)</f>
        <v>0</v>
      </c>
      <c r="S209" s="720">
        <f>-ROUND(SUMIF('6.0'!$D:$D,T_BS!D209,'6.0'!$V:$V),0)</f>
        <v>0</v>
      </c>
      <c r="T209" s="720">
        <f>ROUND(SUMIF('7.0'!$D:$D,T_BS!D209,'7.0'!$V:$V),0)</f>
        <v>0</v>
      </c>
      <c r="U209" s="720">
        <f>-ROUND(SUMIF('8.0'!$D:$D,T_BS!D209,'8.0'!$H:$H),0)</f>
        <v>0</v>
      </c>
      <c r="V209" s="510">
        <f t="shared" si="51"/>
        <v>0</v>
      </c>
      <c r="W209" s="1659"/>
      <c r="X209" s="1622">
        <f>V209+L209</f>
        <v>2069673958</v>
      </c>
      <c r="Y209" s="1659"/>
      <c r="Z209" s="1622">
        <f>X209-AG209</f>
        <v>-729780400</v>
      </c>
      <c r="AA209" s="1659"/>
      <c r="AB209" s="1622">
        <v>2326604146</v>
      </c>
      <c r="AC209" s="1622">
        <v>2526353367</v>
      </c>
      <c r="AD209" s="1622">
        <v>2722503208</v>
      </c>
      <c r="AE209" s="1622">
        <v>2903335308</v>
      </c>
      <c r="AF209" s="1622">
        <v>3115757946</v>
      </c>
      <c r="AG209" s="1622">
        <v>2799454358</v>
      </c>
      <c r="AH209" s="1622">
        <v>2613170418</v>
      </c>
      <c r="AI209" s="1622">
        <v>2538232841</v>
      </c>
      <c r="AJ209" s="1622">
        <v>2380747407</v>
      </c>
      <c r="AK209" s="1622">
        <v>2184416827</v>
      </c>
      <c r="AL209" s="1622">
        <v>2631820890</v>
      </c>
      <c r="AM209" s="770"/>
      <c r="AN209" s="498"/>
    </row>
    <row r="210" spans="1:40" ht="18" customHeight="1">
      <c r="A210" s="498"/>
      <c r="B210" s="1511"/>
      <c r="C210" s="1511"/>
      <c r="D210" s="1593"/>
      <c r="E210" s="1594"/>
      <c r="F210" s="1595"/>
      <c r="G210" s="1594" t="s">
        <v>218</v>
      </c>
      <c r="H210" s="520">
        <f>SUM(H211:H212)</f>
        <v>23519474</v>
      </c>
      <c r="I210" s="506">
        <f>SUM(I211:I212)</f>
        <v>0</v>
      </c>
      <c r="J210" s="506">
        <f>SUM(J211:J212)</f>
        <v>0</v>
      </c>
      <c r="K210" s="506">
        <f>SUM(K211:K212)</f>
        <v>56374</v>
      </c>
      <c r="L210" s="507">
        <f>SUM(L211:L212)</f>
        <v>23575848</v>
      </c>
      <c r="M210" s="1682"/>
      <c r="N210" s="1637">
        <f t="shared" ref="N210:AK210" si="59">SUM(N211:N212)</f>
        <v>0</v>
      </c>
      <c r="O210" s="506">
        <f t="shared" si="59"/>
        <v>0</v>
      </c>
      <c r="P210" s="506">
        <f t="shared" si="59"/>
        <v>0</v>
      </c>
      <c r="Q210" s="506">
        <f t="shared" si="59"/>
        <v>0</v>
      </c>
      <c r="R210" s="506">
        <f t="shared" si="59"/>
        <v>0</v>
      </c>
      <c r="S210" s="506">
        <f t="shared" si="59"/>
        <v>-5630944</v>
      </c>
      <c r="T210" s="506">
        <f t="shared" si="59"/>
        <v>0</v>
      </c>
      <c r="U210" s="506">
        <f t="shared" si="59"/>
        <v>0</v>
      </c>
      <c r="V210" s="507">
        <f t="shared" si="59"/>
        <v>-5630944</v>
      </c>
      <c r="W210" s="1682"/>
      <c r="X210" s="1636">
        <f t="shared" si="59"/>
        <v>17944904</v>
      </c>
      <c r="Y210" s="1682"/>
      <c r="Z210" s="1636">
        <f t="shared" ref="Z210" si="60">SUM(Z211:Z212)</f>
        <v>-3686880</v>
      </c>
      <c r="AA210" s="1682"/>
      <c r="AB210" s="1636">
        <v>23519474</v>
      </c>
      <c r="AC210" s="1636">
        <v>29086579</v>
      </c>
      <c r="AD210" s="1636">
        <v>94055973</v>
      </c>
      <c r="AE210" s="1636">
        <v>111479624</v>
      </c>
      <c r="AF210" s="1636">
        <v>207122964</v>
      </c>
      <c r="AG210" s="1636">
        <v>21631784</v>
      </c>
      <c r="AH210" s="1636">
        <v>273727836</v>
      </c>
      <c r="AI210" s="1636">
        <v>260328621</v>
      </c>
      <c r="AJ210" s="1636">
        <v>227965965</v>
      </c>
      <c r="AK210" s="1636">
        <f t="shared" si="59"/>
        <v>113592092</v>
      </c>
      <c r="AL210" s="1636">
        <v>3057354</v>
      </c>
      <c r="AM210" s="772"/>
      <c r="AN210" s="498"/>
    </row>
    <row r="211" spans="1:40" ht="18" customHeight="1">
      <c r="A211" s="498"/>
      <c r="D211" s="1639">
        <v>221001</v>
      </c>
      <c r="E211" s="1364" t="s">
        <v>1645</v>
      </c>
      <c r="F211" s="1366">
        <v>3201</v>
      </c>
      <c r="G211" s="1364" t="s">
        <v>218</v>
      </c>
      <c r="H211" s="498">
        <v>0</v>
      </c>
      <c r="I211" s="498">
        <v>0</v>
      </c>
      <c r="J211" s="710">
        <v>0</v>
      </c>
      <c r="K211" s="710">
        <v>56374</v>
      </c>
      <c r="L211" s="510">
        <f>SUM(H211:K211)</f>
        <v>56374</v>
      </c>
      <c r="N211" s="1673">
        <f>-SUMIF('1.0'!$D:$D,T_BS!D211,'1.0'!$V:$V)</f>
        <v>0</v>
      </c>
      <c r="O211" s="710">
        <f>-SUMIF('2.0'!$D:$D,T_BS!D211,'2.0'!$V:$V)</f>
        <v>0</v>
      </c>
      <c r="P211" s="509">
        <f>-ROUND(SUMIF('3.0'!$D:$D,T_BS!D211,'3.0'!$H:$H),0)</f>
        <v>0</v>
      </c>
      <c r="Q211" s="720">
        <f>-ROUND(SUMIF('4.0'!$D:$D,T_BS!D211,'4.0'!$V:$V),0)</f>
        <v>0</v>
      </c>
      <c r="R211" s="509">
        <f>-ROUND(SUMIF('5.0'!$D:$D,T_BS!D211,'5.0'!$V:$V),0)</f>
        <v>0</v>
      </c>
      <c r="S211" s="720">
        <f>-ROUND(SUMIF('6.0'!$D:$D,T_BS!D211,'6.0'!$V:$V),0)</f>
        <v>-56374</v>
      </c>
      <c r="T211" s="720">
        <f>ROUND(SUMIF('7.0'!$D:$D,T_BS!D211,'7.0'!$V:$V),0)</f>
        <v>0</v>
      </c>
      <c r="U211" s="720">
        <f>-ROUND(SUMIF('8.0'!$D:$D,T_BS!D211,'8.0'!$H:$H),0)</f>
        <v>0</v>
      </c>
      <c r="V211" s="510">
        <f t="shared" si="51"/>
        <v>-56374</v>
      </c>
      <c r="X211" s="1622">
        <f>V211+L211</f>
        <v>0</v>
      </c>
      <c r="Z211" s="1622">
        <f>X211-AG211</f>
        <v>12825262</v>
      </c>
      <c r="AB211" s="1622">
        <v>0</v>
      </c>
      <c r="AC211" s="1622">
        <v>0</v>
      </c>
      <c r="AD211" s="1622">
        <v>64969394</v>
      </c>
      <c r="AE211" s="1622">
        <v>82393045</v>
      </c>
      <c r="AF211" s="1622">
        <v>140105207</v>
      </c>
      <c r="AG211" s="1622">
        <v>-12825262</v>
      </c>
      <c r="AH211" s="1622">
        <v>199343747</v>
      </c>
      <c r="AI211" s="1622">
        <v>188370098</v>
      </c>
      <c r="AJ211" s="1622">
        <v>190670077</v>
      </c>
      <c r="AK211" s="1622">
        <v>94960892</v>
      </c>
      <c r="AL211" s="1622">
        <v>3057354</v>
      </c>
      <c r="AM211" s="1683"/>
      <c r="AN211" s="498"/>
    </row>
    <row r="212" spans="1:40" ht="18" customHeight="1">
      <c r="A212" s="498"/>
      <c r="D212" s="1639">
        <v>221002</v>
      </c>
      <c r="E212" s="1364" t="s">
        <v>1645</v>
      </c>
      <c r="F212" s="1366">
        <v>3201</v>
      </c>
      <c r="G212" s="1364" t="s">
        <v>2056</v>
      </c>
      <c r="H212" s="498">
        <v>23519474</v>
      </c>
      <c r="I212" s="498">
        <v>0</v>
      </c>
      <c r="J212" s="710">
        <v>0</v>
      </c>
      <c r="K212" s="710">
        <v>0</v>
      </c>
      <c r="L212" s="510">
        <f>SUM(H212:K212)</f>
        <v>23519474</v>
      </c>
      <c r="N212" s="1673">
        <f>-SUMIF('1.0'!$D:$D,T_BS!D212,'1.0'!$V:$V)</f>
        <v>0</v>
      </c>
      <c r="O212" s="710">
        <f>-SUMIF('2.0'!$D:$D,T_BS!D212,'2.0'!$V:$V)</f>
        <v>0</v>
      </c>
      <c r="P212" s="509">
        <f>-ROUND(SUMIF('3.0'!$D:$D,T_BS!D212,'3.0'!$H:$H),0)</f>
        <v>0</v>
      </c>
      <c r="Q212" s="720">
        <f>-ROUND(SUMIF('4.0'!$D:$D,T_BS!D212,'4.0'!$V:$V),0)</f>
        <v>0</v>
      </c>
      <c r="R212" s="509">
        <f>-ROUND(SUMIF('5.0'!$D:$D,T_BS!D212,'5.0'!$V:$V),0)</f>
        <v>0</v>
      </c>
      <c r="S212" s="720">
        <f>-ROUND(SUMIF('6.0'!$D:$D,T_BS!D212,'6.0'!$V:$V),0)</f>
        <v>-5574570</v>
      </c>
      <c r="T212" s="720">
        <f>ROUND(SUMIF('7.0'!$D:$D,T_BS!D212,'7.0'!$V:$V),0)</f>
        <v>0</v>
      </c>
      <c r="U212" s="720">
        <f>-ROUND(SUMIF('8.0'!$D:$D,T_BS!D212,'8.0'!$H:$H),0)</f>
        <v>0</v>
      </c>
      <c r="V212" s="510">
        <f>SUM(N212:U212)</f>
        <v>-5574570</v>
      </c>
      <c r="X212" s="1622">
        <f>V212+L212</f>
        <v>17944904</v>
      </c>
      <c r="Z212" s="1622">
        <f>X212-AG212</f>
        <v>-16512142</v>
      </c>
      <c r="AB212" s="1622">
        <v>23519474</v>
      </c>
      <c r="AC212" s="1622">
        <v>29086579</v>
      </c>
      <c r="AD212" s="1622">
        <v>29086579</v>
      </c>
      <c r="AE212" s="1622">
        <v>29086579</v>
      </c>
      <c r="AF212" s="1622">
        <v>67017757</v>
      </c>
      <c r="AG212" s="1622">
        <v>34457046</v>
      </c>
      <c r="AH212" s="1622">
        <v>74384089</v>
      </c>
      <c r="AI212" s="1622">
        <v>71958523</v>
      </c>
      <c r="AJ212" s="1622">
        <v>37295888</v>
      </c>
      <c r="AK212" s="1622">
        <v>18631200</v>
      </c>
      <c r="AL212" s="1622">
        <v>0</v>
      </c>
      <c r="AN212" s="498"/>
    </row>
    <row r="213" spans="1:40" ht="18" customHeight="1">
      <c r="A213" s="498"/>
      <c r="D213" s="1588"/>
      <c r="E213" s="1589"/>
      <c r="F213" s="1590"/>
      <c r="G213" s="1589" t="s">
        <v>183</v>
      </c>
      <c r="H213" s="1625">
        <f>SUM(H214,H217,H219)+H221+H223</f>
        <v>1933827892</v>
      </c>
      <c r="I213" s="503">
        <f>SUM(I214,I217,I219)+I221+I223</f>
        <v>0</v>
      </c>
      <c r="J213" s="503">
        <f>SUM(J214,J217,J219)+J221+J223</f>
        <v>0</v>
      </c>
      <c r="K213" s="503">
        <f>SUM(K214,K217,K219)+K221+K223</f>
        <v>111815685</v>
      </c>
      <c r="L213" s="504">
        <f>SUM(L214,L217,L219)+L221+L223</f>
        <v>2045643577</v>
      </c>
      <c r="N213" s="1629">
        <f>SUM(N214,N217,N219)+N221</f>
        <v>0</v>
      </c>
      <c r="O213" s="503">
        <f>SUM(O214,O217,O219)+O221</f>
        <v>0</v>
      </c>
      <c r="P213" s="503">
        <f>SUM(P214,P217,P219)+P221</f>
        <v>0</v>
      </c>
      <c r="Q213" s="503">
        <f>SUM(Q214,Q217,Q219)+Q221</f>
        <v>0</v>
      </c>
      <c r="R213" s="503">
        <f>SUM(R214,R217,R219)+R221+R223</f>
        <v>0</v>
      </c>
      <c r="S213" s="503">
        <f>SUM(S214,S217,S219)+S221+S223</f>
        <v>0</v>
      </c>
      <c r="T213" s="503">
        <f>SUM(T214,T217,T219)+T221+T223</f>
        <v>0</v>
      </c>
      <c r="U213" s="503">
        <f>SUM(U214,U217,U219)+U221+U223</f>
        <v>0</v>
      </c>
      <c r="V213" s="504">
        <f>SUM(V214,V217,V219)+V221+V223</f>
        <v>0</v>
      </c>
      <c r="X213" s="1628">
        <f>SUM(X214,X217,X219)+X221+X223</f>
        <v>2045643577</v>
      </c>
      <c r="Z213" s="1628">
        <f>SUM(Z214,Z217,Z219)+Z221+Z223</f>
        <v>-421033343</v>
      </c>
      <c r="AB213" s="1628">
        <v>2200572894</v>
      </c>
      <c r="AC213" s="1628">
        <v>2200863446</v>
      </c>
      <c r="AD213" s="1628">
        <v>2135477410</v>
      </c>
      <c r="AE213" s="1628">
        <v>1975880051</v>
      </c>
      <c r="AF213" s="1628">
        <v>2163366421</v>
      </c>
      <c r="AG213" s="1628">
        <v>2466676920</v>
      </c>
      <c r="AH213" s="1628">
        <v>3794476787</v>
      </c>
      <c r="AI213" s="1628">
        <v>3857537637</v>
      </c>
      <c r="AJ213" s="1628">
        <v>3556301985</v>
      </c>
      <c r="AK213" s="1628">
        <f>SUM(AK214,AK217,AK219)+AK221+AK223</f>
        <v>3958795250</v>
      </c>
      <c r="AL213" s="1628">
        <v>3879577855</v>
      </c>
      <c r="AN213" s="498"/>
    </row>
    <row r="214" spans="1:40" ht="18" customHeight="1">
      <c r="A214" s="498"/>
      <c r="D214" s="1593"/>
      <c r="E214" s="1594"/>
      <c r="F214" s="1595"/>
      <c r="G214" s="1594" t="s">
        <v>184</v>
      </c>
      <c r="H214" s="520">
        <f>SUM(H215:H216)</f>
        <v>676319342</v>
      </c>
      <c r="I214" s="506">
        <f>SUM(I215:I216)</f>
        <v>0</v>
      </c>
      <c r="J214" s="506">
        <f>SUM(J215:J216)</f>
        <v>0</v>
      </c>
      <c r="K214" s="506">
        <f>SUM(K215:K216)</f>
        <v>88934557</v>
      </c>
      <c r="L214" s="507">
        <f>SUM(L215:L216)</f>
        <v>765253899</v>
      </c>
      <c r="N214" s="1637">
        <f t="shared" ref="N214:S214" si="61">SUM(N215:N216)</f>
        <v>0</v>
      </c>
      <c r="O214" s="506">
        <f t="shared" si="61"/>
        <v>0</v>
      </c>
      <c r="P214" s="506">
        <f t="shared" si="61"/>
        <v>0</v>
      </c>
      <c r="Q214" s="506">
        <f t="shared" si="61"/>
        <v>0</v>
      </c>
      <c r="R214" s="506">
        <f t="shared" si="61"/>
        <v>0</v>
      </c>
      <c r="S214" s="506">
        <f t="shared" si="61"/>
        <v>0</v>
      </c>
      <c r="T214" s="506">
        <f>SUM(T215:T216)</f>
        <v>0</v>
      </c>
      <c r="U214" s="506">
        <f>SUM(U215:U216)</f>
        <v>0</v>
      </c>
      <c r="V214" s="507">
        <f>SUM(V215:V216)</f>
        <v>0</v>
      </c>
      <c r="X214" s="1636">
        <f>SUM(X215:X216)</f>
        <v>765253899</v>
      </c>
      <c r="Z214" s="1636">
        <f>SUM(Z215:Z216)</f>
        <v>336260673</v>
      </c>
      <c r="AB214" s="1636">
        <v>569767300</v>
      </c>
      <c r="AC214" s="1636">
        <v>507599669</v>
      </c>
      <c r="AD214" s="1636">
        <v>351979107</v>
      </c>
      <c r="AE214" s="1636">
        <v>136673804</v>
      </c>
      <c r="AF214" s="1636">
        <v>859499651</v>
      </c>
      <c r="AG214" s="1636">
        <v>428993226</v>
      </c>
      <c r="AH214" s="1636">
        <v>1837897422</v>
      </c>
      <c r="AI214" s="1636">
        <v>1691898770</v>
      </c>
      <c r="AJ214" s="1636">
        <v>1571865645</v>
      </c>
      <c r="AK214" s="1636">
        <f>SUM(AK215:AK216)</f>
        <v>1375546393</v>
      </c>
      <c r="AL214" s="1636">
        <v>822730454</v>
      </c>
      <c r="AN214" s="498"/>
    </row>
    <row r="215" spans="1:40" ht="18" customHeight="1">
      <c r="A215" s="498"/>
      <c r="D215" s="1598">
        <v>230700</v>
      </c>
      <c r="E215" s="1364" t="s">
        <v>184</v>
      </c>
      <c r="F215" s="1366">
        <v>4201</v>
      </c>
      <c r="G215" s="1364" t="s">
        <v>185</v>
      </c>
      <c r="H215" s="498">
        <v>7281990735</v>
      </c>
      <c r="I215" s="498">
        <v>0</v>
      </c>
      <c r="J215" s="710">
        <v>0</v>
      </c>
      <c r="K215" s="710">
        <v>88934557</v>
      </c>
      <c r="L215" s="510">
        <f>SUM(H215:K215)</f>
        <v>7370925292</v>
      </c>
      <c r="N215" s="1673">
        <f>-SUMIF('1.0'!$D:$D,T_BS!D215,'1.0'!$V:$V)</f>
        <v>0</v>
      </c>
      <c r="O215" s="710">
        <f>-SUMIF('2.0'!$D:$D,T_BS!D215,'2.0'!$V:$V)</f>
        <v>0</v>
      </c>
      <c r="P215" s="509">
        <f>-ROUND(SUMIF('3.0'!$D:$D,T_BS!D215,'3.0'!$H:$H),0)</f>
        <v>0</v>
      </c>
      <c r="Q215" s="720">
        <f>-ROUND(SUMIF('4.0'!$D:$D,T_BS!D215,'4.0'!$V:$V),0)</f>
        <v>0</v>
      </c>
      <c r="R215" s="509">
        <f>-ROUND(SUMIF('5.0'!$D:$D,T_BS!D215,'5.0'!$V:$V),0)</f>
        <v>0</v>
      </c>
      <c r="S215" s="720">
        <f>-ROUND(SUMIF('6.0'!$D:$D,T_BS!D215,'6.0'!$V:$V),0)</f>
        <v>0</v>
      </c>
      <c r="T215" s="720">
        <f>ROUND(SUMIF('7.0'!$D:$D,T_BS!D215,'7.0'!$V:$V),0)</f>
        <v>0</v>
      </c>
      <c r="U215" s="720">
        <f>-ROUND(SUMIF('8.0'!$D:$D,T_BS!D215,'8.0'!$H:$H),0)</f>
        <v>0</v>
      </c>
      <c r="V215" s="510">
        <f>SUM(N215:U215)</f>
        <v>0</v>
      </c>
      <c r="X215" s="1622">
        <f>V215+L215</f>
        <v>7370925292</v>
      </c>
      <c r="Z215" s="1622">
        <f>X215-AG215</f>
        <v>-473841058</v>
      </c>
      <c r="AB215" s="1622">
        <v>7278690408</v>
      </c>
      <c r="AC215" s="1622">
        <v>7269810001</v>
      </c>
      <c r="AD215" s="1622">
        <v>7141517740</v>
      </c>
      <c r="AE215" s="1622">
        <v>6975916721</v>
      </c>
      <c r="AF215" s="1622">
        <v>8109196179</v>
      </c>
      <c r="AG215" s="1622">
        <v>7844766350</v>
      </c>
      <c r="AH215" s="1622">
        <v>7233805418</v>
      </c>
      <c r="AI215" s="1622">
        <v>7171397658</v>
      </c>
      <c r="AJ215" s="1622">
        <v>7089626051</v>
      </c>
      <c r="AK215" s="1622">
        <v>7058584033</v>
      </c>
      <c r="AL215" s="1622">
        <v>6731667294</v>
      </c>
      <c r="AN215" s="498"/>
    </row>
    <row r="216" spans="1:40" ht="18" customHeight="1">
      <c r="A216" s="498"/>
      <c r="D216" s="1598">
        <v>122110</v>
      </c>
      <c r="E216" s="1364" t="s">
        <v>184</v>
      </c>
      <c r="F216" s="1366">
        <v>4202</v>
      </c>
      <c r="G216" s="1364" t="s">
        <v>186</v>
      </c>
      <c r="H216" s="498">
        <v>-6605671393</v>
      </c>
      <c r="I216" s="498">
        <v>0</v>
      </c>
      <c r="J216" s="710">
        <v>0</v>
      </c>
      <c r="K216" s="710">
        <v>0</v>
      </c>
      <c r="L216" s="510">
        <f>SUM(H216:K216)</f>
        <v>-6605671393</v>
      </c>
      <c r="N216" s="1673">
        <f>-SUMIF('1.0'!$D:$D,T_BS!D216,'1.0'!$V:$V)</f>
        <v>0</v>
      </c>
      <c r="O216" s="710">
        <f>-SUMIF('2.0'!$D:$D,T_BS!D216,'2.0'!$V:$V)</f>
        <v>0</v>
      </c>
      <c r="P216" s="509">
        <f>-ROUND(SUMIF('3.0'!$D:$D,T_BS!D216,'3.0'!$H:$H),0)</f>
        <v>0</v>
      </c>
      <c r="Q216" s="720">
        <f>-ROUND(SUMIF('4.0'!$D:$D,T_BS!D216,'4.0'!$V:$V),0)</f>
        <v>0</v>
      </c>
      <c r="R216" s="509">
        <f>-ROUND(SUMIF('5.0'!$D:$D,T_BS!D216,'5.0'!$V:$V),0)</f>
        <v>0</v>
      </c>
      <c r="S216" s="720">
        <f>-ROUND(SUMIF('6.0'!$D:$D,T_BS!D216,'6.0'!$V:$V),0)</f>
        <v>0</v>
      </c>
      <c r="T216" s="720">
        <f>ROUND(SUMIF('7.0'!$D:$D,T_BS!D216,'7.0'!$V:$V),0)</f>
        <v>0</v>
      </c>
      <c r="U216" s="720">
        <f>-ROUND(SUMIF('8.0'!$D:$D,T_BS!D216,'8.0'!$H:$H),0)</f>
        <v>0</v>
      </c>
      <c r="V216" s="510">
        <f>SUM(N216:U216)</f>
        <v>0</v>
      </c>
      <c r="X216" s="1622">
        <f>V216+L216</f>
        <v>-6605671393</v>
      </c>
      <c r="Z216" s="1622">
        <f>X216-AG216</f>
        <v>810101731</v>
      </c>
      <c r="AB216" s="1622">
        <v>-6708923108</v>
      </c>
      <c r="AC216" s="1622">
        <v>-6762210332</v>
      </c>
      <c r="AD216" s="1622">
        <v>-6789538633</v>
      </c>
      <c r="AE216" s="1622">
        <v>-6839242917</v>
      </c>
      <c r="AF216" s="1622">
        <v>-7249696528</v>
      </c>
      <c r="AG216" s="1622">
        <v>-7415773124</v>
      </c>
      <c r="AH216" s="1622">
        <v>-5395907996</v>
      </c>
      <c r="AI216" s="1622">
        <v>-5479498888</v>
      </c>
      <c r="AJ216" s="1622">
        <v>-5517760406</v>
      </c>
      <c r="AK216" s="1622">
        <v>-5683037640</v>
      </c>
      <c r="AL216" s="1622">
        <v>-5908936840</v>
      </c>
      <c r="AN216" s="498"/>
    </row>
    <row r="217" spans="1:40" ht="18" customHeight="1">
      <c r="A217" s="498"/>
      <c r="D217" s="1593"/>
      <c r="E217" s="1594"/>
      <c r="F217" s="1595"/>
      <c r="G217" s="1594" t="s">
        <v>187</v>
      </c>
      <c r="H217" s="520">
        <f>H218</f>
        <v>113209782</v>
      </c>
      <c r="I217" s="506">
        <f>I218</f>
        <v>0</v>
      </c>
      <c r="J217" s="506">
        <f>J218</f>
        <v>0</v>
      </c>
      <c r="K217" s="506">
        <f>K218</f>
        <v>0</v>
      </c>
      <c r="L217" s="507">
        <f>L218</f>
        <v>113209782</v>
      </c>
      <c r="N217" s="1637">
        <f t="shared" ref="N217:AK217" si="62">N218</f>
        <v>0</v>
      </c>
      <c r="O217" s="506">
        <f t="shared" si="62"/>
        <v>0</v>
      </c>
      <c r="P217" s="506">
        <f t="shared" si="62"/>
        <v>0</v>
      </c>
      <c r="Q217" s="506">
        <f t="shared" si="62"/>
        <v>0</v>
      </c>
      <c r="R217" s="506">
        <f t="shared" si="62"/>
        <v>0</v>
      </c>
      <c r="S217" s="506">
        <f t="shared" si="62"/>
        <v>0</v>
      </c>
      <c r="T217" s="506">
        <f t="shared" si="62"/>
        <v>0</v>
      </c>
      <c r="U217" s="506">
        <f t="shared" si="62"/>
        <v>0</v>
      </c>
      <c r="V217" s="507">
        <f t="shared" si="62"/>
        <v>0</v>
      </c>
      <c r="X217" s="1636">
        <f t="shared" si="62"/>
        <v>113209782</v>
      </c>
      <c r="Z217" s="1636">
        <f t="shared" si="62"/>
        <v>5171811</v>
      </c>
      <c r="AB217" s="1636">
        <v>113209782</v>
      </c>
      <c r="AC217" s="1636">
        <v>112284931</v>
      </c>
      <c r="AD217" s="1636">
        <v>112284931</v>
      </c>
      <c r="AE217" s="1636">
        <v>112284931</v>
      </c>
      <c r="AF217" s="1636">
        <v>110140729</v>
      </c>
      <c r="AG217" s="1636">
        <v>108037971</v>
      </c>
      <c r="AH217" s="1636">
        <v>125583740</v>
      </c>
      <c r="AI217" s="1636">
        <v>125583740</v>
      </c>
      <c r="AJ217" s="1636">
        <v>123309225</v>
      </c>
      <c r="AK217" s="1636">
        <f t="shared" si="62"/>
        <v>119609666</v>
      </c>
      <c r="AL217" s="1636">
        <v>118883200</v>
      </c>
      <c r="AN217" s="498"/>
    </row>
    <row r="218" spans="1:40" ht="18" customHeight="1">
      <c r="A218" s="498"/>
      <c r="D218" s="1598">
        <v>230900</v>
      </c>
      <c r="E218" s="1364" t="s">
        <v>1646</v>
      </c>
      <c r="F218" s="1366">
        <v>4402</v>
      </c>
      <c r="G218" s="1364" t="s">
        <v>188</v>
      </c>
      <c r="H218" s="498">
        <v>113209782</v>
      </c>
      <c r="I218" s="498">
        <v>0</v>
      </c>
      <c r="J218" s="710">
        <v>0</v>
      </c>
      <c r="K218" s="710">
        <v>0</v>
      </c>
      <c r="L218" s="510">
        <f>SUM(H218:K218)</f>
        <v>113209782</v>
      </c>
      <c r="N218" s="1673">
        <f>-SUMIF('1.0'!$D:$D,T_BS!D218,'1.0'!$V:$V)</f>
        <v>0</v>
      </c>
      <c r="O218" s="710">
        <f>-SUMIF('2.0'!$D:$D,T_BS!D218,'2.0'!$V:$V)</f>
        <v>0</v>
      </c>
      <c r="P218" s="509">
        <f>-ROUND(SUMIF('3.0'!$D:$D,T_BS!D218,'3.0'!$H:$H),0)</f>
        <v>0</v>
      </c>
      <c r="Q218" s="720">
        <f>-ROUND(SUMIF('4.0'!$D:$D,T_BS!D218,'4.0'!$V:$V),0)</f>
        <v>0</v>
      </c>
      <c r="R218" s="509">
        <f>-ROUND(SUMIF('5.0'!$D:$D,T_BS!D218,'5.0'!$V:$V),0)</f>
        <v>0</v>
      </c>
      <c r="S218" s="720">
        <f>-ROUND(SUMIF('6.0'!$D:$D,T_BS!D218,'6.0'!$V:$V),0)</f>
        <v>0</v>
      </c>
      <c r="T218" s="720">
        <f>ROUND(SUMIF('7.0'!$D:$D,T_BS!D218,'7.0'!$V:$V),0)</f>
        <v>0</v>
      </c>
      <c r="U218" s="720">
        <f>-ROUND(SUMIF('8.0'!$D:$D,T_BS!D218,'8.0'!$H:$H),0)</f>
        <v>0</v>
      </c>
      <c r="V218" s="510">
        <f>SUM(N218:U218)</f>
        <v>0</v>
      </c>
      <c r="X218" s="1622">
        <f>V218+L218</f>
        <v>113209782</v>
      </c>
      <c r="Z218" s="1622">
        <f>X218-AG218</f>
        <v>5171811</v>
      </c>
      <c r="AB218" s="1622">
        <v>113209782</v>
      </c>
      <c r="AC218" s="1622">
        <v>112284931</v>
      </c>
      <c r="AD218" s="1622">
        <v>112284931</v>
      </c>
      <c r="AE218" s="1622">
        <v>112284931</v>
      </c>
      <c r="AF218" s="1622">
        <v>110140729</v>
      </c>
      <c r="AG218" s="1622">
        <v>108037971</v>
      </c>
      <c r="AH218" s="1622">
        <v>125583740</v>
      </c>
      <c r="AI218" s="1622">
        <v>125583740</v>
      </c>
      <c r="AJ218" s="1622">
        <v>123309225</v>
      </c>
      <c r="AK218" s="1622">
        <v>119609666</v>
      </c>
      <c r="AL218" s="1622">
        <v>118883200</v>
      </c>
      <c r="AN218" s="498"/>
    </row>
    <row r="219" spans="1:40" ht="18" customHeight="1">
      <c r="A219" s="498"/>
      <c r="D219" s="1593"/>
      <c r="E219" s="1594"/>
      <c r="F219" s="1595"/>
      <c r="G219" s="1594" t="s">
        <v>189</v>
      </c>
      <c r="H219" s="520">
        <f>H220</f>
        <v>155204568</v>
      </c>
      <c r="I219" s="506">
        <f>I220</f>
        <v>0</v>
      </c>
      <c r="J219" s="506">
        <f>J220</f>
        <v>0</v>
      </c>
      <c r="K219" s="506">
        <f>K220</f>
        <v>22881128</v>
      </c>
      <c r="L219" s="507">
        <f>L220</f>
        <v>178085696</v>
      </c>
      <c r="N219" s="1637">
        <f t="shared" ref="N219:V219" si="63">N220</f>
        <v>0</v>
      </c>
      <c r="O219" s="506">
        <f t="shared" si="63"/>
        <v>0</v>
      </c>
      <c r="P219" s="506">
        <f t="shared" si="63"/>
        <v>0</v>
      </c>
      <c r="Q219" s="506">
        <f t="shared" si="63"/>
        <v>0</v>
      </c>
      <c r="R219" s="506">
        <f t="shared" si="63"/>
        <v>0</v>
      </c>
      <c r="S219" s="506">
        <f t="shared" si="63"/>
        <v>0</v>
      </c>
      <c r="T219" s="506">
        <f t="shared" si="63"/>
        <v>0</v>
      </c>
      <c r="U219" s="506">
        <f t="shared" si="63"/>
        <v>0</v>
      </c>
      <c r="V219" s="507">
        <f t="shared" si="63"/>
        <v>0</v>
      </c>
      <c r="X219" s="1636">
        <f>X220</f>
        <v>178085696</v>
      </c>
      <c r="Z219" s="1636">
        <f>Z220</f>
        <v>-1283797827</v>
      </c>
      <c r="AB219" s="1636">
        <v>523256612</v>
      </c>
      <c r="AC219" s="1636">
        <v>596639646</v>
      </c>
      <c r="AD219" s="1636">
        <v>686874172</v>
      </c>
      <c r="AE219" s="1636">
        <v>771627116</v>
      </c>
      <c r="AF219" s="1636">
        <v>711223841</v>
      </c>
      <c r="AG219" s="1636">
        <v>1461883523</v>
      </c>
      <c r="AH219" s="1636">
        <v>1534989425</v>
      </c>
      <c r="AI219" s="1636">
        <v>1787413927</v>
      </c>
      <c r="AJ219" s="1636">
        <v>1629801915</v>
      </c>
      <c r="AK219" s="1636">
        <f>AK220</f>
        <v>2249145991</v>
      </c>
      <c r="AL219" s="1636">
        <v>2715155001</v>
      </c>
      <c r="AN219" s="498"/>
    </row>
    <row r="220" spans="1:40" ht="18" customHeight="1">
      <c r="A220" s="498"/>
      <c r="D220" s="1598">
        <v>231600</v>
      </c>
      <c r="E220" s="1364" t="s">
        <v>1647</v>
      </c>
      <c r="F220" s="1366">
        <v>4601</v>
      </c>
      <c r="G220" s="1364" t="s">
        <v>189</v>
      </c>
      <c r="H220" s="498">
        <v>155204568</v>
      </c>
      <c r="I220" s="498">
        <v>0</v>
      </c>
      <c r="J220" s="710">
        <v>0</v>
      </c>
      <c r="K220" s="710">
        <v>22881128</v>
      </c>
      <c r="L220" s="510">
        <f>SUM(H220:K220)</f>
        <v>178085696</v>
      </c>
      <c r="N220" s="1673">
        <f>-SUMIF('1.0'!$D:$D,T_BS!D220,'1.0'!$V:$V)</f>
        <v>0</v>
      </c>
      <c r="O220" s="710">
        <f>-SUMIF('2.0'!$D:$D,T_BS!D220,'2.0'!$V:$V)</f>
        <v>0</v>
      </c>
      <c r="P220" s="509">
        <f>-ROUND(SUMIF('3.0'!$D:$D,T_BS!D220,'3.0'!$H:$H),0)</f>
        <v>0</v>
      </c>
      <c r="Q220" s="720">
        <f>-ROUND(SUMIF('4.0'!$D:$D,T_BS!D220,'4.0'!$V:$V),0)</f>
        <v>0</v>
      </c>
      <c r="R220" s="509">
        <f>-ROUND(SUMIF('5.0'!$D:$D,T_BS!D220,'5.0'!$V:$V),0)</f>
        <v>0</v>
      </c>
      <c r="S220" s="720">
        <f>-ROUND(SUMIF('6.0'!$D:$D,T_BS!D220,'6.0'!$V:$V),0)</f>
        <v>0</v>
      </c>
      <c r="T220" s="720">
        <f>ROUND(SUMIF('7.0'!$D:$D,T_BS!D220,'7.0'!$V:$V),0)</f>
        <v>0</v>
      </c>
      <c r="U220" s="720">
        <f>-ROUND(SUMIF('8.0'!$D:$D,T_BS!D220,'8.0'!$H:$H),0)</f>
        <v>0</v>
      </c>
      <c r="V220" s="510">
        <f>SUM(N220:U220)</f>
        <v>0</v>
      </c>
      <c r="X220" s="1622">
        <f>V220+L220</f>
        <v>178085696</v>
      </c>
      <c r="Z220" s="1622">
        <f>X220-AG220</f>
        <v>-1283797827</v>
      </c>
      <c r="AB220" s="1622">
        <v>523256612</v>
      </c>
      <c r="AC220" s="1622">
        <v>596639646</v>
      </c>
      <c r="AD220" s="1622">
        <v>686874172</v>
      </c>
      <c r="AE220" s="1622">
        <v>771627116</v>
      </c>
      <c r="AF220" s="1622">
        <v>711223841</v>
      </c>
      <c r="AG220" s="1622">
        <v>1461883523</v>
      </c>
      <c r="AH220" s="1622">
        <v>1534989425</v>
      </c>
      <c r="AI220" s="1622">
        <v>1787413927</v>
      </c>
      <c r="AJ220" s="1622">
        <v>1629801915</v>
      </c>
      <c r="AK220" s="1622">
        <v>2249145991</v>
      </c>
      <c r="AL220" s="1622">
        <v>2715155001</v>
      </c>
      <c r="AN220" s="498"/>
    </row>
    <row r="221" spans="1:40" ht="18" customHeight="1">
      <c r="A221" s="498"/>
      <c r="D221" s="1593"/>
      <c r="E221" s="1594"/>
      <c r="F221" s="1595"/>
      <c r="G221" s="1594" t="s">
        <v>484</v>
      </c>
      <c r="H221" s="520">
        <f>H222</f>
        <v>0</v>
      </c>
      <c r="I221" s="506">
        <f>I222</f>
        <v>0</v>
      </c>
      <c r="J221" s="506">
        <f>J222</f>
        <v>0</v>
      </c>
      <c r="K221" s="506">
        <f>K222</f>
        <v>0</v>
      </c>
      <c r="L221" s="507">
        <f>L222</f>
        <v>0</v>
      </c>
      <c r="N221" s="1637">
        <f t="shared" ref="N221:V221" si="64">N222</f>
        <v>0</v>
      </c>
      <c r="O221" s="506">
        <f t="shared" si="64"/>
        <v>0</v>
      </c>
      <c r="P221" s="506">
        <f t="shared" si="64"/>
        <v>0</v>
      </c>
      <c r="Q221" s="506">
        <f t="shared" si="64"/>
        <v>0</v>
      </c>
      <c r="R221" s="506">
        <f t="shared" si="64"/>
        <v>0</v>
      </c>
      <c r="S221" s="506">
        <f t="shared" si="64"/>
        <v>0</v>
      </c>
      <c r="T221" s="506">
        <f t="shared" si="64"/>
        <v>0</v>
      </c>
      <c r="U221" s="506">
        <f t="shared" si="64"/>
        <v>0</v>
      </c>
      <c r="V221" s="507">
        <f t="shared" si="64"/>
        <v>0</v>
      </c>
      <c r="X221" s="1636">
        <f>X222</f>
        <v>0</v>
      </c>
      <c r="Z221" s="1636">
        <f>Z222</f>
        <v>0</v>
      </c>
      <c r="AB221" s="1636">
        <v>0</v>
      </c>
      <c r="AC221" s="1636">
        <v>0</v>
      </c>
      <c r="AD221" s="1636">
        <v>0</v>
      </c>
      <c r="AE221" s="1636">
        <v>0</v>
      </c>
      <c r="AF221" s="1636">
        <v>0</v>
      </c>
      <c r="AG221" s="1636">
        <v>0</v>
      </c>
      <c r="AH221" s="1636">
        <v>0</v>
      </c>
      <c r="AI221" s="1636">
        <v>0</v>
      </c>
      <c r="AJ221" s="1636">
        <v>0</v>
      </c>
      <c r="AK221" s="1636">
        <f>AK222</f>
        <v>0</v>
      </c>
      <c r="AL221" s="1636">
        <v>0</v>
      </c>
      <c r="AN221" s="498"/>
    </row>
    <row r="222" spans="1:40" ht="18" customHeight="1">
      <c r="A222" s="498"/>
      <c r="D222" s="1639" t="s">
        <v>1346</v>
      </c>
      <c r="E222" s="1364" t="s">
        <v>1648</v>
      </c>
      <c r="F222" s="1366">
        <v>4301</v>
      </c>
      <c r="G222" s="1364" t="s">
        <v>484</v>
      </c>
      <c r="H222" s="498">
        <v>0</v>
      </c>
      <c r="I222" s="498">
        <v>0</v>
      </c>
      <c r="J222" s="710">
        <v>0</v>
      </c>
      <c r="K222" s="710">
        <v>0</v>
      </c>
      <c r="L222" s="510">
        <f>SUM(H222:K222)</f>
        <v>0</v>
      </c>
      <c r="N222" s="1673">
        <f>-SUMIF('1.0'!$D:$D,T_BS!D222,'1.0'!$V:$V)</f>
        <v>0</v>
      </c>
      <c r="O222" s="710">
        <f>-SUMIF('2.0'!$D:$D,T_BS!D222,'2.0'!$V:$V)</f>
        <v>0</v>
      </c>
      <c r="P222" s="509">
        <f>-ROUND(SUMIF('3.0'!$D:$D,T_BS!D222,'3.0'!$H:$H),0)</f>
        <v>0</v>
      </c>
      <c r="Q222" s="720">
        <f>-ROUND(SUMIF('4.0'!$D:$D,T_BS!D222,'4.0'!$V:$V),0)</f>
        <v>0</v>
      </c>
      <c r="R222" s="509">
        <f>-ROUND(SUMIF('5.0'!$D:$D,T_BS!D222,'5.0'!$V:$V),0)</f>
        <v>0</v>
      </c>
      <c r="S222" s="720">
        <f>-ROUND(SUMIF('6.0'!$D:$D,T_BS!D222,'6.0'!$V:$V),0)</f>
        <v>0</v>
      </c>
      <c r="T222" s="720">
        <f>ROUND(SUMIF('7.0'!$D:$D,T_BS!D222,'7.0'!$V:$V),0)</f>
        <v>0</v>
      </c>
      <c r="U222" s="720">
        <f>-ROUND(SUMIF('8.0'!$D:$D,T_BS!D222,'8.0'!$H:$H),0)</f>
        <v>0</v>
      </c>
      <c r="V222" s="510">
        <f>SUM(N222:U222)</f>
        <v>0</v>
      </c>
      <c r="X222" s="1622">
        <f>V222+L222</f>
        <v>0</v>
      </c>
      <c r="Z222" s="1622">
        <f>X222-AG222</f>
        <v>0</v>
      </c>
      <c r="AB222" s="1622">
        <v>0</v>
      </c>
      <c r="AC222" s="1622">
        <v>0</v>
      </c>
      <c r="AD222" s="1622">
        <v>0</v>
      </c>
      <c r="AE222" s="1622">
        <v>0</v>
      </c>
      <c r="AF222" s="1622">
        <v>0</v>
      </c>
      <c r="AG222" s="1622">
        <v>0</v>
      </c>
      <c r="AH222" s="1622">
        <v>0</v>
      </c>
      <c r="AI222" s="1622">
        <v>0</v>
      </c>
      <c r="AJ222" s="1622">
        <v>0</v>
      </c>
      <c r="AK222" s="1622">
        <v>0</v>
      </c>
      <c r="AL222" s="1622">
        <v>0</v>
      </c>
      <c r="AN222" s="498"/>
    </row>
    <row r="223" spans="1:40" ht="18" customHeight="1">
      <c r="A223" s="498"/>
      <c r="D223" s="1593"/>
      <c r="E223" s="1594"/>
      <c r="F223" s="1595"/>
      <c r="G223" s="1594" t="s">
        <v>1537</v>
      </c>
      <c r="H223" s="520">
        <f>SUM(H224:H227)</f>
        <v>989094200</v>
      </c>
      <c r="I223" s="506">
        <f>SUM(I224:I227)</f>
        <v>0</v>
      </c>
      <c r="J223" s="506">
        <f>SUM(J224:J227)</f>
        <v>0</v>
      </c>
      <c r="K223" s="506">
        <f>SUM(K224:K227)</f>
        <v>0</v>
      </c>
      <c r="L223" s="507">
        <f>SUM(L224:L227)</f>
        <v>989094200</v>
      </c>
      <c r="N223" s="1637">
        <f t="shared" ref="N223:U223" si="65">SUM(N224:N227)</f>
        <v>0</v>
      </c>
      <c r="O223" s="506">
        <f t="shared" si="65"/>
        <v>0</v>
      </c>
      <c r="P223" s="506">
        <f t="shared" si="65"/>
        <v>0</v>
      </c>
      <c r="Q223" s="506">
        <f t="shared" si="65"/>
        <v>0</v>
      </c>
      <c r="R223" s="506">
        <f t="shared" si="65"/>
        <v>0</v>
      </c>
      <c r="S223" s="506">
        <f t="shared" si="65"/>
        <v>0</v>
      </c>
      <c r="T223" s="506">
        <f t="shared" si="65"/>
        <v>0</v>
      </c>
      <c r="U223" s="506">
        <f t="shared" si="65"/>
        <v>0</v>
      </c>
      <c r="V223" s="507">
        <f>SUM(V224:V227)</f>
        <v>0</v>
      </c>
      <c r="X223" s="1636">
        <f>SUM(X224:X227)</f>
        <v>989094200</v>
      </c>
      <c r="Z223" s="1636">
        <f>SUM(Z224:Z227)</f>
        <v>521332000</v>
      </c>
      <c r="AB223" s="1636">
        <v>994339200</v>
      </c>
      <c r="AC223" s="1636">
        <v>984339200</v>
      </c>
      <c r="AD223" s="1636">
        <v>984339200</v>
      </c>
      <c r="AE223" s="1636">
        <v>955294200</v>
      </c>
      <c r="AF223" s="1636">
        <v>482502200</v>
      </c>
      <c r="AG223" s="1636">
        <v>467762200</v>
      </c>
      <c r="AH223" s="1636">
        <v>296006200</v>
      </c>
      <c r="AI223" s="1636">
        <v>252641200</v>
      </c>
      <c r="AJ223" s="1636">
        <v>231325200</v>
      </c>
      <c r="AK223" s="1636">
        <f>SUM(AK224:AK226)</f>
        <v>214493200</v>
      </c>
      <c r="AL223" s="1636">
        <v>222809200</v>
      </c>
      <c r="AN223" s="498"/>
    </row>
    <row r="224" spans="1:40" ht="18" customHeight="1">
      <c r="A224" s="498"/>
      <c r="B224" s="1367"/>
      <c r="D224" s="1639" t="s">
        <v>1540</v>
      </c>
      <c r="E224" s="1364" t="s">
        <v>2808</v>
      </c>
      <c r="F224" s="1640">
        <v>4103</v>
      </c>
      <c r="G224" s="1364" t="s">
        <v>1538</v>
      </c>
      <c r="H224" s="498">
        <v>0</v>
      </c>
      <c r="I224" s="498">
        <v>0</v>
      </c>
      <c r="J224" s="710">
        <v>0</v>
      </c>
      <c r="K224" s="710">
        <v>0</v>
      </c>
      <c r="L224" s="510">
        <f>SUM(H224:K224)</f>
        <v>0</v>
      </c>
      <c r="N224" s="1673">
        <f>-SUMIF('1.0'!$D:$D,T_BS!D224,'1.0'!$V:$V)</f>
        <v>0</v>
      </c>
      <c r="O224" s="710">
        <f>-SUMIF('2.0'!$D:$D,T_BS!D224,'2.0'!$V:$V)</f>
        <v>0</v>
      </c>
      <c r="P224" s="509">
        <f>-ROUND(SUMIF('3.0'!$D:$D,T_BS!D224,'3.0'!$H:$H),0)</f>
        <v>0</v>
      </c>
      <c r="Q224" s="720">
        <f>-ROUND(SUMIF('4.0'!$D:$D,T_BS!D224,'4.0'!$V:$V),0)</f>
        <v>0</v>
      </c>
      <c r="R224" s="509">
        <f>-ROUND(SUMIF('5.0'!$D:$D,T_BS!D224,'5.0'!$V:$V),0)</f>
        <v>0</v>
      </c>
      <c r="S224" s="720">
        <f>-ROUND(SUMIF('6.0'!$D:$D,T_BS!D224,'6.0'!$V:$V),0)</f>
        <v>0</v>
      </c>
      <c r="T224" s="720">
        <f>ROUND(SUMIF('7.0'!$D:$D,T_BS!D224,'7.0'!$V:$V),0)</f>
        <v>0</v>
      </c>
      <c r="U224" s="720">
        <f>-ROUND(SUMIF('8.0'!$D:$D,T_BS!D224,'8.0'!$H:$H),0)</f>
        <v>0</v>
      </c>
      <c r="V224" s="510">
        <f>SUM(N224:U224)</f>
        <v>0</v>
      </c>
      <c r="X224" s="1622">
        <f>V224+L224</f>
        <v>0</v>
      </c>
      <c r="Z224" s="1622">
        <f>X224-AG224</f>
        <v>0</v>
      </c>
      <c r="AB224" s="1622">
        <v>0</v>
      </c>
      <c r="AC224" s="1622">
        <v>0</v>
      </c>
      <c r="AD224" s="1622">
        <v>0</v>
      </c>
      <c r="AE224" s="1622">
        <v>0</v>
      </c>
      <c r="AF224" s="1622">
        <v>0</v>
      </c>
      <c r="AG224" s="1622">
        <v>0</v>
      </c>
      <c r="AH224" s="1622">
        <v>0</v>
      </c>
      <c r="AI224" s="1622">
        <v>0</v>
      </c>
      <c r="AJ224" s="1622">
        <v>0</v>
      </c>
      <c r="AK224" s="1622">
        <v>0</v>
      </c>
      <c r="AL224" s="1622">
        <v>0</v>
      </c>
      <c r="AN224" s="498"/>
    </row>
    <row r="225" spans="1:40" ht="18" customHeight="1">
      <c r="A225" s="498"/>
      <c r="B225" s="1367"/>
      <c r="D225" s="1650">
        <v>231200</v>
      </c>
      <c r="E225" s="1552" t="s">
        <v>2807</v>
      </c>
      <c r="F225" s="1651">
        <v>4104</v>
      </c>
      <c r="G225" s="1552" t="s">
        <v>1695</v>
      </c>
      <c r="H225" s="498">
        <v>0</v>
      </c>
      <c r="I225" s="498">
        <v>0</v>
      </c>
      <c r="J225" s="710">
        <v>0</v>
      </c>
      <c r="K225" s="710">
        <v>0</v>
      </c>
      <c r="L225" s="510">
        <f>SUM(H225:K225)</f>
        <v>0</v>
      </c>
      <c r="N225" s="1673">
        <f>-SUMIF('1.0'!$D:$D,T_BS!D225,'1.0'!$V:$V)</f>
        <v>0</v>
      </c>
      <c r="O225" s="710">
        <f>-SUMIF('2.0'!$D:$D,T_BS!D225,'2.0'!$V:$V)</f>
        <v>0</v>
      </c>
      <c r="P225" s="509">
        <f>-ROUND(SUMIF('3.0'!$D:$D,T_BS!D225,'3.0'!$H:$H),0)</f>
        <v>0</v>
      </c>
      <c r="Q225" s="720">
        <f>-ROUND(SUMIF('4.0'!$D:$D,T_BS!D225,'4.0'!$V:$V),0)</f>
        <v>0</v>
      </c>
      <c r="R225" s="509">
        <f>-ROUND(SUMIF('5.0'!$D:$D,T_BS!D225,'5.0'!$V:$V),0)</f>
        <v>0</v>
      </c>
      <c r="S225" s="720">
        <f>-ROUND(SUMIF('6.0'!$D:$D,T_BS!D225,'6.0'!$V:$V),0)</f>
        <v>0</v>
      </c>
      <c r="T225" s="720">
        <f>ROUND(SUMIF('7.0'!$D:$D,T_BS!D225,'7.0'!$V:$V),0)</f>
        <v>0</v>
      </c>
      <c r="U225" s="720">
        <f>-ROUND(SUMIF('8.0'!$D:$D,T_BS!D225,'8.0'!$H:$H),0)</f>
        <v>0</v>
      </c>
      <c r="V225" s="510">
        <f>SUM(N225:U225)</f>
        <v>0</v>
      </c>
      <c r="X225" s="1622">
        <f>V225+L225</f>
        <v>0</v>
      </c>
      <c r="Z225" s="1622">
        <f>X225-AG225</f>
        <v>0</v>
      </c>
      <c r="AB225" s="1622">
        <v>0</v>
      </c>
      <c r="AC225" s="1622">
        <v>0</v>
      </c>
      <c r="AD225" s="1622">
        <v>0</v>
      </c>
      <c r="AE225" s="1622">
        <v>0</v>
      </c>
      <c r="AF225" s="1622">
        <v>0</v>
      </c>
      <c r="AG225" s="1622">
        <v>0</v>
      </c>
      <c r="AH225" s="1622">
        <v>0</v>
      </c>
      <c r="AI225" s="1622">
        <v>252641200</v>
      </c>
      <c r="AJ225" s="1622">
        <v>231325200</v>
      </c>
      <c r="AK225" s="1622">
        <v>214493200</v>
      </c>
      <c r="AL225" s="1622">
        <v>222809200</v>
      </c>
      <c r="AN225" s="498"/>
    </row>
    <row r="226" spans="1:40" ht="18" customHeight="1">
      <c r="A226" s="498"/>
      <c r="B226" s="1367"/>
      <c r="D226" s="1639" t="s">
        <v>1541</v>
      </c>
      <c r="E226" s="1364" t="s">
        <v>2807</v>
      </c>
      <c r="F226" s="1640">
        <v>4103</v>
      </c>
      <c r="G226" s="1364" t="s">
        <v>1539</v>
      </c>
      <c r="H226" s="498">
        <v>0</v>
      </c>
      <c r="I226" s="498">
        <v>0</v>
      </c>
      <c r="J226" s="710">
        <v>0</v>
      </c>
      <c r="K226" s="710">
        <v>0</v>
      </c>
      <c r="L226" s="510">
        <f>SUM(H226:K226)</f>
        <v>0</v>
      </c>
      <c r="N226" s="1673">
        <f>-SUMIF('1.0'!$D:$D,T_BS!D226,'1.0'!$V:$V)</f>
        <v>0</v>
      </c>
      <c r="O226" s="710">
        <f>-SUMIF('2.0'!$D:$D,T_BS!D226,'2.0'!$V:$V)</f>
        <v>0</v>
      </c>
      <c r="P226" s="509">
        <f>-ROUND(SUMIF('3.0'!$D:$D,T_BS!D226,'3.0'!$H:$H),0)</f>
        <v>0</v>
      </c>
      <c r="Q226" s="720">
        <f>-ROUND(SUMIF('4.0'!$D:$D,T_BS!D226,'4.0'!$V:$V),0)</f>
        <v>0</v>
      </c>
      <c r="R226" s="509">
        <f>-ROUND(SUMIF('5.0'!$D:$D,T_BS!D226,'5.0'!$V:$V),0)</f>
        <v>0</v>
      </c>
      <c r="S226" s="720">
        <f>-ROUND(SUMIF('6.0'!$D:$D,T_BS!D226,'6.0'!$V:$V),0)</f>
        <v>0</v>
      </c>
      <c r="T226" s="720">
        <f>ROUND(SUMIF('7.0'!$D:$D,T_BS!D226,'7.0'!$V:$V),0)</f>
        <v>0</v>
      </c>
      <c r="U226" s="720">
        <f>-ROUND(SUMIF('8.0'!$D:$D,T_BS!D226,'8.0'!$H:$H),0)</f>
        <v>0</v>
      </c>
      <c r="V226" s="510">
        <f>SUM(N226:U226)</f>
        <v>0</v>
      </c>
      <c r="X226" s="1622">
        <f>V226+L226</f>
        <v>0</v>
      </c>
      <c r="Z226" s="1622">
        <f>X226-AG226</f>
        <v>0</v>
      </c>
      <c r="AB226" s="1622">
        <v>0</v>
      </c>
      <c r="AC226" s="1622">
        <v>0</v>
      </c>
      <c r="AD226" s="1622">
        <v>0</v>
      </c>
      <c r="AE226" s="1622">
        <v>0</v>
      </c>
      <c r="AF226" s="1622">
        <v>0</v>
      </c>
      <c r="AG226" s="1622">
        <v>0</v>
      </c>
      <c r="AH226" s="1622">
        <v>0</v>
      </c>
      <c r="AI226" s="1622">
        <v>0</v>
      </c>
      <c r="AJ226" s="1622">
        <v>0</v>
      </c>
      <c r="AK226" s="1622">
        <v>0</v>
      </c>
      <c r="AL226" s="1622">
        <v>0</v>
      </c>
      <c r="AN226" s="498"/>
    </row>
    <row r="227" spans="1:40" s="1659" customFormat="1" ht="18" customHeight="1">
      <c r="A227" s="575"/>
      <c r="B227" s="1644"/>
      <c r="C227" s="1089"/>
      <c r="D227" s="1681">
        <v>231300</v>
      </c>
      <c r="E227" s="1089" t="s">
        <v>2807</v>
      </c>
      <c r="F227" s="1680">
        <v>4438</v>
      </c>
      <c r="G227" s="1089" t="s">
        <v>2321</v>
      </c>
      <c r="H227" s="498">
        <v>989094200</v>
      </c>
      <c r="I227" s="498">
        <v>0</v>
      </c>
      <c r="J227" s="710">
        <v>0</v>
      </c>
      <c r="K227" s="710">
        <v>0</v>
      </c>
      <c r="L227" s="1646">
        <f>SUM(H227:K227)</f>
        <v>989094200</v>
      </c>
      <c r="N227" s="1642">
        <f>-SUMIF('1.0'!$D:$D,T_BS!D227,'1.0'!$V:$V)</f>
        <v>0</v>
      </c>
      <c r="O227" s="925">
        <f>-SUMIF('2.0'!$D:$D,T_BS!D227,'2.0'!$V:$V)</f>
        <v>0</v>
      </c>
      <c r="P227" s="925">
        <f>-ROUND(SUMIF('3.0'!$D:$D,T_BS!D227,'3.0'!$H:$H),0)</f>
        <v>0</v>
      </c>
      <c r="Q227" s="1119">
        <f>-ROUND(SUMIF('4.0'!$D:$D,T_BS!D227,'4.0'!$V:$V),0)</f>
        <v>0</v>
      </c>
      <c r="R227" s="925">
        <f>-ROUND(SUMIF('5.0'!$D:$D,T_BS!D227,'5.0'!$V:$V),0)</f>
        <v>0</v>
      </c>
      <c r="S227" s="1119">
        <f>-ROUND(SUMIF('6.0'!$D:$D,T_BS!D227,'6.0'!$V:$V),0)</f>
        <v>0</v>
      </c>
      <c r="T227" s="720">
        <f>ROUND(SUMIF('7.0'!$D:$D,T_BS!D227,'7.0'!$V:$V),0)</f>
        <v>0</v>
      </c>
      <c r="U227" s="1119">
        <f>-ROUND(SUMIF('8.0'!$D:$D,T_BS!D227,'8.0'!$H:$H),0)</f>
        <v>0</v>
      </c>
      <c r="V227" s="1646">
        <f>SUM(N227:U227)</f>
        <v>0</v>
      </c>
      <c r="X227" s="1647">
        <f>V227+L227</f>
        <v>989094200</v>
      </c>
      <c r="Z227" s="1622">
        <f>X227-AG227</f>
        <v>521332000</v>
      </c>
      <c r="AB227" s="1647">
        <v>994339200</v>
      </c>
      <c r="AC227" s="1647">
        <v>984339200</v>
      </c>
      <c r="AD227" s="1647">
        <v>984339200</v>
      </c>
      <c r="AE227" s="1647">
        <v>955294200</v>
      </c>
      <c r="AF227" s="1647">
        <v>482502200</v>
      </c>
      <c r="AG227" s="1647">
        <v>467762200</v>
      </c>
      <c r="AH227" s="1647">
        <v>296006200</v>
      </c>
      <c r="AI227" s="1647">
        <v>0</v>
      </c>
      <c r="AJ227" s="1647">
        <v>0</v>
      </c>
      <c r="AK227" s="1647">
        <v>0</v>
      </c>
      <c r="AL227" s="1647">
        <v>0</v>
      </c>
      <c r="AN227" s="498"/>
    </row>
    <row r="228" spans="1:40" ht="18" customHeight="1">
      <c r="A228" s="498"/>
      <c r="D228" s="1583"/>
      <c r="E228" s="1584"/>
      <c r="F228" s="1585"/>
      <c r="G228" s="1584" t="s">
        <v>14</v>
      </c>
      <c r="H228" s="1670">
        <f>SUM(H229,H250)</f>
        <v>127569385233</v>
      </c>
      <c r="I228" s="500">
        <f>SUM(I229,I250)</f>
        <v>984114994</v>
      </c>
      <c r="J228" s="500">
        <f>SUM(J229,J250)</f>
        <v>-440243972</v>
      </c>
      <c r="K228" s="500">
        <f>SUM(K229,K250)</f>
        <v>3776655186</v>
      </c>
      <c r="L228" s="501">
        <f>SUM(L229,L250)</f>
        <v>131889911441</v>
      </c>
      <c r="N228" s="1671">
        <f t="shared" ref="N228:S228" si="66">SUM(N229,N250)</f>
        <v>19842800</v>
      </c>
      <c r="O228" s="500">
        <f t="shared" si="66"/>
        <v>0</v>
      </c>
      <c r="P228" s="500">
        <f t="shared" si="66"/>
        <v>-283349074</v>
      </c>
      <c r="Q228" s="500">
        <f t="shared" si="66"/>
        <v>-60384975</v>
      </c>
      <c r="R228" s="500">
        <f t="shared" si="66"/>
        <v>1822249587</v>
      </c>
      <c r="S228" s="500">
        <f t="shared" si="66"/>
        <v>-20000000</v>
      </c>
      <c r="T228" s="500">
        <f>SUM(T229,T250)</f>
        <v>678306860</v>
      </c>
      <c r="U228" s="500">
        <f>SUM(U229,U250)</f>
        <v>-7964419878</v>
      </c>
      <c r="V228" s="501">
        <f>SUM(V229,V250)</f>
        <v>-5807754680</v>
      </c>
      <c r="X228" s="1672">
        <f>SUM(X229,X250)</f>
        <v>126082156761</v>
      </c>
      <c r="Z228" s="1672">
        <f>SUM(Z229,Z250)</f>
        <v>46442942284</v>
      </c>
      <c r="AB228" s="1672">
        <v>126285242180</v>
      </c>
      <c r="AC228" s="1672">
        <v>117113674853</v>
      </c>
      <c r="AD228" s="1672">
        <v>117105471521</v>
      </c>
      <c r="AE228" s="1672">
        <v>116259659086</v>
      </c>
      <c r="AF228" s="1672">
        <v>91716882595</v>
      </c>
      <c r="AG228" s="1672">
        <v>79639214477</v>
      </c>
      <c r="AH228" s="1672">
        <v>95867330326</v>
      </c>
      <c r="AI228" s="1672">
        <v>95168013581</v>
      </c>
      <c r="AJ228" s="1672">
        <v>81128321240</v>
      </c>
      <c r="AK228" s="1672">
        <f>SUM(AK229,AK250)</f>
        <v>97962288029</v>
      </c>
      <c r="AL228" s="1672">
        <v>95801398968</v>
      </c>
      <c r="AN228" s="498"/>
    </row>
    <row r="229" spans="1:40" ht="18" customHeight="1">
      <c r="A229" s="498"/>
      <c r="D229" s="1588"/>
      <c r="E229" s="1589"/>
      <c r="F229" s="1590"/>
      <c r="G229" s="1589" t="s">
        <v>11</v>
      </c>
      <c r="H229" s="1625">
        <f>SUM(H230,H232,H236,H246)</f>
        <v>127569385233</v>
      </c>
      <c r="I229" s="503">
        <f>SUM(I230,I232,I236,I246)</f>
        <v>984114994</v>
      </c>
      <c r="J229" s="503">
        <f>SUM(J230,J232,J236,J246)</f>
        <v>-440243972</v>
      </c>
      <c r="K229" s="503">
        <f>SUM(K230,K232,K236,K246)</f>
        <v>3776655186</v>
      </c>
      <c r="L229" s="504">
        <f>SUM(L230,L232,L236,L246)</f>
        <v>131889911441</v>
      </c>
      <c r="N229" s="1629">
        <f t="shared" ref="N229:S229" si="67">SUM(N230,N232,N236,N246)</f>
        <v>19842800</v>
      </c>
      <c r="O229" s="503">
        <f t="shared" si="67"/>
        <v>0</v>
      </c>
      <c r="P229" s="503">
        <f t="shared" si="67"/>
        <v>-283349074</v>
      </c>
      <c r="Q229" s="503">
        <f t="shared" si="67"/>
        <v>-60384975</v>
      </c>
      <c r="R229" s="503">
        <f t="shared" si="67"/>
        <v>1822249587</v>
      </c>
      <c r="S229" s="503">
        <f t="shared" si="67"/>
        <v>-20000000</v>
      </c>
      <c r="T229" s="503">
        <f>SUM(T230,T232,T236,T246)</f>
        <v>678306860</v>
      </c>
      <c r="U229" s="503">
        <f>SUM(U230,U232,U236,U246)</f>
        <v>-7964419878</v>
      </c>
      <c r="V229" s="504">
        <f>SUM(V230,V232,V236,V246)</f>
        <v>-5807754680</v>
      </c>
      <c r="X229" s="1628">
        <f>SUM(X230,X232,X236,X246)</f>
        <v>126082156761</v>
      </c>
      <c r="Z229" s="1628">
        <f>SUM(Z230,Z232,Z236,Z246)</f>
        <v>46442942284</v>
      </c>
      <c r="AB229" s="1628">
        <v>126285242180</v>
      </c>
      <c r="AC229" s="1628">
        <v>117113674853</v>
      </c>
      <c r="AD229" s="1628">
        <v>117105471521</v>
      </c>
      <c r="AE229" s="1628">
        <v>116259659086</v>
      </c>
      <c r="AF229" s="1628">
        <v>91716882595</v>
      </c>
      <c r="AG229" s="1628">
        <v>79639214477</v>
      </c>
      <c r="AH229" s="1628">
        <v>95867330326</v>
      </c>
      <c r="AI229" s="1628">
        <v>95168013581</v>
      </c>
      <c r="AJ229" s="1628">
        <v>81128321240</v>
      </c>
      <c r="AK229" s="1628">
        <f>SUM(AK230,AK232,AK236,AK246)</f>
        <v>97962288029</v>
      </c>
      <c r="AL229" s="1628">
        <v>95801398968</v>
      </c>
      <c r="AN229" s="498"/>
    </row>
    <row r="230" spans="1:40" ht="18" customHeight="1">
      <c r="A230" s="498"/>
      <c r="D230" s="1593"/>
      <c r="E230" s="1594"/>
      <c r="F230" s="1595"/>
      <c r="G230" s="1594" t="s">
        <v>10</v>
      </c>
      <c r="H230" s="520">
        <f>H231</f>
        <v>28429923500</v>
      </c>
      <c r="I230" s="506">
        <f>I231</f>
        <v>11666500</v>
      </c>
      <c r="J230" s="506">
        <f>J231</f>
        <v>37013277500</v>
      </c>
      <c r="K230" s="506">
        <f>K231</f>
        <v>511470000</v>
      </c>
      <c r="L230" s="507">
        <f>L231</f>
        <v>65966337500</v>
      </c>
      <c r="N230" s="1637">
        <f t="shared" ref="N230:AK230" si="68">N231</f>
        <v>0</v>
      </c>
      <c r="O230" s="506">
        <f t="shared" si="68"/>
        <v>0</v>
      </c>
      <c r="P230" s="506">
        <f t="shared" si="68"/>
        <v>0</v>
      </c>
      <c r="Q230" s="506">
        <f t="shared" si="68"/>
        <v>0</v>
      </c>
      <c r="R230" s="506">
        <f t="shared" si="68"/>
        <v>0</v>
      </c>
      <c r="S230" s="506">
        <f t="shared" si="68"/>
        <v>0</v>
      </c>
      <c r="T230" s="506">
        <f t="shared" si="68"/>
        <v>0</v>
      </c>
      <c r="U230" s="506">
        <f t="shared" si="68"/>
        <v>-37536414000</v>
      </c>
      <c r="V230" s="507">
        <f t="shared" si="68"/>
        <v>-37536414000</v>
      </c>
      <c r="X230" s="1636">
        <f t="shared" si="68"/>
        <v>28429923500</v>
      </c>
      <c r="Z230" s="1636">
        <f t="shared" si="68"/>
        <v>0</v>
      </c>
      <c r="AB230" s="1636">
        <v>28429923500</v>
      </c>
      <c r="AC230" s="1636">
        <v>28429923500</v>
      </c>
      <c r="AD230" s="1636">
        <v>28429923500</v>
      </c>
      <c r="AE230" s="1636">
        <v>28429923500</v>
      </c>
      <c r="AF230" s="1636">
        <v>28429923500</v>
      </c>
      <c r="AG230" s="1636">
        <v>28429923500</v>
      </c>
      <c r="AH230" s="1636">
        <v>28429923500</v>
      </c>
      <c r="AI230" s="1636">
        <v>28429923500</v>
      </c>
      <c r="AJ230" s="1636">
        <v>28429923500</v>
      </c>
      <c r="AK230" s="1636">
        <f t="shared" si="68"/>
        <v>28429923500</v>
      </c>
      <c r="AL230" s="1636">
        <v>28429923500</v>
      </c>
      <c r="AN230" s="498"/>
    </row>
    <row r="231" spans="1:40" ht="18" customHeight="1">
      <c r="A231" s="498"/>
      <c r="D231" s="1598">
        <v>310100</v>
      </c>
      <c r="E231" s="1364" t="s">
        <v>10</v>
      </c>
      <c r="F231" s="1366">
        <v>5101</v>
      </c>
      <c r="G231" s="1364" t="s">
        <v>190</v>
      </c>
      <c r="H231" s="498">
        <v>28429923500</v>
      </c>
      <c r="I231" s="498">
        <v>11666500</v>
      </c>
      <c r="J231" s="710">
        <v>37013277500</v>
      </c>
      <c r="K231" s="710">
        <v>511470000</v>
      </c>
      <c r="L231" s="510">
        <f>SUM(H231:K231)</f>
        <v>65966337500</v>
      </c>
      <c r="N231" s="1673">
        <f>-SUMIF('1.0'!$D:$D,T_BS!D231,'1.0'!$V:$V)</f>
        <v>0</v>
      </c>
      <c r="O231" s="710">
        <f>-SUMIF('2.0'!$D:$D,T_BS!D231,'2.0'!$V:$V)</f>
        <v>0</v>
      </c>
      <c r="P231" s="509">
        <f>-ROUND(SUMIF('3.0'!$D:$D,T_BS!D231,'3.0'!$H:$H),0)</f>
        <v>0</v>
      </c>
      <c r="Q231" s="720">
        <f>-ROUND(SUMIF('4.0'!$D:$D,T_BS!D231,'4.0'!$V:$V),0)</f>
        <v>0</v>
      </c>
      <c r="R231" s="509">
        <f>-ROUND(SUMIF('5.0'!$D:$D,T_BS!D231,'5.0'!$V:$V),0)</f>
        <v>0</v>
      </c>
      <c r="S231" s="720">
        <f>-ROUND(SUMIF('6.0'!$D:$D,T_BS!D231,'6.0'!$V:$V),0)</f>
        <v>0</v>
      </c>
      <c r="T231" s="720">
        <f>ROUND(SUMIF('7.0'!$D:$D,T_BS!D231,'7.0'!$V:$V),0)</f>
        <v>0</v>
      </c>
      <c r="U231" s="720">
        <f>-ROUND(SUMIF('8.0'!$D:$D,T_BS!D231,'8.0'!$H:$H),0)</f>
        <v>-37536414000</v>
      </c>
      <c r="V231" s="510">
        <f>SUM(N231:U231)</f>
        <v>-37536414000</v>
      </c>
      <c r="X231" s="1647">
        <f>V231+L231</f>
        <v>28429923500</v>
      </c>
      <c r="Z231" s="1622">
        <f>X231-AG231</f>
        <v>0</v>
      </c>
      <c r="AB231" s="1622">
        <v>28429923500</v>
      </c>
      <c r="AC231" s="1622">
        <v>28429923500</v>
      </c>
      <c r="AD231" s="1622">
        <v>28429923500</v>
      </c>
      <c r="AE231" s="1622">
        <v>28429923500</v>
      </c>
      <c r="AF231" s="1622">
        <v>28429923500</v>
      </c>
      <c r="AG231" s="1622">
        <v>28429923500</v>
      </c>
      <c r="AH231" s="1622">
        <v>28429923500</v>
      </c>
      <c r="AI231" s="1622">
        <v>28429923500</v>
      </c>
      <c r="AJ231" s="1622">
        <v>28429923500</v>
      </c>
      <c r="AK231" s="1622">
        <v>28429923500</v>
      </c>
      <c r="AL231" s="1622">
        <v>28429923500</v>
      </c>
      <c r="AN231" s="498"/>
    </row>
    <row r="232" spans="1:40" ht="18" customHeight="1">
      <c r="A232" s="498"/>
      <c r="D232" s="1593"/>
      <c r="E232" s="1594"/>
      <c r="F232" s="1595"/>
      <c r="G232" s="1594" t="s">
        <v>12</v>
      </c>
      <c r="H232" s="520">
        <f>SUM(H233:H235)</f>
        <v>60260612904</v>
      </c>
      <c r="I232" s="506">
        <f>SUM(I233:I235)</f>
        <v>1992475900</v>
      </c>
      <c r="J232" s="506">
        <f>SUM(J233:J235)</f>
        <v>0</v>
      </c>
      <c r="K232" s="506">
        <f>SUM(K233:K235)</f>
        <v>0</v>
      </c>
      <c r="L232" s="507">
        <f>SUM(L233:L235)</f>
        <v>62253088804</v>
      </c>
      <c r="N232" s="1637">
        <f t="shared" ref="N232:S232" si="69">SUM(N233:N235)</f>
        <v>-118784521</v>
      </c>
      <c r="O232" s="506">
        <f t="shared" si="69"/>
        <v>0</v>
      </c>
      <c r="P232" s="506">
        <f t="shared" si="69"/>
        <v>0</v>
      </c>
      <c r="Q232" s="506">
        <f t="shared" si="69"/>
        <v>0</v>
      </c>
      <c r="R232" s="506">
        <f t="shared" si="69"/>
        <v>0</v>
      </c>
      <c r="S232" s="506">
        <f t="shared" si="69"/>
        <v>0</v>
      </c>
      <c r="T232" s="506">
        <f>SUM(T233:T235)</f>
        <v>0</v>
      </c>
      <c r="U232" s="506">
        <f>SUM(U233:U235)</f>
        <v>-1992475900</v>
      </c>
      <c r="V232" s="507">
        <f>SUM(V233:V235)</f>
        <v>-2111260421</v>
      </c>
      <c r="X232" s="1636">
        <f>SUM(X233:X235)</f>
        <v>60141828383</v>
      </c>
      <c r="Z232" s="1636">
        <f>SUM(Z233:Z235)</f>
        <v>-118602164720</v>
      </c>
      <c r="AB232" s="1636">
        <v>60141828383</v>
      </c>
      <c r="AC232" s="1636">
        <v>60086299529</v>
      </c>
      <c r="AD232" s="1636">
        <v>60086299529</v>
      </c>
      <c r="AE232" s="1636">
        <v>60086299529</v>
      </c>
      <c r="AF232" s="1636">
        <v>59989124475</v>
      </c>
      <c r="AG232" s="1636">
        <v>178743993103</v>
      </c>
      <c r="AH232" s="1636">
        <v>178691304444</v>
      </c>
      <c r="AI232" s="1636">
        <v>178678131785</v>
      </c>
      <c r="AJ232" s="1636">
        <v>178605820232</v>
      </c>
      <c r="AK232" s="1636">
        <f>SUM(AK233:AK235)</f>
        <v>178559577856</v>
      </c>
      <c r="AL232" s="1636">
        <v>178559577856</v>
      </c>
      <c r="AN232" s="498"/>
    </row>
    <row r="233" spans="1:40" ht="18" customHeight="1">
      <c r="A233" s="498"/>
      <c r="D233" s="1598">
        <v>320100</v>
      </c>
      <c r="E233" s="1364" t="s">
        <v>12</v>
      </c>
      <c r="F233" s="1366">
        <v>5201</v>
      </c>
      <c r="G233" s="1364" t="s">
        <v>191</v>
      </c>
      <c r="H233" s="498">
        <v>59065212344</v>
      </c>
      <c r="I233" s="498">
        <v>1992475900</v>
      </c>
      <c r="J233" s="710">
        <v>0</v>
      </c>
      <c r="K233" s="710">
        <v>0</v>
      </c>
      <c r="L233" s="510">
        <f>SUM(H233:K233)</f>
        <v>61057688244</v>
      </c>
      <c r="N233" s="1673">
        <f>-SUMIF('1.0'!$D:$D,T_BS!D233,'1.0'!$V:$V)</f>
        <v>0</v>
      </c>
      <c r="O233" s="710">
        <f>-SUMIF('2.0'!$D:$D,T_BS!D233,'2.0'!$V:$V)</f>
        <v>0</v>
      </c>
      <c r="P233" s="509">
        <f>-ROUND(SUMIF('3.0'!$D:$D,T_BS!D233,'3.0'!$H:$H),0)</f>
        <v>0</v>
      </c>
      <c r="Q233" s="720">
        <f>-ROUND(SUMIF('4.0'!$D:$D,T_BS!D233,'4.0'!$V:$V),0)</f>
        <v>0</v>
      </c>
      <c r="R233" s="509">
        <f>-ROUND(SUMIF('5.0'!$D:$D,T_BS!D233,'5.0'!$V:$V),0)</f>
        <v>0</v>
      </c>
      <c r="S233" s="720">
        <f>-ROUND(SUMIF('6.0'!$D:$D,T_BS!D233,'6.0'!$V:$V),0)</f>
        <v>0</v>
      </c>
      <c r="T233" s="720">
        <f>ROUND(SUMIF('7.0'!$D:$D,T_BS!D233,'7.0'!$V:$V),0)</f>
        <v>0</v>
      </c>
      <c r="U233" s="720">
        <f>-ROUND(SUMIF('8.0'!$D:$D,T_BS!D233,'8.0'!$H:$H),0)</f>
        <v>-1992475900</v>
      </c>
      <c r="V233" s="510">
        <f t="shared" ref="V233:V251" si="70">SUM(N233:U233)</f>
        <v>-1992475900</v>
      </c>
      <c r="X233" s="1647">
        <f>V233+L233</f>
        <v>59065212344</v>
      </c>
      <c r="Z233" s="1622">
        <f>X233-AG233</f>
        <v>-118931789842</v>
      </c>
      <c r="AB233" s="1622">
        <v>59065212344</v>
      </c>
      <c r="AC233" s="1622">
        <v>59065212344</v>
      </c>
      <c r="AD233" s="1622">
        <v>59065212344</v>
      </c>
      <c r="AE233" s="1622">
        <v>59065212344</v>
      </c>
      <c r="AF233" s="1622">
        <v>59065212344</v>
      </c>
      <c r="AG233" s="1622">
        <v>177997002186</v>
      </c>
      <c r="AH233" s="1622">
        <v>177997002186</v>
      </c>
      <c r="AI233" s="1622">
        <v>177997002186</v>
      </c>
      <c r="AJ233" s="1622">
        <v>177997002186</v>
      </c>
      <c r="AK233" s="1622">
        <v>177997002186</v>
      </c>
      <c r="AL233" s="1622">
        <v>177997002186</v>
      </c>
      <c r="AN233" s="498"/>
    </row>
    <row r="234" spans="1:40" ht="18" customHeight="1">
      <c r="A234" s="498"/>
      <c r="D234" s="1598">
        <v>320500</v>
      </c>
      <c r="E234" s="1364" t="s">
        <v>12</v>
      </c>
      <c r="F234" s="1366">
        <v>5203</v>
      </c>
      <c r="G234" s="1364" t="s">
        <v>192</v>
      </c>
      <c r="H234" s="498">
        <v>0</v>
      </c>
      <c r="I234" s="498">
        <v>0</v>
      </c>
      <c r="J234" s="710">
        <v>0</v>
      </c>
      <c r="K234" s="710">
        <v>0</v>
      </c>
      <c r="L234" s="510">
        <f>SUM(H234:K234)</f>
        <v>0</v>
      </c>
      <c r="N234" s="1673">
        <f>-SUMIF('1.0'!$D:$D,T_BS!D234,'1.0'!$V:$V)</f>
        <v>0</v>
      </c>
      <c r="O234" s="710">
        <f>-SUMIF('2.0'!$D:$D,T_BS!D234,'2.0'!$V:$V)</f>
        <v>0</v>
      </c>
      <c r="P234" s="509">
        <f>-ROUND(SUMIF('3.0'!$D:$D,T_BS!D234,'3.0'!$H:$H),0)</f>
        <v>0</v>
      </c>
      <c r="Q234" s="720">
        <f>-ROUND(SUMIF('4.0'!$D:$D,T_BS!D234,'4.0'!$V:$V),0)</f>
        <v>0</v>
      </c>
      <c r="R234" s="509">
        <f>-ROUND(SUMIF('5.0'!$D:$D,T_BS!D234,'5.0'!$V:$V),0)</f>
        <v>0</v>
      </c>
      <c r="S234" s="720">
        <f>-ROUND(SUMIF('6.0'!$D:$D,T_BS!D234,'6.0'!$V:$V),0)</f>
        <v>0</v>
      </c>
      <c r="T234" s="720">
        <f>ROUND(SUMIF('7.0'!$D:$D,T_BS!D234,'7.0'!$V:$V),0)</f>
        <v>0</v>
      </c>
      <c r="U234" s="720">
        <f>-ROUND(SUMIF('8.0'!$D:$D,T_BS!D234,'8.0'!$H:$H),0)</f>
        <v>0</v>
      </c>
      <c r="V234" s="510">
        <f t="shared" si="70"/>
        <v>0</v>
      </c>
      <c r="X234" s="1647">
        <f>V234+L234</f>
        <v>0</v>
      </c>
      <c r="Z234" s="1622">
        <f>X234-AG234</f>
        <v>0</v>
      </c>
      <c r="AB234" s="1622">
        <v>0</v>
      </c>
      <c r="AC234" s="1622">
        <v>0</v>
      </c>
      <c r="AD234" s="1622">
        <v>0</v>
      </c>
      <c r="AE234" s="1622">
        <v>0</v>
      </c>
      <c r="AF234" s="1622">
        <v>0</v>
      </c>
      <c r="AG234" s="1622">
        <v>0</v>
      </c>
      <c r="AH234" s="1622">
        <v>0</v>
      </c>
      <c r="AI234" s="1622">
        <v>0</v>
      </c>
      <c r="AJ234" s="1622">
        <v>0</v>
      </c>
      <c r="AK234" s="1622">
        <v>0</v>
      </c>
      <c r="AL234" s="1622">
        <v>0</v>
      </c>
      <c r="AN234" s="498"/>
    </row>
    <row r="235" spans="1:40" ht="18" customHeight="1">
      <c r="A235" s="498"/>
      <c r="D235" s="1598">
        <v>320300</v>
      </c>
      <c r="E235" s="1364" t="s">
        <v>12</v>
      </c>
      <c r="F235" s="1366">
        <v>5202</v>
      </c>
      <c r="G235" s="1364" t="s">
        <v>193</v>
      </c>
      <c r="H235" s="498">
        <v>1195400560</v>
      </c>
      <c r="I235" s="498">
        <v>0</v>
      </c>
      <c r="J235" s="710">
        <v>0</v>
      </c>
      <c r="K235" s="710">
        <v>0</v>
      </c>
      <c r="L235" s="510">
        <f>SUM(H235:K235)</f>
        <v>1195400560</v>
      </c>
      <c r="N235" s="1673">
        <f>-SUMIF('1.0'!$D:$D,T_BS!D235,'1.0'!$V:$V)</f>
        <v>-118784521</v>
      </c>
      <c r="O235" s="710">
        <f>-SUMIF('2.0'!$D:$D,T_BS!D235,'2.0'!$V:$V)</f>
        <v>0</v>
      </c>
      <c r="P235" s="509">
        <f>-ROUND(SUMIF('3.0'!$D:$D,T_BS!D235,'3.0'!$H:$H),0)</f>
        <v>0</v>
      </c>
      <c r="Q235" s="720">
        <f>-ROUND(SUMIF('4.0'!$D:$D,T_BS!D235,'4.0'!$V:$V),0)</f>
        <v>0</v>
      </c>
      <c r="R235" s="509">
        <f>-ROUND(SUMIF('5.0'!$D:$D,T_BS!D235,'5.0'!$V:$V),0)</f>
        <v>0</v>
      </c>
      <c r="S235" s="720">
        <f>-ROUND(SUMIF('6.0'!$D:$D,T_BS!D235,'6.0'!$V:$V),0)</f>
        <v>0</v>
      </c>
      <c r="T235" s="720">
        <f>ROUND(SUMIF('7.0'!$D:$D,T_BS!D235,'7.0'!$V:$V),0)</f>
        <v>0</v>
      </c>
      <c r="U235" s="720">
        <f>-ROUND(SUMIF('8.0'!$D:$D,T_BS!D235,'8.0'!$H:$H),0)</f>
        <v>0</v>
      </c>
      <c r="V235" s="510">
        <f t="shared" si="70"/>
        <v>-118784521</v>
      </c>
      <c r="X235" s="1647">
        <f>V235+L235</f>
        <v>1076616039</v>
      </c>
      <c r="Z235" s="1622">
        <f>X235-AG235</f>
        <v>329625122</v>
      </c>
      <c r="AB235" s="1622">
        <v>1076616039</v>
      </c>
      <c r="AC235" s="1622">
        <v>1021087185</v>
      </c>
      <c r="AD235" s="1622">
        <v>1021087185</v>
      </c>
      <c r="AE235" s="1622">
        <v>1021087185</v>
      </c>
      <c r="AF235" s="1622">
        <v>923912131</v>
      </c>
      <c r="AG235" s="1622">
        <v>746990917</v>
      </c>
      <c r="AH235" s="1622">
        <v>694302258</v>
      </c>
      <c r="AI235" s="1622">
        <v>681129599</v>
      </c>
      <c r="AJ235" s="1622">
        <v>608818046</v>
      </c>
      <c r="AK235" s="1622">
        <v>562575670</v>
      </c>
      <c r="AL235" s="1622">
        <v>562575670</v>
      </c>
      <c r="AN235" s="498"/>
    </row>
    <row r="236" spans="1:40" ht="18" customHeight="1">
      <c r="A236" s="498"/>
      <c r="D236" s="1593"/>
      <c r="E236" s="1594"/>
      <c r="F236" s="1595"/>
      <c r="G236" s="1594" t="s">
        <v>194</v>
      </c>
      <c r="H236" s="520">
        <f>SUM(H237:H245)</f>
        <v>-7947245257</v>
      </c>
      <c r="I236" s="506">
        <f>SUM(I237:I245)</f>
        <v>0</v>
      </c>
      <c r="J236" s="506">
        <f>SUM(J237:J245)</f>
        <v>899241343</v>
      </c>
      <c r="K236" s="506">
        <f>SUM(K237:K245)</f>
        <v>-1036019680</v>
      </c>
      <c r="L236" s="507">
        <f>SUM(L237:L245)</f>
        <v>-8084023594</v>
      </c>
      <c r="N236" s="1637">
        <f t="shared" ref="N236:V236" si="71">SUM(N237:N245)</f>
        <v>0</v>
      </c>
      <c r="O236" s="506">
        <f t="shared" si="71"/>
        <v>0</v>
      </c>
      <c r="P236" s="506">
        <f t="shared" si="71"/>
        <v>0</v>
      </c>
      <c r="Q236" s="506">
        <f t="shared" si="71"/>
        <v>0</v>
      </c>
      <c r="R236" s="506">
        <f t="shared" si="71"/>
        <v>928630051</v>
      </c>
      <c r="S236" s="506">
        <f t="shared" si="71"/>
        <v>0</v>
      </c>
      <c r="T236" s="506">
        <f t="shared" si="71"/>
        <v>7009247</v>
      </c>
      <c r="U236" s="506">
        <f t="shared" si="71"/>
        <v>6036794558</v>
      </c>
      <c r="V236" s="507">
        <f t="shared" si="71"/>
        <v>6972433856</v>
      </c>
      <c r="X236" s="1636">
        <f>SUM(X237:X245)</f>
        <v>-1111589738</v>
      </c>
      <c r="Z236" s="1636">
        <f>SUM(Z237:Z245)</f>
        <v>-796308346</v>
      </c>
      <c r="AB236" s="1636">
        <v>-940175661</v>
      </c>
      <c r="AC236" s="1636">
        <v>-984674566</v>
      </c>
      <c r="AD236" s="1636">
        <v>-957802263</v>
      </c>
      <c r="AE236" s="1636">
        <v>-1080384069</v>
      </c>
      <c r="AF236" s="1636">
        <v>-711898852</v>
      </c>
      <c r="AG236" s="1636">
        <v>-315281392</v>
      </c>
      <c r="AH236" s="1636">
        <v>-309935198</v>
      </c>
      <c r="AI236" s="1636">
        <v>-187097655</v>
      </c>
      <c r="AJ236" s="1636">
        <v>-375677574</v>
      </c>
      <c r="AK236" s="1636">
        <f>SUM(AK237:AK245)</f>
        <v>-325190951</v>
      </c>
      <c r="AL236" s="1636">
        <v>-310683954</v>
      </c>
      <c r="AN236" s="498"/>
    </row>
    <row r="237" spans="1:40" ht="18" customHeight="1">
      <c r="A237" s="498"/>
      <c r="D237" s="1598">
        <v>350300</v>
      </c>
      <c r="E237" s="1364" t="s">
        <v>194</v>
      </c>
      <c r="F237" s="1366">
        <v>5304</v>
      </c>
      <c r="G237" s="1364" t="s">
        <v>195</v>
      </c>
      <c r="H237" s="498">
        <v>0</v>
      </c>
      <c r="I237" s="498">
        <v>0</v>
      </c>
      <c r="J237" s="710">
        <v>0</v>
      </c>
      <c r="K237" s="710">
        <v>0</v>
      </c>
      <c r="L237" s="510">
        <f t="shared" ref="L237:L245" si="72">SUM(H237:K237)</f>
        <v>0</v>
      </c>
      <c r="N237" s="1673">
        <f>-SUMIF('1.0'!$D:$D,T_BS!D237,'1.0'!$V:$V)</f>
        <v>0</v>
      </c>
      <c r="O237" s="710">
        <f>-SUMIF('2.0'!$D:$D,T_BS!D237,'2.0'!$V:$V)</f>
        <v>0</v>
      </c>
      <c r="P237" s="509">
        <f>-ROUND(SUMIF('3.0'!$D:$D,T_BS!D237,'3.0'!$H:$H),0)</f>
        <v>0</v>
      </c>
      <c r="Q237" s="710">
        <f>-ROUND(SUMIF('4.0'!$D:$D,T_BS!D237,'4.0'!$V:$V),0)</f>
        <v>0</v>
      </c>
      <c r="R237" s="509">
        <f>-ROUND(SUMIF('5.0'!$D:$D,T_BS!D237,'5.0'!$V:$V),0)</f>
        <v>0</v>
      </c>
      <c r="S237" s="710">
        <f>-ROUND(SUMIF('6.0'!$D:$D,T_BS!D237,'6.0'!$V:$V),0)</f>
        <v>0</v>
      </c>
      <c r="T237" s="720">
        <f>-ROUND(SUMIF('7.0'!$D:$D,T_BS!D237,'7.0'!$V:$V),0)</f>
        <v>0</v>
      </c>
      <c r="U237" s="710">
        <f>-ROUND(SUMIF('8.0'!$D:$D,T_BS!D237,'8.0'!$H:$H),0)</f>
        <v>0</v>
      </c>
      <c r="V237" s="510">
        <f t="shared" si="70"/>
        <v>0</v>
      </c>
      <c r="X237" s="1647">
        <f t="shared" ref="X237:X245" si="73">V237+L237</f>
        <v>0</v>
      </c>
      <c r="Z237" s="1622">
        <f t="shared" ref="Z237:Z245" si="74">X237-AG237</f>
        <v>4240000</v>
      </c>
      <c r="AB237" s="1622">
        <v>0</v>
      </c>
      <c r="AC237" s="1622">
        <v>-4240000</v>
      </c>
      <c r="AD237" s="1622">
        <v>-4240000</v>
      </c>
      <c r="AE237" s="1622">
        <v>-4240000</v>
      </c>
      <c r="AF237" s="1622">
        <v>-4240000</v>
      </c>
      <c r="AG237" s="1622">
        <v>-4240000</v>
      </c>
      <c r="AH237" s="1622">
        <v>-4240000</v>
      </c>
      <c r="AI237" s="1622">
        <v>-4240000</v>
      </c>
      <c r="AJ237" s="1622">
        <v>-4240000</v>
      </c>
      <c r="AK237" s="1622">
        <v>-4240000</v>
      </c>
      <c r="AL237" s="1622">
        <v>-4240000</v>
      </c>
      <c r="AN237" s="498"/>
    </row>
    <row r="238" spans="1:40" ht="18" customHeight="1">
      <c r="A238" s="498"/>
      <c r="D238" s="1598">
        <v>350350</v>
      </c>
      <c r="E238" s="1364" t="s">
        <v>194</v>
      </c>
      <c r="F238" s="1366">
        <v>5301</v>
      </c>
      <c r="G238" s="1364" t="s">
        <v>196</v>
      </c>
      <c r="H238" s="498">
        <v>-1293810742</v>
      </c>
      <c r="I238" s="498">
        <v>0</v>
      </c>
      <c r="J238" s="710">
        <v>0</v>
      </c>
      <c r="K238" s="710">
        <v>0</v>
      </c>
      <c r="L238" s="510">
        <f t="shared" si="72"/>
        <v>-1293810742</v>
      </c>
      <c r="N238" s="1673">
        <f>-SUMIF('1.0'!$D:$D,T_BS!D238,'1.0'!$V:$V)</f>
        <v>0</v>
      </c>
      <c r="O238" s="710">
        <f>-SUMIF('2.0'!$D:$D,T_BS!D238,'2.0'!$V:$V)</f>
        <v>0</v>
      </c>
      <c r="P238" s="509">
        <f>-ROUND(SUMIF('3.0'!$D:$D,T_BS!D238,'3.0'!$H:$H),0)</f>
        <v>0</v>
      </c>
      <c r="Q238" s="710">
        <f>-ROUND(SUMIF('4.0'!$D:$D,T_BS!D238,'4.0'!$V:$V),0)</f>
        <v>0</v>
      </c>
      <c r="R238" s="509">
        <f>-ROUND(SUMIF('5.0'!$D:$D,T_BS!D238,'5.0'!$V:$V),0)</f>
        <v>0</v>
      </c>
      <c r="S238" s="710">
        <f>-ROUND(SUMIF('6.0'!$D:$D,T_BS!D238,'6.0'!$V:$V),0)</f>
        <v>0</v>
      </c>
      <c r="T238" s="720">
        <f>-ROUND(SUMIF('7.0'!$D:$D,T_BS!D238,'7.0'!$V:$V),0)</f>
        <v>0</v>
      </c>
      <c r="U238" s="710">
        <f>-ROUND(SUMIF('8.0'!$D:$D,T_BS!D238,'8.0'!$H:$H),0)</f>
        <v>0</v>
      </c>
      <c r="V238" s="510">
        <f t="shared" si="70"/>
        <v>0</v>
      </c>
      <c r="X238" s="1647">
        <f t="shared" si="73"/>
        <v>-1293810742</v>
      </c>
      <c r="Z238" s="1622">
        <f t="shared" si="74"/>
        <v>-1771023</v>
      </c>
      <c r="AB238" s="1622">
        <v>-1293810742</v>
      </c>
      <c r="AC238" s="1622">
        <v>-1292039719</v>
      </c>
      <c r="AD238" s="1622">
        <v>-1292039719</v>
      </c>
      <c r="AE238" s="1622">
        <v>-1292039719</v>
      </c>
      <c r="AF238" s="1622">
        <v>-1292039719</v>
      </c>
      <c r="AG238" s="1622">
        <v>-1292039719</v>
      </c>
      <c r="AH238" s="1622">
        <v>-1292039719</v>
      </c>
      <c r="AI238" s="1622">
        <v>-1292039719</v>
      </c>
      <c r="AJ238" s="1622">
        <v>-1292039719</v>
      </c>
      <c r="AK238" s="1622">
        <v>-1292039719</v>
      </c>
      <c r="AL238" s="1622">
        <v>-1292039719</v>
      </c>
      <c r="AN238" s="498"/>
    </row>
    <row r="239" spans="1:40" ht="18" customHeight="1">
      <c r="A239" s="498"/>
      <c r="D239" s="1598" t="s">
        <v>1347</v>
      </c>
      <c r="E239" s="1364" t="s">
        <v>194</v>
      </c>
      <c r="F239" s="1366" t="s">
        <v>611</v>
      </c>
      <c r="G239" s="1364" t="s">
        <v>225</v>
      </c>
      <c r="H239" s="498">
        <v>0</v>
      </c>
      <c r="I239" s="498">
        <v>0</v>
      </c>
      <c r="J239" s="710">
        <v>0</v>
      </c>
      <c r="K239" s="710">
        <v>0</v>
      </c>
      <c r="L239" s="510">
        <f t="shared" si="72"/>
        <v>0</v>
      </c>
      <c r="N239" s="1673">
        <f>-SUMIF('1.0'!$D:$D,T_BS!D239,'1.0'!$V:$V)</f>
        <v>0</v>
      </c>
      <c r="O239" s="710">
        <f>-SUMIF('2.0'!$D:$D,T_BS!D239,'2.0'!$V:$V)</f>
        <v>0</v>
      </c>
      <c r="P239" s="509">
        <f>-ROUND(SUMIF('3.0'!$D:$D,T_BS!D239,'3.0'!$H:$H),0)</f>
        <v>0</v>
      </c>
      <c r="Q239" s="710">
        <f>-ROUND(SUMIF('4.0'!$D:$D,T_BS!D239,'4.0'!$V:$V),0)</f>
        <v>0</v>
      </c>
      <c r="R239" s="509">
        <f>-ROUND(SUMIF('5.0'!$D:$D,T_BS!D239,'5.0'!$V:$V),0)</f>
        <v>0</v>
      </c>
      <c r="S239" s="710">
        <f>-ROUND(SUMIF('6.0'!$D:$D,T_BS!D239,'6.0'!$V:$V),0)</f>
        <v>0</v>
      </c>
      <c r="T239" s="720">
        <f>-ROUND(SUMIF('7.0'!$D:$D,T_BS!D239,'7.0'!$V:$V),0)</f>
        <v>0</v>
      </c>
      <c r="U239" s="710">
        <f>-ROUND(SUMIF('8.0'!$D:$D,T_BS!D239,'8.0'!$H:$H),0)</f>
        <v>0</v>
      </c>
      <c r="V239" s="510">
        <f t="shared" si="70"/>
        <v>0</v>
      </c>
      <c r="X239" s="1647">
        <f t="shared" si="73"/>
        <v>0</v>
      </c>
      <c r="Z239" s="1622">
        <f t="shared" si="74"/>
        <v>0</v>
      </c>
      <c r="AB239" s="1622">
        <v>0</v>
      </c>
      <c r="AC239" s="1622">
        <v>0</v>
      </c>
      <c r="AD239" s="1622">
        <v>0</v>
      </c>
      <c r="AE239" s="1622">
        <v>0</v>
      </c>
      <c r="AF239" s="1622">
        <v>0</v>
      </c>
      <c r="AG239" s="1622">
        <v>0</v>
      </c>
      <c r="AH239" s="1622">
        <v>0</v>
      </c>
      <c r="AI239" s="1622">
        <v>0</v>
      </c>
      <c r="AJ239" s="1622">
        <v>0</v>
      </c>
      <c r="AK239" s="1622">
        <v>0</v>
      </c>
      <c r="AL239" s="1622">
        <v>0</v>
      </c>
      <c r="AN239" s="498"/>
    </row>
    <row r="240" spans="1:40" ht="18" customHeight="1">
      <c r="A240" s="498"/>
      <c r="D240" s="1598">
        <v>350400</v>
      </c>
      <c r="E240" s="1364" t="s">
        <v>194</v>
      </c>
      <c r="F240" s="1366">
        <v>5302</v>
      </c>
      <c r="G240" s="1364" t="s">
        <v>197</v>
      </c>
      <c r="H240" s="498">
        <v>1066837445</v>
      </c>
      <c r="I240" s="498">
        <v>0</v>
      </c>
      <c r="J240" s="710">
        <v>0</v>
      </c>
      <c r="K240" s="710">
        <v>0</v>
      </c>
      <c r="L240" s="510">
        <f t="shared" si="72"/>
        <v>1066837445</v>
      </c>
      <c r="N240" s="1673">
        <f>-SUMIF('1.0'!$D:$D,T_BS!D240,'1.0'!$V:$V)</f>
        <v>0</v>
      </c>
      <c r="O240" s="710">
        <f>-SUMIF('2.0'!$D:$D,T_BS!D240,'2.0'!$V:$V)</f>
        <v>0</v>
      </c>
      <c r="P240" s="509">
        <f>-ROUND(SUMIF('3.0'!$D:$D,T_BS!D240,'3.0'!$H:$H),0)</f>
        <v>0</v>
      </c>
      <c r="Q240" s="710">
        <f>-ROUND(SUMIF('4.0'!$D:$D,T_BS!D240,'4.0'!$V:$V),0)</f>
        <v>0</v>
      </c>
      <c r="R240" s="509">
        <f>-ROUND(SUMIF('5.0'!$D:$D,T_BS!D240,'5.0'!$V:$V),0)</f>
        <v>0</v>
      </c>
      <c r="S240" s="710">
        <f>-ROUND(SUMIF('6.0'!$D:$D,T_BS!D240,'6.0'!$V:$V),0)</f>
        <v>0</v>
      </c>
      <c r="T240" s="720">
        <f>-ROUND(SUMIF('7.0'!$D:$D,T_BS!D240,'7.0'!$V:$V),0)</f>
        <v>0</v>
      </c>
      <c r="U240" s="710">
        <f>-ROUND(SUMIF('8.0'!$D:$D,T_BS!D240,'8.0'!$H:$H),0)</f>
        <v>0</v>
      </c>
      <c r="V240" s="510">
        <f t="shared" si="70"/>
        <v>0</v>
      </c>
      <c r="X240" s="1647">
        <f t="shared" si="73"/>
        <v>1066837445</v>
      </c>
      <c r="Z240" s="1622">
        <f t="shared" si="74"/>
        <v>-377413808</v>
      </c>
      <c r="AB240" s="1622">
        <v>1058492431</v>
      </c>
      <c r="AC240" s="1622">
        <v>1132511796</v>
      </c>
      <c r="AD240" s="1622">
        <v>1123512257</v>
      </c>
      <c r="AE240" s="1622">
        <v>1114512718</v>
      </c>
      <c r="AF240" s="1622">
        <v>1225924657</v>
      </c>
      <c r="AG240" s="1622">
        <v>1444251253</v>
      </c>
      <c r="AH240" s="1622">
        <v>1463961213</v>
      </c>
      <c r="AI240" s="1622">
        <v>1448605611</v>
      </c>
      <c r="AJ240" s="1622">
        <v>1445992555</v>
      </c>
      <c r="AK240" s="1622">
        <v>1430524615</v>
      </c>
      <c r="AL240" s="1622">
        <v>1298943576</v>
      </c>
      <c r="AN240" s="498"/>
    </row>
    <row r="241" spans="1:40" ht="18" customHeight="1">
      <c r="A241" s="498"/>
      <c r="D241" s="1598">
        <v>350210</v>
      </c>
      <c r="E241" s="1364" t="s">
        <v>194</v>
      </c>
      <c r="F241" s="1366">
        <v>5304</v>
      </c>
      <c r="G241" s="1364" t="s">
        <v>198</v>
      </c>
      <c r="H241" s="498">
        <v>-7720271960</v>
      </c>
      <c r="I241" s="498">
        <v>0</v>
      </c>
      <c r="J241" s="710">
        <v>0</v>
      </c>
      <c r="K241" s="710">
        <v>-778091133</v>
      </c>
      <c r="L241" s="510">
        <f t="shared" si="72"/>
        <v>-8498363093</v>
      </c>
      <c r="N241" s="1673">
        <f>-SUMIF('1.0'!$D:$D,T_BS!D241,'1.0'!$V:$V)</f>
        <v>0</v>
      </c>
      <c r="O241" s="710">
        <f>-SUMIF('2.0'!$D:$D,T_BS!D241,'2.0'!$V:$V)</f>
        <v>0</v>
      </c>
      <c r="P241" s="509">
        <f>-ROUND(SUMIF('3.0'!$D:$D,T_BS!D241,'3.0'!$H:$H),0)</f>
        <v>0</v>
      </c>
      <c r="Q241" s="710">
        <f>-ROUND(SUMIF('4.0'!$D:$D,T_BS!D241,'4.0'!$V:$V),0)</f>
        <v>0</v>
      </c>
      <c r="R241" s="509">
        <f>-ROUND(SUMIF('5.0'!$D:$D,T_BS!D241,'5.0'!$V:$V),0)</f>
        <v>0</v>
      </c>
      <c r="S241" s="710">
        <f>-ROUND(SUMIF('6.0'!$D:$D,T_BS!D241,'6.0'!$V:$V),0)</f>
        <v>0</v>
      </c>
      <c r="T241" s="720">
        <f>-ROUND(SUMIF('7.0'!$D:$D,T_BS!D241,'7.0'!$V:$V),0)</f>
        <v>0</v>
      </c>
      <c r="U241" s="710">
        <f>-ROUND(SUMIF('8.0'!$D:$D,T_BS!D241,'8.0'!$H:$H),0)</f>
        <v>5766494005</v>
      </c>
      <c r="V241" s="510">
        <f t="shared" si="70"/>
        <v>5766494005</v>
      </c>
      <c r="X241" s="1647">
        <f t="shared" si="73"/>
        <v>-2731869088</v>
      </c>
      <c r="Z241" s="1622">
        <f t="shared" si="74"/>
        <v>0</v>
      </c>
      <c r="AB241" s="1622">
        <v>-2731869088</v>
      </c>
      <c r="AC241" s="1622">
        <v>-2731869088</v>
      </c>
      <c r="AD241" s="1622">
        <v>-2731869088</v>
      </c>
      <c r="AE241" s="1622">
        <v>-2731869088</v>
      </c>
      <c r="AF241" s="1622">
        <v>-2731869088</v>
      </c>
      <c r="AG241" s="1622">
        <v>-2731869088</v>
      </c>
      <c r="AH241" s="1622">
        <v>-2731869088</v>
      </c>
      <c r="AI241" s="1622">
        <v>-2731869088</v>
      </c>
      <c r="AJ241" s="1622">
        <v>-2731869088</v>
      </c>
      <c r="AK241" s="1622">
        <v>-2731869088</v>
      </c>
      <c r="AL241" s="1622">
        <v>-2731869088</v>
      </c>
      <c r="AN241" s="498"/>
    </row>
    <row r="242" spans="1:40" ht="18" customHeight="1">
      <c r="A242" s="498"/>
      <c r="D242" s="1599" t="s">
        <v>1350</v>
      </c>
      <c r="E242" s="1364" t="s">
        <v>194</v>
      </c>
      <c r="F242" s="1579">
        <v>5305</v>
      </c>
      <c r="G242" s="1364" t="s">
        <v>200</v>
      </c>
      <c r="H242" s="498">
        <v>0</v>
      </c>
      <c r="I242" s="498">
        <v>0</v>
      </c>
      <c r="J242" s="710">
        <v>0</v>
      </c>
      <c r="K242" s="710">
        <v>0</v>
      </c>
      <c r="L242" s="510">
        <f t="shared" si="72"/>
        <v>0</v>
      </c>
      <c r="N242" s="1673">
        <f>-SUMIF('1.0'!$D:$D,T_BS!D242,'1.0'!$V:$V)</f>
        <v>0</v>
      </c>
      <c r="O242" s="710">
        <f>-SUMIF('2.0'!$D:$D,T_BS!D242,'2.0'!$V:$V)</f>
        <v>0</v>
      </c>
      <c r="P242" s="509">
        <f>-ROUND(SUMIF('3.0'!$D:$D,T_BS!D242,'3.0'!$H:$H),0)</f>
        <v>0</v>
      </c>
      <c r="Q242" s="710">
        <f>-ROUND(SUMIF('4.0'!$D:$D,T_BS!D242,'4.0'!$V:$V),0)</f>
        <v>0</v>
      </c>
      <c r="R242" s="509">
        <f>-ROUND(SUMIF('5.0'!$D:$D,T_BS!D242,'5.0'!$V:$V),0)</f>
        <v>0</v>
      </c>
      <c r="S242" s="710">
        <f>-ROUND(SUMIF('6.0'!$D:$D,T_BS!D242,'6.0'!$V:$V),0)</f>
        <v>0</v>
      </c>
      <c r="T242" s="720">
        <f>-ROUND(SUMIF('7.0'!$D:$D,T_BS!D242,'7.0'!$V:$V),0)</f>
        <v>7009247</v>
      </c>
      <c r="U242" s="710">
        <f>-ROUND(SUMIF('8.0'!$D:$D,T_BS!D242,'8.0'!$H:$H),0)</f>
        <v>0</v>
      </c>
      <c r="V242" s="510">
        <f t="shared" si="70"/>
        <v>7009247</v>
      </c>
      <c r="X242" s="1647">
        <f t="shared" si="73"/>
        <v>7009247</v>
      </c>
      <c r="Z242" s="1622">
        <f t="shared" si="74"/>
        <v>7009247</v>
      </c>
      <c r="AB242" s="1622">
        <v>7009247</v>
      </c>
      <c r="AC242" s="1622">
        <v>2520421</v>
      </c>
      <c r="AD242" s="1622">
        <v>2520421</v>
      </c>
      <c r="AE242" s="1622">
        <v>2520421</v>
      </c>
      <c r="AF242" s="1622">
        <v>0</v>
      </c>
      <c r="AG242" s="1622">
        <v>0</v>
      </c>
      <c r="AH242" s="1622">
        <v>0</v>
      </c>
      <c r="AI242" s="1622">
        <v>0</v>
      </c>
      <c r="AJ242" s="1622">
        <v>0</v>
      </c>
      <c r="AK242" s="1622">
        <v>0</v>
      </c>
      <c r="AL242" s="1622">
        <v>0</v>
      </c>
      <c r="AN242" s="498"/>
    </row>
    <row r="243" spans="1:40" ht="18" customHeight="1">
      <c r="A243" s="498"/>
      <c r="D243" s="1598" t="s">
        <v>1351</v>
      </c>
      <c r="E243" s="1364" t="s">
        <v>194</v>
      </c>
      <c r="F243" s="1366" t="s">
        <v>611</v>
      </c>
      <c r="G243" s="1364" t="s">
        <v>202</v>
      </c>
      <c r="H243" s="498">
        <v>0</v>
      </c>
      <c r="I243" s="498">
        <v>0</v>
      </c>
      <c r="J243" s="710">
        <v>0</v>
      </c>
      <c r="K243" s="710">
        <v>0</v>
      </c>
      <c r="L243" s="510">
        <f t="shared" si="72"/>
        <v>0</v>
      </c>
      <c r="N243" s="1673">
        <f>-SUMIF('1.0'!$D:$D,T_BS!D243,'1.0'!$V:$V)</f>
        <v>0</v>
      </c>
      <c r="O243" s="710">
        <f>-SUMIF('2.0'!$D:$D,T_BS!D243,'2.0'!$V:$V)</f>
        <v>0</v>
      </c>
      <c r="P243" s="509">
        <f>-ROUND(SUMIF('3.0'!$D:$D,T_BS!D243,'3.0'!$H:$H),0)</f>
        <v>0</v>
      </c>
      <c r="Q243" s="710">
        <f>-ROUND(SUMIF('4.0'!$D:$D,T_BS!D243,'4.0'!$V:$V),0)</f>
        <v>0</v>
      </c>
      <c r="R243" s="509">
        <f>-ROUND(SUMIF('5.0'!$D:$D,T_BS!D243,'5.0'!$V:$V),0)</f>
        <v>0</v>
      </c>
      <c r="S243" s="710">
        <f>-ROUND(SUMIF('6.0'!$D:$D,T_BS!D243,'6.0'!$V:$V),0)</f>
        <v>0</v>
      </c>
      <c r="T243" s="720">
        <f>-ROUND(SUMIF('7.0'!$D:$D,T_BS!D243,'7.0'!$V:$V),0)</f>
        <v>0</v>
      </c>
      <c r="U243" s="710">
        <f>-ROUND(SUMIF('8.0'!$D:$D,T_BS!D243,'8.0'!$H:$H),0)</f>
        <v>0</v>
      </c>
      <c r="V243" s="510">
        <f t="shared" si="70"/>
        <v>0</v>
      </c>
      <c r="X243" s="1647">
        <f t="shared" si="73"/>
        <v>0</v>
      </c>
      <c r="Z243" s="1622">
        <f t="shared" si="74"/>
        <v>0</v>
      </c>
      <c r="AB243" s="1622">
        <v>0</v>
      </c>
      <c r="AC243" s="1622">
        <v>0</v>
      </c>
      <c r="AD243" s="1622">
        <v>0</v>
      </c>
      <c r="AE243" s="1622">
        <v>0</v>
      </c>
      <c r="AF243" s="1622">
        <v>0</v>
      </c>
      <c r="AG243" s="1622">
        <v>0</v>
      </c>
      <c r="AH243" s="1622">
        <v>0</v>
      </c>
      <c r="AI243" s="1622">
        <v>0</v>
      </c>
      <c r="AJ243" s="1622">
        <v>0</v>
      </c>
      <c r="AK243" s="1622">
        <v>0</v>
      </c>
      <c r="AL243" s="1622">
        <v>0</v>
      </c>
      <c r="AN243" s="498"/>
    </row>
    <row r="244" spans="1:40" ht="18" customHeight="1">
      <c r="A244" s="498"/>
      <c r="D244" s="1598" t="s">
        <v>1352</v>
      </c>
      <c r="E244" s="1364" t="s">
        <v>194</v>
      </c>
      <c r="F244" s="1366">
        <v>5307</v>
      </c>
      <c r="G244" s="1364" t="s">
        <v>1348</v>
      </c>
      <c r="H244" s="498">
        <v>0</v>
      </c>
      <c r="I244" s="498">
        <v>0</v>
      </c>
      <c r="J244" s="710">
        <v>899241343</v>
      </c>
      <c r="K244" s="710">
        <v>-257928547</v>
      </c>
      <c r="L244" s="510">
        <f t="shared" si="72"/>
        <v>641312796</v>
      </c>
      <c r="N244" s="1673">
        <f>-SUMIF('1.0'!$D:$D,T_BS!D244,'1.0'!$V:$V)</f>
        <v>0</v>
      </c>
      <c r="O244" s="710">
        <f>-SUMIF('2.0'!$D:$D,T_BS!D244,'2.0'!$V:$V)</f>
        <v>0</v>
      </c>
      <c r="P244" s="509">
        <f>-ROUND(SUMIF('3.0'!$D:$D,T_BS!D244,'3.0'!$H:$H),0)</f>
        <v>0</v>
      </c>
      <c r="Q244" s="710">
        <f>-ROUND(SUMIF('4.0'!$D:$D,T_BS!D244,'4.0'!$V:$V),0)</f>
        <v>0</v>
      </c>
      <c r="R244" s="509">
        <f>-ROUND(SUMIF('5.0'!$D:$D,T_BS!D244,'5.0'!$V:$V),0)</f>
        <v>928630051</v>
      </c>
      <c r="S244" s="710">
        <f>-ROUND(SUMIF('6.0'!$D:$D,T_BS!D244,'6.0'!$V:$V),0)</f>
        <v>0</v>
      </c>
      <c r="T244" s="720">
        <f>-ROUND(SUMIF('7.0'!$D:$D,T_BS!D244,'7.0'!$V:$V),0)</f>
        <v>0</v>
      </c>
      <c r="U244" s="710">
        <f>-ROUND(SUMIF('8.0'!$D:$D,T_BS!D244,'8.0'!$H:$H),0)</f>
        <v>270300553</v>
      </c>
      <c r="V244" s="510">
        <f t="shared" si="70"/>
        <v>1198930604</v>
      </c>
      <c r="X244" s="1647">
        <f t="shared" si="73"/>
        <v>1840243400</v>
      </c>
      <c r="Z244" s="1622">
        <f t="shared" si="74"/>
        <v>-428372762</v>
      </c>
      <c r="AB244" s="1622">
        <v>2020002491</v>
      </c>
      <c r="AC244" s="1622">
        <v>1908442024</v>
      </c>
      <c r="AD244" s="1622">
        <v>1944313866</v>
      </c>
      <c r="AE244" s="1622">
        <v>1830731599</v>
      </c>
      <c r="AF244" s="1622">
        <v>2090325298</v>
      </c>
      <c r="AG244" s="1622">
        <v>2268616162</v>
      </c>
      <c r="AH244" s="1622">
        <v>2254252396</v>
      </c>
      <c r="AI244" s="1622">
        <v>2392445541</v>
      </c>
      <c r="AJ244" s="1622">
        <v>2206478678</v>
      </c>
      <c r="AK244" s="1622">
        <v>2272433241</v>
      </c>
      <c r="AL244" s="1622">
        <v>2418521277</v>
      </c>
      <c r="AN244" s="498"/>
    </row>
    <row r="245" spans="1:40" ht="18" customHeight="1">
      <c r="A245" s="498"/>
      <c r="D245" s="1598" t="s">
        <v>1353</v>
      </c>
      <c r="E245" s="1364" t="s">
        <v>194</v>
      </c>
      <c r="F245" s="1366"/>
      <c r="G245" s="1364" t="s">
        <v>1349</v>
      </c>
      <c r="H245" s="498">
        <v>0</v>
      </c>
      <c r="I245" s="498">
        <v>0</v>
      </c>
      <c r="J245" s="710">
        <v>0</v>
      </c>
      <c r="K245" s="710">
        <v>0</v>
      </c>
      <c r="L245" s="510">
        <f t="shared" si="72"/>
        <v>0</v>
      </c>
      <c r="N245" s="1673">
        <f>-SUMIF('1.0'!$D:$D,T_BS!D245,'1.0'!$V:$V)</f>
        <v>0</v>
      </c>
      <c r="O245" s="710">
        <f>-SUMIF('2.0'!$D:$D,T_BS!D245,'2.0'!$V:$V)</f>
        <v>0</v>
      </c>
      <c r="P245" s="509">
        <f>-ROUND(SUMIF('3.0'!$D:$D,T_BS!D245,'3.0'!$H:$H),0)</f>
        <v>0</v>
      </c>
      <c r="Q245" s="710">
        <f>-ROUND(SUMIF('4.0'!$D:$D,T_BS!D245,'4.0'!$V:$V),0)</f>
        <v>0</v>
      </c>
      <c r="R245" s="509">
        <f>-ROUND(SUMIF('5.0'!$D:$D,T_BS!D245,'5.0'!$V:$V),0)</f>
        <v>0</v>
      </c>
      <c r="S245" s="710">
        <f>-ROUND(SUMIF('6.0'!$D:$D,T_BS!D245,'6.0'!$V:$V),0)</f>
        <v>0</v>
      </c>
      <c r="T245" s="720">
        <f>-ROUND(SUMIF('7.0'!$D:$D,T_BS!D245,'7.0'!$V:$V),0)</f>
        <v>0</v>
      </c>
      <c r="U245" s="710">
        <f>-ROUND(SUMIF('8.0'!$D:$D,T_BS!D245,'8.0'!$H:$H),0)</f>
        <v>0</v>
      </c>
      <c r="V245" s="510">
        <f t="shared" si="70"/>
        <v>0</v>
      </c>
      <c r="X245" s="1647">
        <f t="shared" si="73"/>
        <v>0</v>
      </c>
      <c r="Z245" s="1622">
        <f t="shared" si="74"/>
        <v>0</v>
      </c>
      <c r="AB245" s="1622">
        <v>0</v>
      </c>
      <c r="AC245" s="1622">
        <v>0</v>
      </c>
      <c r="AD245" s="1622">
        <v>0</v>
      </c>
      <c r="AE245" s="1622">
        <v>0</v>
      </c>
      <c r="AF245" s="1622">
        <v>0</v>
      </c>
      <c r="AG245" s="1622">
        <v>0</v>
      </c>
      <c r="AH245" s="1622">
        <v>0</v>
      </c>
      <c r="AI245" s="1622">
        <v>0</v>
      </c>
      <c r="AJ245" s="1622">
        <v>0</v>
      </c>
      <c r="AK245" s="1622">
        <v>0</v>
      </c>
      <c r="AL245" s="1622">
        <v>0</v>
      </c>
      <c r="AN245" s="498"/>
    </row>
    <row r="246" spans="1:40" ht="18" customHeight="1">
      <c r="A246" s="498"/>
      <c r="D246" s="1593"/>
      <c r="E246" s="1594"/>
      <c r="F246" s="1595"/>
      <c r="G246" s="1594" t="s">
        <v>13</v>
      </c>
      <c r="H246" s="520">
        <f>SUM(H247:H249)</f>
        <v>46826094086</v>
      </c>
      <c r="I246" s="506">
        <f>SUM(I247:I249)</f>
        <v>-1020027406</v>
      </c>
      <c r="J246" s="506">
        <f>SUM(J247:J249)</f>
        <v>-38352762815</v>
      </c>
      <c r="K246" s="506">
        <f>SUM(K247:K249)</f>
        <v>4301204866</v>
      </c>
      <c r="L246" s="507">
        <f>SUM(L247:L249)</f>
        <v>11754508731</v>
      </c>
      <c r="N246" s="1637">
        <f t="shared" ref="N246:S246" si="75">SUM(N247:N249)</f>
        <v>138627321</v>
      </c>
      <c r="O246" s="506">
        <f t="shared" si="75"/>
        <v>0</v>
      </c>
      <c r="P246" s="506">
        <f t="shared" si="75"/>
        <v>-283349074</v>
      </c>
      <c r="Q246" s="506">
        <f t="shared" si="75"/>
        <v>-60384975</v>
      </c>
      <c r="R246" s="506">
        <f t="shared" si="75"/>
        <v>893619536</v>
      </c>
      <c r="S246" s="506">
        <f t="shared" si="75"/>
        <v>-20000000</v>
      </c>
      <c r="T246" s="506">
        <f>SUM(T247:T249)</f>
        <v>671297613</v>
      </c>
      <c r="U246" s="506">
        <f>SUM(U247:U249)</f>
        <v>25527675464</v>
      </c>
      <c r="V246" s="507">
        <f>SUM(V247:V249)</f>
        <v>26867485885</v>
      </c>
      <c r="X246" s="1636">
        <f>SUM(X247:X249)</f>
        <v>38621994616</v>
      </c>
      <c r="Z246" s="1636">
        <f>SUM(Z247:Z249)</f>
        <v>165841415350</v>
      </c>
      <c r="AB246" s="1636">
        <v>38653665958</v>
      </c>
      <c r="AC246" s="1636">
        <v>29582126390</v>
      </c>
      <c r="AD246" s="1636">
        <v>29547050755</v>
      </c>
      <c r="AE246" s="1636">
        <v>28823820126</v>
      </c>
      <c r="AF246" s="1636">
        <v>4009733472</v>
      </c>
      <c r="AG246" s="1636">
        <v>-127219420734</v>
      </c>
      <c r="AH246" s="1636">
        <v>-110943962420</v>
      </c>
      <c r="AI246" s="1636">
        <v>-111752944049</v>
      </c>
      <c r="AJ246" s="1636">
        <v>-125531744918</v>
      </c>
      <c r="AK246" s="1636">
        <f>SUM(AK247:AK249)</f>
        <v>-108702022376</v>
      </c>
      <c r="AL246" s="1636">
        <v>-110877418434</v>
      </c>
      <c r="AN246" s="498"/>
    </row>
    <row r="247" spans="1:40" ht="18" customHeight="1">
      <c r="A247" s="498"/>
      <c r="D247" s="1639">
        <v>350951</v>
      </c>
      <c r="E247" s="1364" t="s">
        <v>13</v>
      </c>
      <c r="F247" s="1366">
        <v>5401</v>
      </c>
      <c r="G247" s="1364" t="s">
        <v>205</v>
      </c>
      <c r="H247" s="498">
        <v>1212634443</v>
      </c>
      <c r="I247" s="498">
        <v>0</v>
      </c>
      <c r="J247" s="710">
        <v>0</v>
      </c>
      <c r="K247" s="710">
        <v>0</v>
      </c>
      <c r="L247" s="510">
        <f>SUM(H247:K247)</f>
        <v>1212634443</v>
      </c>
      <c r="N247" s="1673">
        <f>-SUMIF('1.0'!$D:$D,T_BS!D247,'1.0'!$V:$V)</f>
        <v>622390102</v>
      </c>
      <c r="O247" s="710">
        <f>-SUMIF('2.0'!$D:$D,T_BS!D247,'2.0'!$V:$V)</f>
        <v>0</v>
      </c>
      <c r="P247" s="509">
        <f>-ROUND(SUMIF('3.0'!$D:$D,T_BS!D247,'3.0'!$H:$H),0)</f>
        <v>0</v>
      </c>
      <c r="Q247" s="710">
        <f>-ROUND(SUMIF('4.0'!$D:$D,T_BS!D247,'4.0'!$V:$V),0)</f>
        <v>0</v>
      </c>
      <c r="R247" s="509">
        <f>-ROUND(SUMIF('5.0'!$D:$D,T_BS!D247,'5.0'!$V:$V),0)</f>
        <v>0</v>
      </c>
      <c r="S247" s="710">
        <f>-ROUND(SUMIF('6.0'!$D:$D,T_BS!D247,'6.0'!$V:$V),0)</f>
        <v>0</v>
      </c>
      <c r="T247" s="720">
        <f>ROUND(SUMIF('7.0'!$D:$D,T_BS!D247,'7.0'!$V:$V),0)</f>
        <v>0</v>
      </c>
      <c r="U247" s="710">
        <f>-ROUND(SUMIF('8.0'!$D:$D,T_BS!D247,'8.0'!$H:$H),0)</f>
        <v>0</v>
      </c>
      <c r="V247" s="510">
        <f>SUM(N247:U247)</f>
        <v>622390102</v>
      </c>
      <c r="X247" s="1647">
        <f>V247+L247</f>
        <v>1835024545</v>
      </c>
      <c r="Z247" s="1622">
        <f>X247-AG247</f>
        <v>2353078886</v>
      </c>
      <c r="AB247" s="1622">
        <v>1835024545</v>
      </c>
      <c r="AC247" s="1622">
        <v>1835024545</v>
      </c>
      <c r="AD247" s="1622">
        <v>1835024545</v>
      </c>
      <c r="AE247" s="1622">
        <v>1835024545</v>
      </c>
      <c r="AF247" s="1622">
        <v>622390102</v>
      </c>
      <c r="AG247" s="1622">
        <v>-518054341</v>
      </c>
      <c r="AH247" s="1622">
        <v>-31934104</v>
      </c>
      <c r="AI247" s="1622">
        <v>-31934104</v>
      </c>
      <c r="AJ247" s="1622">
        <v>-31934104</v>
      </c>
      <c r="AK247" s="1622">
        <v>-279145066</v>
      </c>
      <c r="AL247" s="1622">
        <v>-279145066</v>
      </c>
      <c r="AN247" s="498"/>
    </row>
    <row r="248" spans="1:40" ht="18" customHeight="1">
      <c r="A248" s="498"/>
      <c r="D248" s="1639" t="s">
        <v>1354</v>
      </c>
      <c r="E248" s="1364" t="s">
        <v>13</v>
      </c>
      <c r="F248" s="1366">
        <v>5402</v>
      </c>
      <c r="G248" s="1364" t="s">
        <v>207</v>
      </c>
      <c r="H248" s="498">
        <v>0</v>
      </c>
      <c r="I248" s="498">
        <v>-1005025891</v>
      </c>
      <c r="J248" s="710">
        <v>-38587039942</v>
      </c>
      <c r="K248" s="710">
        <v>3058983333</v>
      </c>
      <c r="L248" s="510">
        <f>SUM(H248:K248)</f>
        <v>-36533082500</v>
      </c>
      <c r="N248" s="1673">
        <f>-SUMIF('1.0'!$D:$D,T_BS!D248,'1.0'!$V:$V)</f>
        <v>-483762781</v>
      </c>
      <c r="O248" s="710">
        <f>-SUMIF('2.0'!$D:$D,T_BS!D248,'2.0'!$V:$V)</f>
        <v>0</v>
      </c>
      <c r="P248" s="509">
        <f>-ROUND(SUMIF('3.0'!$D:$D,T_BS!D248,'3.0'!$H:$H),0)</f>
        <v>1541524202</v>
      </c>
      <c r="Q248" s="710">
        <f>-ROUND(SUMIF('4.0'!$D:$D,T_BS!D248,'4.0'!$V:$V),0)</f>
        <v>139847805</v>
      </c>
      <c r="R248" s="509">
        <f>-ROUND(SUMIF('5.0'!$D:$D,T_BS!D248,'5.0'!$V:$V),0)</f>
        <v>893619536</v>
      </c>
      <c r="S248" s="710">
        <f>-ROUND(SUMIF('6.0'!$D:$D,T_BS!D248,'6.0'!$V:$V),0)</f>
        <v>-20000000</v>
      </c>
      <c r="T248" s="710">
        <f>-ROUND(SUMIF('7.0'!$D:$D,T_BS!D248,'7.0'!$V:$V),0)</f>
        <v>24157280</v>
      </c>
      <c r="U248" s="710">
        <f>-ROUND(SUMIF('8.0'!$D:$D,T_BS!D248,'8.0'!$H:$H),0)</f>
        <v>25527675464</v>
      </c>
      <c r="V248" s="510">
        <f t="shared" si="70"/>
        <v>27623061506</v>
      </c>
      <c r="X248" s="1647">
        <f>V248+L248</f>
        <v>-8910020994</v>
      </c>
      <c r="Z248" s="1622">
        <f>X248-AG248</f>
        <v>101688252374</v>
      </c>
      <c r="AB248" s="1622">
        <v>-8910020994</v>
      </c>
      <c r="AC248" s="1622">
        <v>-8910020994</v>
      </c>
      <c r="AD248" s="1622">
        <v>-8910020994</v>
      </c>
      <c r="AE248" s="1622">
        <v>-8910020994</v>
      </c>
      <c r="AF248" s="1622">
        <v>-8910020994</v>
      </c>
      <c r="AG248" s="1622">
        <v>-110598273368</v>
      </c>
      <c r="AH248" s="1622">
        <v>-110598273368</v>
      </c>
      <c r="AI248" s="1622">
        <v>-110598273368</v>
      </c>
      <c r="AJ248" s="1622">
        <v>-110598273368</v>
      </c>
      <c r="AK248" s="1622">
        <v>-110598273368</v>
      </c>
      <c r="AL248" s="1622">
        <v>-87530400767</v>
      </c>
      <c r="AN248" s="498"/>
    </row>
    <row r="249" spans="1:40" ht="18" customHeight="1">
      <c r="A249" s="498"/>
      <c r="D249" s="1639" t="s">
        <v>1355</v>
      </c>
      <c r="E249" s="1364" t="s">
        <v>13</v>
      </c>
      <c r="F249" s="1366" t="s">
        <v>611</v>
      </c>
      <c r="G249" s="1364" t="s">
        <v>209</v>
      </c>
      <c r="H249" s="498">
        <f>T_IS!H127</f>
        <v>45613459643</v>
      </c>
      <c r="I249" s="498">
        <f>T_IS!I127</f>
        <v>-15001515</v>
      </c>
      <c r="J249" s="498">
        <f>T_IS!J127</f>
        <v>234277127</v>
      </c>
      <c r="K249" s="498">
        <f>T_IS!K127</f>
        <v>1242221533</v>
      </c>
      <c r="L249" s="510">
        <f>SUM(H249:K249)</f>
        <v>47074956788</v>
      </c>
      <c r="N249" s="1673">
        <f>+T_IS!N127</f>
        <v>0</v>
      </c>
      <c r="O249" s="710">
        <f>+T_IS!O127</f>
        <v>0</v>
      </c>
      <c r="P249" s="509">
        <f>+T_IS!P127</f>
        <v>-1824873276</v>
      </c>
      <c r="Q249" s="710">
        <f>+T_IS!Q127</f>
        <v>-200232780</v>
      </c>
      <c r="R249" s="509">
        <f>+T_IS!R127</f>
        <v>0</v>
      </c>
      <c r="S249" s="710">
        <f>+T_IS!S127</f>
        <v>0</v>
      </c>
      <c r="T249" s="710">
        <f>+T_IS!T127</f>
        <v>647140333</v>
      </c>
      <c r="U249" s="710">
        <f>+T_IS!U127</f>
        <v>0</v>
      </c>
      <c r="V249" s="510">
        <f>SUM(N249:U249)</f>
        <v>-1377965723</v>
      </c>
      <c r="X249" s="1647">
        <f>V249+L249</f>
        <v>45696991065</v>
      </c>
      <c r="Z249" s="1622">
        <f>X249-AG249</f>
        <v>61800084090</v>
      </c>
      <c r="AB249" s="1622">
        <v>45728662407</v>
      </c>
      <c r="AC249" s="1622">
        <v>36657122839</v>
      </c>
      <c r="AD249" s="1622">
        <v>36622047204</v>
      </c>
      <c r="AE249" s="1622">
        <v>35898816575</v>
      </c>
      <c r="AF249" s="1622">
        <v>12297364364</v>
      </c>
      <c r="AG249" s="1622">
        <v>-16103093025</v>
      </c>
      <c r="AH249" s="1622">
        <v>-313754948</v>
      </c>
      <c r="AI249" s="1622">
        <v>-1122736577</v>
      </c>
      <c r="AJ249" s="1622">
        <v>-14901537446</v>
      </c>
      <c r="AK249" s="1622">
        <v>2175396058</v>
      </c>
      <c r="AL249" s="1622">
        <v>-23067872601</v>
      </c>
      <c r="AN249" s="498"/>
    </row>
    <row r="250" spans="1:40" ht="18" customHeight="1">
      <c r="A250" s="498"/>
      <c r="D250" s="1588"/>
      <c r="E250" s="1589"/>
      <c r="F250" s="1590"/>
      <c r="G250" s="1589" t="s">
        <v>210</v>
      </c>
      <c r="H250" s="1625">
        <f>H251</f>
        <v>0</v>
      </c>
      <c r="I250" s="503">
        <f>I251</f>
        <v>0</v>
      </c>
      <c r="J250" s="503">
        <f>J251</f>
        <v>0</v>
      </c>
      <c r="K250" s="503">
        <f>K251</f>
        <v>0</v>
      </c>
      <c r="L250" s="504">
        <f>L251</f>
        <v>0</v>
      </c>
      <c r="N250" s="1629">
        <f t="shared" ref="N250:AK250" si="76">N251</f>
        <v>0</v>
      </c>
      <c r="O250" s="503">
        <f t="shared" si="76"/>
        <v>0</v>
      </c>
      <c r="P250" s="503">
        <f t="shared" si="76"/>
        <v>0</v>
      </c>
      <c r="Q250" s="503">
        <f t="shared" si="76"/>
        <v>0</v>
      </c>
      <c r="R250" s="503">
        <f t="shared" si="76"/>
        <v>0</v>
      </c>
      <c r="S250" s="503">
        <f t="shared" si="76"/>
        <v>0</v>
      </c>
      <c r="T250" s="503">
        <f t="shared" si="76"/>
        <v>0</v>
      </c>
      <c r="U250" s="503">
        <f t="shared" si="76"/>
        <v>0</v>
      </c>
      <c r="V250" s="504">
        <f t="shared" si="76"/>
        <v>0</v>
      </c>
      <c r="X250" s="1628">
        <f t="shared" si="76"/>
        <v>0</v>
      </c>
      <c r="Z250" s="1628">
        <f t="shared" si="76"/>
        <v>0</v>
      </c>
      <c r="AB250" s="1628">
        <v>0</v>
      </c>
      <c r="AC250" s="1628">
        <v>0</v>
      </c>
      <c r="AD250" s="1628">
        <v>0</v>
      </c>
      <c r="AE250" s="1628">
        <v>0</v>
      </c>
      <c r="AF250" s="1628">
        <v>0</v>
      </c>
      <c r="AG250" s="1628">
        <v>0</v>
      </c>
      <c r="AH250" s="1628">
        <v>0</v>
      </c>
      <c r="AI250" s="1628">
        <v>0</v>
      </c>
      <c r="AJ250" s="1628">
        <v>0</v>
      </c>
      <c r="AK250" s="1628">
        <f t="shared" si="76"/>
        <v>0</v>
      </c>
      <c r="AL250" s="1628">
        <v>0</v>
      </c>
      <c r="AN250" s="498"/>
    </row>
    <row r="251" spans="1:40" ht="18" customHeight="1">
      <c r="A251" s="498"/>
      <c r="D251" s="1639" t="s">
        <v>492</v>
      </c>
      <c r="E251" s="1511"/>
      <c r="F251" s="1366"/>
      <c r="G251" s="1511" t="s">
        <v>210</v>
      </c>
      <c r="H251" s="498">
        <v>0</v>
      </c>
      <c r="I251" s="498">
        <v>0</v>
      </c>
      <c r="J251" s="710">
        <v>0</v>
      </c>
      <c r="K251" s="710">
        <v>0</v>
      </c>
      <c r="L251" s="510">
        <f>SUM(H251:K251)</f>
        <v>0</v>
      </c>
      <c r="N251" s="1673">
        <f>-SUMIF('1.0'!$D:$D,T_BS!D251,'1.0'!$V:$V)</f>
        <v>0</v>
      </c>
      <c r="O251" s="710">
        <f>-SUMIF('2.0'!$D:$D,T_BS!D251,'2.0'!$V:$V)</f>
        <v>0</v>
      </c>
      <c r="P251" s="509">
        <f>-ROUND(SUMIF('3.0'!$D:$D,T_BS!D251,'3.0'!$H:$H),0)</f>
        <v>0</v>
      </c>
      <c r="Q251" s="720">
        <f>-ROUND(SUMIF('4.0'!$D:$D,T_BS!D251,'4.0'!$V:$V),0)</f>
        <v>0</v>
      </c>
      <c r="R251" s="509">
        <f>-ROUND(SUMIF('5.0'!$D:$D,T_BS!D251,'5.0'!$V:$V),0)</f>
        <v>0</v>
      </c>
      <c r="S251" s="952">
        <v>0</v>
      </c>
      <c r="T251" s="720">
        <f>-ROUND(SUMIF('7.0'!$D:$D,T_BS!D251,'7.0'!$I:$I),0)</f>
        <v>0</v>
      </c>
      <c r="U251" s="720">
        <f>-ROUND(SUMIF('8.0'!$D:$D,T_BS!D251,'8.0'!$H:$H),0)</f>
        <v>0</v>
      </c>
      <c r="V251" s="510">
        <f t="shared" si="70"/>
        <v>0</v>
      </c>
      <c r="X251" s="1622">
        <f>V251+L251</f>
        <v>0</v>
      </c>
      <c r="Z251" s="1622">
        <f>X251+N251</f>
        <v>0</v>
      </c>
      <c r="AB251" s="1622">
        <v>0</v>
      </c>
      <c r="AC251" s="1622">
        <v>0</v>
      </c>
      <c r="AD251" s="1622">
        <v>0</v>
      </c>
      <c r="AE251" s="1622">
        <v>0</v>
      </c>
      <c r="AF251" s="1622">
        <v>0</v>
      </c>
      <c r="AG251" s="1622">
        <v>0</v>
      </c>
      <c r="AH251" s="1622">
        <v>0</v>
      </c>
      <c r="AI251" s="1622">
        <v>0</v>
      </c>
      <c r="AJ251" s="1622">
        <v>0</v>
      </c>
      <c r="AK251" s="1622"/>
      <c r="AL251" s="1622">
        <v>0</v>
      </c>
      <c r="AN251" s="498"/>
    </row>
    <row r="252" spans="1:40" s="1417" customFormat="1" ht="18" customHeight="1" thickBot="1">
      <c r="B252" s="1364"/>
      <c r="C252" s="1364"/>
      <c r="D252" s="1685"/>
      <c r="E252" s="1686"/>
      <c r="F252" s="1687"/>
      <c r="G252" s="1686" t="s">
        <v>212</v>
      </c>
      <c r="H252" s="1688">
        <f>SUM(H229,H147)</f>
        <v>273104612213</v>
      </c>
      <c r="I252" s="1688">
        <f>SUM(I229,I147)</f>
        <v>1284436436</v>
      </c>
      <c r="J252" s="1688">
        <f>SUM(J229,J147)</f>
        <v>343743424</v>
      </c>
      <c r="K252" s="1688">
        <f>SUM(K229,K147)</f>
        <v>6647089738</v>
      </c>
      <c r="L252" s="1689">
        <f>SUM(L229,L147)</f>
        <v>281379881811</v>
      </c>
      <c r="M252" s="1659"/>
      <c r="N252" s="1690">
        <f t="shared" ref="N252:S252" si="77">SUM(N229,N147)</f>
        <v>19842800</v>
      </c>
      <c r="O252" s="1688">
        <f t="shared" si="77"/>
        <v>0</v>
      </c>
      <c r="P252" s="1688">
        <f t="shared" si="77"/>
        <v>-1140885661</v>
      </c>
      <c r="Q252" s="1688">
        <f t="shared" si="77"/>
        <v>-60384975</v>
      </c>
      <c r="R252" s="1688">
        <f t="shared" si="77"/>
        <v>1822249587</v>
      </c>
      <c r="S252" s="1688">
        <f t="shared" si="77"/>
        <v>-1154194774</v>
      </c>
      <c r="T252" s="1688">
        <f>SUM(T229,T147)</f>
        <v>678306860</v>
      </c>
      <c r="U252" s="1688">
        <f>SUM(U229,U147)</f>
        <v>-7964419878</v>
      </c>
      <c r="V252" s="1689">
        <f>SUM(V229,V147)</f>
        <v>-7799486041</v>
      </c>
      <c r="W252" s="1659"/>
      <c r="X252" s="1684">
        <f>SUM(X229,X147)</f>
        <v>273580395770</v>
      </c>
      <c r="Y252" s="1659"/>
      <c r="Z252" s="1684">
        <f>SUM(Z229,Z147)</f>
        <v>18675826591</v>
      </c>
      <c r="AA252" s="1659"/>
      <c r="AB252" s="1684">
        <v>264821711447</v>
      </c>
      <c r="AC252" s="1684">
        <v>260522455553</v>
      </c>
      <c r="AD252" s="1684">
        <v>263664328406</v>
      </c>
      <c r="AE252" s="1684">
        <v>260602005740</v>
      </c>
      <c r="AF252" s="1684">
        <v>277445840316</v>
      </c>
      <c r="AG252" s="1684">
        <v>254904569179</v>
      </c>
      <c r="AH252" s="1684">
        <v>244862741802</v>
      </c>
      <c r="AI252" s="1684">
        <v>254444269644</v>
      </c>
      <c r="AJ252" s="1684">
        <v>258676373389</v>
      </c>
      <c r="AK252" s="1684">
        <f>SUM(AK229,AK147)</f>
        <v>176086631208</v>
      </c>
      <c r="AL252" s="1684">
        <v>172443439357</v>
      </c>
      <c r="AM252" s="770"/>
      <c r="AN252" s="498"/>
    </row>
    <row r="253" spans="1:40" ht="18" customHeight="1">
      <c r="B253" s="1367"/>
      <c r="C253" s="1367"/>
      <c r="D253" s="1609"/>
      <c r="E253" s="1417"/>
      <c r="F253" s="1609"/>
      <c r="G253" s="1417"/>
      <c r="H253" s="540" t="b">
        <f>H249-T_IS!H127=0</f>
        <v>1</v>
      </c>
      <c r="I253" s="540" t="b">
        <f>I249-T_IS!I127=0</f>
        <v>1</v>
      </c>
      <c r="J253" s="540" t="b">
        <f>J249-T_IS!J127=0</f>
        <v>1</v>
      </c>
      <c r="K253" s="540" t="b">
        <f>K249-T_IS!K127=0</f>
        <v>1</v>
      </c>
      <c r="L253" s="540"/>
      <c r="M253" s="1661"/>
      <c r="N253" s="540" t="b">
        <f>N249=T_IS!N128</f>
        <v>1</v>
      </c>
      <c r="O253" s="540" t="b">
        <f>O249=T_IS!O128</f>
        <v>1</v>
      </c>
      <c r="P253" s="540" t="b">
        <f>P249=T_IS!P128</f>
        <v>1</v>
      </c>
      <c r="Q253" s="540" t="b">
        <f>Q249=T_IS!Q128</f>
        <v>1</v>
      </c>
      <c r="R253" s="540" t="b">
        <f>R249=T_IS!R128</f>
        <v>1</v>
      </c>
      <c r="S253" s="540" t="b">
        <f>S249=T_IS!S128</f>
        <v>1</v>
      </c>
      <c r="T253" s="540" t="b">
        <f>T249=T_IS!T128</f>
        <v>1</v>
      </c>
      <c r="U253" s="540" t="b">
        <f>U249=T_IS!U128</f>
        <v>1</v>
      </c>
      <c r="V253" s="540" t="b">
        <f>V249=T_IS!V128</f>
        <v>1</v>
      </c>
      <c r="W253" s="1661"/>
      <c r="X253" s="540" t="b">
        <f>T_IS!X128=X249</f>
        <v>1</v>
      </c>
      <c r="Y253" s="1661"/>
      <c r="Z253" s="540"/>
      <c r="AA253" s="1661"/>
      <c r="AB253" s="540"/>
      <c r="AC253" s="540"/>
      <c r="AD253" s="540"/>
      <c r="AE253" s="540" t="b">
        <f>T_IS!AG127=AE249</f>
        <v>1</v>
      </c>
      <c r="AF253" s="540" t="b">
        <f>T_IS!AH127=AF249</f>
        <v>1</v>
      </c>
      <c r="AG253" s="1663" t="b">
        <f>AG249=T_IS!AI128</f>
        <v>1</v>
      </c>
      <c r="AH253" s="1663" t="b">
        <f>AH249=T_IS!AJ128</f>
        <v>1</v>
      </c>
      <c r="AI253" s="1663" t="b">
        <f>AI249=T_IS!AK128</f>
        <v>1</v>
      </c>
      <c r="AJ253" s="1663" t="b">
        <f>AJ249=T_IS!AL128</f>
        <v>1</v>
      </c>
      <c r="AK253" s="1663" t="b">
        <f>AK249=T_IS!AM128</f>
        <v>1</v>
      </c>
      <c r="AL253" s="540" t="b">
        <f>T_IS!AN128=AL249</f>
        <v>1</v>
      </c>
      <c r="AM253" s="1417"/>
      <c r="AN253" s="1417"/>
    </row>
    <row r="254" spans="1:40" ht="18" customHeight="1">
      <c r="N254" s="498">
        <f>N249-T_IS!N128</f>
        <v>0</v>
      </c>
      <c r="O254" s="498">
        <f>O249-T_IS!O128</f>
        <v>0</v>
      </c>
      <c r="P254" s="498">
        <f>P249-T_IS!P128</f>
        <v>0</v>
      </c>
      <c r="Q254" s="498">
        <f>Q249-T_IS!Q128</f>
        <v>0</v>
      </c>
      <c r="R254" s="498">
        <f>R249-T_IS!R128</f>
        <v>0</v>
      </c>
      <c r="S254" s="498">
        <f>S249-T_IS!S128</f>
        <v>0</v>
      </c>
      <c r="T254" s="498">
        <f>T249-T_IS!T128</f>
        <v>0</v>
      </c>
      <c r="V254" s="575"/>
      <c r="X254" s="575"/>
    </row>
    <row r="255" spans="1:40" ht="18" customHeight="1">
      <c r="E255" s="836"/>
      <c r="G255" s="1691"/>
      <c r="H255" s="1025"/>
      <c r="I255" s="1025"/>
      <c r="J255" s="1025"/>
      <c r="K255" s="1025"/>
      <c r="L255" s="1131"/>
      <c r="M255" s="1692"/>
      <c r="N255" s="1692"/>
      <c r="O255" s="1692"/>
      <c r="P255" s="1692"/>
      <c r="Q255" s="1692"/>
      <c r="R255" s="1692"/>
      <c r="S255" s="1692"/>
      <c r="T255" s="1692"/>
      <c r="U255" s="1692"/>
      <c r="V255" s="740"/>
      <c r="W255" s="1692"/>
      <c r="X255" s="1693"/>
      <c r="Y255" s="1692"/>
      <c r="Z255" s="1694"/>
      <c r="AA255" s="1692"/>
      <c r="AB255" s="1694"/>
      <c r="AC255" s="1694"/>
      <c r="AD255" s="1694"/>
      <c r="AE255" s="1694"/>
      <c r="AF255" s="1694"/>
      <c r="AG255" s="1694"/>
      <c r="AH255" s="1694"/>
      <c r="AI255" s="1694"/>
      <c r="AJ255" s="1694"/>
      <c r="AK255" s="1694"/>
      <c r="AL255" s="836"/>
    </row>
    <row r="256" spans="1:40" ht="18" hidden="1" customHeight="1">
      <c r="D256" s="836" t="s">
        <v>1926</v>
      </c>
      <c r="E256" s="836" t="s">
        <v>1927</v>
      </c>
      <c r="G256" s="836"/>
      <c r="H256" s="1025"/>
      <c r="I256" s="1025"/>
      <c r="J256" s="1025"/>
      <c r="K256" s="1025"/>
      <c r="L256" s="1131"/>
      <c r="M256" s="1692"/>
      <c r="N256" s="1692"/>
      <c r="O256" s="1692"/>
      <c r="P256" s="1692"/>
      <c r="Q256" s="740"/>
      <c r="R256" s="1692"/>
      <c r="S256" s="1692"/>
      <c r="T256" s="1692"/>
      <c r="U256" s="1692"/>
      <c r="V256" s="1692"/>
      <c r="W256" s="1692"/>
      <c r="X256" s="1692"/>
      <c r="Y256" s="1692"/>
      <c r="Z256" s="1694"/>
      <c r="AA256" s="1692"/>
      <c r="AB256" s="1694"/>
      <c r="AC256" s="1694"/>
      <c r="AD256" s="1694"/>
      <c r="AE256" s="1694"/>
      <c r="AF256" s="1694"/>
      <c r="AG256" s="1694"/>
      <c r="AH256" s="1694"/>
      <c r="AI256" s="1694"/>
      <c r="AJ256" s="1694"/>
      <c r="AK256" s="1694"/>
      <c r="AL256" s="836"/>
    </row>
    <row r="257" spans="4:39" ht="18" hidden="1" customHeight="1">
      <c r="D257" s="1695" t="s">
        <v>18</v>
      </c>
      <c r="E257" s="1695" t="s">
        <v>19</v>
      </c>
      <c r="G257" s="1631"/>
      <c r="H257" s="1696"/>
      <c r="I257" s="1696"/>
      <c r="J257" s="1696"/>
      <c r="K257" s="1696"/>
      <c r="L257" s="1697"/>
      <c r="M257" s="1692"/>
      <c r="N257" s="1692"/>
      <c r="O257" s="1692"/>
      <c r="P257" s="1692"/>
      <c r="Q257" s="1692"/>
      <c r="R257" s="1692"/>
      <c r="S257" s="1692"/>
      <c r="T257" s="1692"/>
      <c r="U257" s="1692"/>
      <c r="V257" s="1692"/>
      <c r="W257" s="1692"/>
      <c r="X257" s="740"/>
      <c r="Y257" s="1692"/>
      <c r="Z257" s="1694"/>
      <c r="AA257" s="1692"/>
      <c r="AB257" s="1694"/>
      <c r="AC257" s="1694"/>
      <c r="AD257" s="1694"/>
      <c r="AE257" s="1694"/>
      <c r="AF257" s="1694"/>
      <c r="AG257" s="1694"/>
      <c r="AH257" s="1694"/>
      <c r="AI257" s="1694"/>
      <c r="AJ257" s="1694"/>
      <c r="AK257" s="1694"/>
      <c r="AL257" s="836"/>
    </row>
    <row r="258" spans="4:39" ht="18" hidden="1" customHeight="1">
      <c r="D258" s="1698">
        <v>3404</v>
      </c>
      <c r="E258" s="1698" t="s">
        <v>180</v>
      </c>
      <c r="G258" s="1631"/>
      <c r="H258" s="1696"/>
      <c r="I258" s="1696"/>
      <c r="J258" s="1696"/>
      <c r="K258" s="1696"/>
      <c r="L258" s="1697"/>
      <c r="M258" s="1692"/>
      <c r="N258" s="1692"/>
      <c r="O258" s="1692"/>
      <c r="P258" s="1692"/>
      <c r="Q258" s="1692"/>
      <c r="R258" s="1692"/>
      <c r="S258" s="1692"/>
      <c r="T258" s="1692"/>
      <c r="U258" s="1692"/>
      <c r="V258" s="1692"/>
      <c r="W258" s="1692"/>
      <c r="X258" s="1699"/>
      <c r="Y258" s="1692"/>
      <c r="Z258" s="1694"/>
      <c r="AA258" s="1692"/>
      <c r="AB258" s="1694"/>
      <c r="AC258" s="1694"/>
      <c r="AD258" s="1694"/>
      <c r="AE258" s="1694"/>
      <c r="AF258" s="1694"/>
      <c r="AG258" s="1694"/>
      <c r="AH258" s="1694"/>
      <c r="AI258" s="1694"/>
      <c r="AJ258" s="1694"/>
      <c r="AK258" s="1694"/>
      <c r="AL258" s="836"/>
      <c r="AM258" s="498"/>
    </row>
    <row r="259" spans="4:39" ht="18" hidden="1" customHeight="1">
      <c r="D259" s="1698">
        <v>3403</v>
      </c>
      <c r="E259" s="1698" t="s">
        <v>661</v>
      </c>
      <c r="G259" s="1700"/>
      <c r="H259" s="923"/>
      <c r="I259" s="710"/>
      <c r="J259" s="923"/>
      <c r="K259" s="923"/>
      <c r="L259" s="1701"/>
      <c r="M259" s="1692"/>
      <c r="N259" s="1692"/>
      <c r="O259" s="1692"/>
      <c r="P259" s="1692"/>
      <c r="Q259" s="1692"/>
      <c r="R259" s="1692"/>
      <c r="S259" s="1692"/>
      <c r="T259" s="1692"/>
      <c r="U259" s="1692"/>
      <c r="V259" s="1692"/>
      <c r="W259" s="1692"/>
      <c r="X259" s="1692"/>
      <c r="Y259" s="1692"/>
      <c r="Z259" s="1694"/>
      <c r="AA259" s="1692"/>
      <c r="AB259" s="1694"/>
      <c r="AC259" s="1694"/>
      <c r="AD259" s="1694"/>
      <c r="AE259" s="1694"/>
      <c r="AF259" s="1694"/>
      <c r="AG259" s="1694"/>
      <c r="AH259" s="1694"/>
      <c r="AI259" s="1694"/>
      <c r="AJ259" s="1694"/>
      <c r="AK259" s="1694"/>
      <c r="AL259" s="836"/>
    </row>
    <row r="260" spans="4:39" ht="18" hidden="1" customHeight="1">
      <c r="D260" s="1698">
        <v>3406</v>
      </c>
      <c r="E260" s="1698" t="s">
        <v>181</v>
      </c>
      <c r="G260" s="1552"/>
      <c r="H260" s="710"/>
      <c r="I260" s="710"/>
      <c r="J260" s="710"/>
      <c r="K260" s="710"/>
      <c r="L260" s="710"/>
      <c r="M260" s="1692"/>
      <c r="N260" s="836"/>
      <c r="O260" s="836"/>
      <c r="P260" s="836"/>
      <c r="Q260" s="836"/>
      <c r="R260" s="836"/>
      <c r="S260" s="836"/>
      <c r="T260" s="836"/>
      <c r="U260" s="836"/>
      <c r="V260" s="1692"/>
      <c r="W260" s="1692"/>
      <c r="X260" s="1692"/>
      <c r="Y260" s="1692"/>
      <c r="Z260" s="1694"/>
      <c r="AA260" s="1692"/>
      <c r="AB260" s="1694"/>
      <c r="AC260" s="1694"/>
      <c r="AD260" s="1694"/>
      <c r="AE260" s="1694"/>
      <c r="AF260" s="1694"/>
      <c r="AG260" s="1694"/>
      <c r="AH260" s="1694"/>
      <c r="AI260" s="1694"/>
      <c r="AJ260" s="1694"/>
      <c r="AK260" s="1694"/>
      <c r="AL260" s="836"/>
    </row>
    <row r="261" spans="4:39" ht="18" hidden="1" customHeight="1">
      <c r="D261" s="1698">
        <v>3408</v>
      </c>
      <c r="E261" s="1698" t="s">
        <v>1917</v>
      </c>
      <c r="G261" s="1552"/>
      <c r="H261" s="710"/>
      <c r="I261" s="710"/>
      <c r="J261" s="710"/>
      <c r="K261" s="710"/>
      <c r="L261" s="710"/>
      <c r="M261" s="1692"/>
      <c r="N261" s="836"/>
      <c r="O261" s="836"/>
      <c r="P261" s="836"/>
      <c r="Q261" s="836"/>
      <c r="R261" s="836"/>
      <c r="S261" s="836"/>
      <c r="T261" s="836"/>
      <c r="U261" s="836"/>
      <c r="V261" s="836"/>
      <c r="W261" s="1692"/>
      <c r="X261" s="836"/>
      <c r="Y261" s="1692"/>
      <c r="Z261" s="1694"/>
      <c r="AA261" s="1692"/>
      <c r="AB261" s="1694"/>
      <c r="AC261" s="1694"/>
      <c r="AD261" s="1694"/>
      <c r="AE261" s="1694"/>
      <c r="AF261" s="1694"/>
      <c r="AG261" s="1694"/>
      <c r="AH261" s="1694"/>
      <c r="AI261" s="1694"/>
      <c r="AJ261" s="1694"/>
      <c r="AK261" s="1694"/>
      <c r="AL261" s="836"/>
      <c r="AM261" s="498"/>
    </row>
    <row r="262" spans="4:39" ht="18" hidden="1" customHeight="1">
      <c r="E262" s="836"/>
      <c r="G262" s="1631"/>
      <c r="H262" s="1631"/>
      <c r="I262" s="1631"/>
      <c r="J262" s="1631"/>
      <c r="K262" s="1631"/>
      <c r="L262" s="1631"/>
      <c r="M262" s="1692"/>
      <c r="N262" s="836"/>
      <c r="O262" s="836"/>
      <c r="P262" s="836"/>
      <c r="Q262" s="836"/>
      <c r="R262" s="836"/>
      <c r="S262" s="836"/>
      <c r="T262" s="836"/>
      <c r="U262" s="836"/>
      <c r="V262" s="836"/>
      <c r="W262" s="1692"/>
      <c r="X262" s="836"/>
      <c r="Y262" s="1692"/>
      <c r="Z262" s="1694"/>
      <c r="AA262" s="1692"/>
      <c r="AB262" s="1694"/>
      <c r="AC262" s="1694"/>
      <c r="AD262" s="1694"/>
      <c r="AE262" s="1694"/>
      <c r="AF262" s="1694"/>
      <c r="AG262" s="1694"/>
      <c r="AH262" s="1694"/>
      <c r="AI262" s="1694"/>
      <c r="AJ262" s="1694"/>
      <c r="AK262" s="1694"/>
      <c r="AL262" s="836"/>
    </row>
    <row r="263" spans="4:39" ht="18" hidden="1" customHeight="1">
      <c r="E263" s="836"/>
      <c r="G263" s="1552"/>
      <c r="H263" s="712"/>
      <c r="I263" s="712"/>
      <c r="J263" s="712"/>
      <c r="K263" s="712"/>
      <c r="L263" s="1631"/>
      <c r="M263" s="1692"/>
      <c r="N263" s="836"/>
      <c r="O263" s="836"/>
      <c r="P263" s="836"/>
      <c r="Q263" s="836"/>
      <c r="R263" s="836"/>
      <c r="S263" s="836"/>
      <c r="T263" s="836"/>
      <c r="U263" s="836"/>
      <c r="V263" s="836"/>
      <c r="W263" s="1692"/>
      <c r="X263" s="836"/>
      <c r="Y263" s="1692"/>
      <c r="Z263" s="1694"/>
      <c r="AA263" s="1692"/>
      <c r="AB263" s="1694"/>
      <c r="AC263" s="1694"/>
      <c r="AD263" s="1694"/>
      <c r="AE263" s="1694"/>
      <c r="AF263" s="1694"/>
      <c r="AG263" s="1694"/>
      <c r="AH263" s="1694"/>
      <c r="AI263" s="1694"/>
      <c r="AJ263" s="1694"/>
      <c r="AK263" s="1694"/>
      <c r="AL263" s="836"/>
    </row>
    <row r="264" spans="4:39" ht="18" hidden="1" customHeight="1">
      <c r="D264" s="1702" t="s">
        <v>2281</v>
      </c>
      <c r="E264" s="1702" t="s">
        <v>2282</v>
      </c>
      <c r="F264" s="1702" t="s">
        <v>2283</v>
      </c>
      <c r="G264" s="1702" t="s">
        <v>2289</v>
      </c>
      <c r="H264" s="712"/>
      <c r="I264" s="712"/>
      <c r="J264" s="712"/>
      <c r="K264" s="712"/>
      <c r="L264" s="1631"/>
      <c r="M264" s="1692"/>
      <c r="N264" s="836"/>
      <c r="O264" s="836"/>
      <c r="P264" s="836"/>
      <c r="Q264" s="836"/>
      <c r="R264" s="836"/>
      <c r="S264" s="836"/>
      <c r="T264" s="836"/>
      <c r="U264" s="836"/>
      <c r="V264" s="836"/>
      <c r="W264" s="1692"/>
      <c r="X264" s="836"/>
      <c r="Y264" s="1692"/>
      <c r="Z264" s="1694"/>
      <c r="AA264" s="1692"/>
      <c r="AB264" s="1694"/>
      <c r="AC264" s="1694"/>
      <c r="AD264" s="1694"/>
      <c r="AE264" s="1694"/>
      <c r="AF264" s="1694"/>
      <c r="AG264" s="1694"/>
      <c r="AH264" s="1694"/>
      <c r="AI264" s="1694"/>
      <c r="AJ264" s="1694"/>
      <c r="AK264" s="1694"/>
      <c r="AL264" s="836"/>
    </row>
    <row r="265" spans="4:39" ht="18" hidden="1" customHeight="1">
      <c r="D265" s="1703" t="s">
        <v>2284</v>
      </c>
      <c r="E265" s="1703" t="s">
        <v>2285</v>
      </c>
      <c r="F265" s="1704" t="s">
        <v>2286</v>
      </c>
      <c r="G265" s="1705">
        <v>-5663506071</v>
      </c>
      <c r="H265" s="1631"/>
      <c r="I265" s="1631"/>
      <c r="J265" s="1631"/>
      <c r="K265" s="1631"/>
      <c r="L265" s="1631"/>
      <c r="M265" s="1692"/>
      <c r="N265" s="836"/>
      <c r="O265" s="836"/>
      <c r="P265" s="836"/>
      <c r="Q265" s="836"/>
      <c r="R265" s="836"/>
      <c r="S265" s="836"/>
      <c r="T265" s="836"/>
      <c r="U265" s="836"/>
      <c r="V265" s="836"/>
      <c r="W265" s="1692"/>
      <c r="X265" s="836"/>
      <c r="Y265" s="1692"/>
      <c r="Z265" s="1694"/>
      <c r="AA265" s="1692"/>
      <c r="AB265" s="1694"/>
      <c r="AC265" s="1694"/>
      <c r="AD265" s="1694"/>
      <c r="AE265" s="1694"/>
      <c r="AF265" s="1694"/>
      <c r="AG265" s="1694"/>
      <c r="AH265" s="1694"/>
      <c r="AI265" s="1694"/>
      <c r="AJ265" s="1694"/>
      <c r="AK265" s="1694"/>
      <c r="AL265" s="836"/>
    </row>
    <row r="266" spans="4:39" ht="18" hidden="1" customHeight="1">
      <c r="D266" s="1704" t="s">
        <v>2287</v>
      </c>
      <c r="E266" s="1704" t="s">
        <v>2288</v>
      </c>
      <c r="F266" s="1703" t="s">
        <v>1874</v>
      </c>
      <c r="G266" s="1706">
        <v>-181012525</v>
      </c>
      <c r="H266" s="923"/>
      <c r="I266" s="923"/>
      <c r="J266" s="923"/>
      <c r="K266" s="923"/>
      <c r="L266" s="923"/>
      <c r="M266" s="1692"/>
      <c r="N266" s="836"/>
      <c r="O266" s="836"/>
      <c r="P266" s="836"/>
      <c r="Q266" s="836"/>
      <c r="R266" s="836"/>
      <c r="S266" s="836"/>
      <c r="T266" s="836"/>
      <c r="U266" s="836"/>
      <c r="V266" s="836"/>
      <c r="W266" s="1692"/>
      <c r="X266" s="836"/>
      <c r="Y266" s="1692"/>
      <c r="Z266" s="1694"/>
      <c r="AA266" s="1692"/>
      <c r="AB266" s="1694"/>
      <c r="AC266" s="1694"/>
      <c r="AD266" s="1694"/>
      <c r="AE266" s="1694"/>
      <c r="AF266" s="1694"/>
      <c r="AG266" s="1694"/>
      <c r="AH266" s="1694"/>
      <c r="AI266" s="1694"/>
      <c r="AJ266" s="1694"/>
      <c r="AK266" s="1694"/>
      <c r="AL266" s="836"/>
    </row>
    <row r="267" spans="4:39" ht="18" customHeight="1">
      <c r="E267" s="836"/>
      <c r="G267" s="1547"/>
      <c r="H267" s="1707"/>
      <c r="I267" s="1551"/>
      <c r="J267" s="1551"/>
      <c r="K267" s="1551"/>
      <c r="L267" s="1551"/>
      <c r="M267" s="1692"/>
      <c r="N267" s="836"/>
      <c r="O267" s="836"/>
      <c r="P267" s="836"/>
      <c r="Q267" s="836"/>
      <c r="R267" s="836"/>
      <c r="S267" s="836"/>
      <c r="T267" s="836"/>
      <c r="U267" s="836"/>
      <c r="V267" s="836"/>
      <c r="W267" s="1692"/>
      <c r="X267" s="836"/>
      <c r="Y267" s="1692"/>
      <c r="Z267" s="1694"/>
      <c r="AA267" s="1692"/>
      <c r="AB267" s="1694"/>
      <c r="AC267" s="1694"/>
      <c r="AD267" s="1694"/>
      <c r="AE267" s="1694"/>
      <c r="AF267" s="1694"/>
      <c r="AG267" s="1694"/>
      <c r="AH267" s="1694"/>
      <c r="AI267" s="1694"/>
      <c r="AJ267" s="1694"/>
      <c r="AK267" s="1694"/>
      <c r="AL267" s="836"/>
    </row>
    <row r="268" spans="4:39" ht="18" customHeight="1">
      <c r="E268" s="836"/>
      <c r="G268" s="1547"/>
      <c r="H268" s="1707"/>
      <c r="I268" s="1707"/>
      <c r="J268" s="1551"/>
      <c r="K268" s="1551"/>
      <c r="L268" s="1551"/>
      <c r="M268" s="1692"/>
      <c r="N268" s="836"/>
      <c r="O268" s="836"/>
      <c r="P268" s="836"/>
      <c r="Q268" s="836"/>
      <c r="R268" s="836"/>
      <c r="S268" s="836"/>
      <c r="T268" s="836"/>
      <c r="U268" s="836"/>
      <c r="V268" s="836"/>
      <c r="W268" s="1692"/>
      <c r="X268" s="836"/>
      <c r="Y268" s="1692"/>
      <c r="Z268" s="1694"/>
      <c r="AA268" s="1692"/>
      <c r="AB268" s="1694"/>
      <c r="AC268" s="1694"/>
      <c r="AD268" s="1694"/>
      <c r="AE268" s="1694"/>
      <c r="AF268" s="1694"/>
      <c r="AG268" s="1694"/>
      <c r="AH268" s="1694"/>
      <c r="AI268" s="1694"/>
      <c r="AJ268" s="1694"/>
      <c r="AK268" s="1694"/>
      <c r="AL268" s="836"/>
    </row>
    <row r="269" spans="4:39" ht="18" customHeight="1">
      <c r="E269" s="836"/>
      <c r="G269" s="836"/>
      <c r="H269" s="836"/>
      <c r="I269" s="836"/>
      <c r="J269" s="836"/>
      <c r="K269" s="836"/>
      <c r="L269" s="836"/>
      <c r="M269" s="1692"/>
      <c r="N269" s="836"/>
      <c r="O269" s="836"/>
      <c r="P269" s="836"/>
      <c r="Q269" s="836"/>
      <c r="R269" s="836"/>
      <c r="S269" s="836"/>
      <c r="T269" s="836"/>
      <c r="U269" s="836"/>
      <c r="V269" s="836"/>
      <c r="W269" s="1692"/>
      <c r="X269" s="836"/>
      <c r="Y269" s="1692"/>
      <c r="Z269" s="1694"/>
      <c r="AA269" s="1692"/>
      <c r="AB269" s="1694"/>
      <c r="AC269" s="1694"/>
      <c r="AD269" s="1694"/>
      <c r="AE269" s="1694"/>
      <c r="AF269" s="1694"/>
      <c r="AG269" s="1694"/>
      <c r="AH269" s="1694"/>
      <c r="AI269" s="1694"/>
      <c r="AJ269" s="1694"/>
      <c r="AK269" s="1694"/>
      <c r="AL269" s="836"/>
    </row>
    <row r="270" spans="4:39" ht="18" customHeight="1">
      <c r="E270" s="836"/>
      <c r="G270" s="836"/>
      <c r="H270" s="836"/>
      <c r="I270" s="836"/>
      <c r="J270" s="836"/>
      <c r="K270" s="836"/>
      <c r="L270" s="836"/>
      <c r="M270" s="1692"/>
      <c r="N270" s="836"/>
      <c r="O270" s="836"/>
      <c r="P270" s="836"/>
      <c r="Q270" s="836"/>
      <c r="R270" s="836"/>
      <c r="S270" s="836"/>
      <c r="T270" s="836"/>
      <c r="U270" s="836"/>
      <c r="V270" s="836"/>
      <c r="W270" s="1692"/>
      <c r="X270" s="836"/>
      <c r="Y270" s="1692"/>
      <c r="Z270" s="1694"/>
      <c r="AA270" s="1692"/>
      <c r="AB270" s="1694"/>
      <c r="AC270" s="1694"/>
      <c r="AD270" s="1694"/>
      <c r="AE270" s="1694"/>
      <c r="AF270" s="1694"/>
      <c r="AG270" s="1694"/>
      <c r="AH270" s="1694"/>
      <c r="AI270" s="1694"/>
      <c r="AJ270" s="1694"/>
      <c r="AK270" s="1694"/>
      <c r="AL270" s="836"/>
    </row>
    <row r="271" spans="4:39" ht="18" customHeight="1">
      <c r="E271" s="836"/>
      <c r="G271" s="836"/>
      <c r="H271" s="836"/>
      <c r="I271" s="836"/>
      <c r="J271" s="836"/>
      <c r="K271" s="836"/>
      <c r="L271" s="836"/>
      <c r="M271" s="1692"/>
      <c r="N271" s="836"/>
      <c r="O271" s="836"/>
      <c r="P271" s="836"/>
      <c r="Q271" s="836"/>
      <c r="R271" s="836"/>
      <c r="S271" s="836"/>
      <c r="T271" s="836"/>
      <c r="U271" s="836"/>
      <c r="V271" s="836"/>
      <c r="W271" s="1692"/>
      <c r="X271" s="836"/>
      <c r="Y271" s="1692"/>
      <c r="Z271" s="1694"/>
      <c r="AA271" s="1692"/>
      <c r="AB271" s="1694"/>
      <c r="AC271" s="1694"/>
      <c r="AD271" s="1694"/>
      <c r="AE271" s="1694"/>
      <c r="AF271" s="1694"/>
      <c r="AG271" s="1694"/>
      <c r="AH271" s="1694"/>
      <c r="AI271" s="1694"/>
      <c r="AJ271" s="1694"/>
      <c r="AK271" s="1694"/>
      <c r="AL271" s="836"/>
    </row>
    <row r="272" spans="4:39" ht="18" customHeight="1">
      <c r="E272" s="836"/>
      <c r="G272" s="836"/>
      <c r="H272" s="836"/>
      <c r="I272" s="836"/>
      <c r="J272" s="836"/>
      <c r="K272" s="836"/>
      <c r="L272" s="836"/>
      <c r="M272" s="1692"/>
      <c r="N272" s="836"/>
      <c r="O272" s="836"/>
      <c r="P272" s="836"/>
      <c r="Q272" s="836"/>
      <c r="R272" s="836"/>
      <c r="S272" s="836"/>
      <c r="T272" s="836"/>
      <c r="U272" s="836"/>
      <c r="V272" s="836"/>
      <c r="W272" s="1692"/>
      <c r="X272" s="836"/>
      <c r="Y272" s="1692"/>
      <c r="Z272" s="1694"/>
      <c r="AA272" s="1692"/>
      <c r="AB272" s="1694"/>
      <c r="AC272" s="1694"/>
      <c r="AD272" s="1694"/>
      <c r="AE272" s="1694"/>
      <c r="AF272" s="1694"/>
      <c r="AG272" s="1694"/>
      <c r="AH272" s="1694"/>
      <c r="AI272" s="1694"/>
      <c r="AJ272" s="1694"/>
      <c r="AK272" s="1694"/>
      <c r="AL272" s="836"/>
    </row>
    <row r="273" spans="5:38" ht="18" customHeight="1">
      <c r="E273" s="836"/>
      <c r="G273" s="836"/>
      <c r="H273" s="836"/>
      <c r="I273" s="836"/>
      <c r="J273" s="836"/>
      <c r="K273" s="836"/>
      <c r="L273" s="836"/>
      <c r="M273" s="1692"/>
      <c r="N273" s="836"/>
      <c r="O273" s="836"/>
      <c r="P273" s="836"/>
      <c r="Q273" s="836"/>
      <c r="R273" s="836"/>
      <c r="S273" s="836"/>
      <c r="T273" s="836"/>
      <c r="U273" s="836"/>
      <c r="V273" s="836"/>
      <c r="W273" s="1692"/>
      <c r="X273" s="836"/>
      <c r="Y273" s="1692"/>
      <c r="Z273" s="1694"/>
      <c r="AA273" s="1692"/>
      <c r="AB273" s="1694"/>
      <c r="AC273" s="1694"/>
      <c r="AD273" s="1694"/>
      <c r="AE273" s="1694"/>
      <c r="AF273" s="1694"/>
      <c r="AG273" s="1694"/>
      <c r="AH273" s="1694"/>
      <c r="AI273" s="1694"/>
      <c r="AJ273" s="1694"/>
      <c r="AK273" s="1694"/>
      <c r="AL273" s="836"/>
    </row>
    <row r="274" spans="5:38" ht="18" customHeight="1">
      <c r="E274" s="836"/>
      <c r="G274" s="836"/>
      <c r="H274" s="836"/>
      <c r="I274" s="836"/>
      <c r="J274" s="836"/>
      <c r="K274" s="836"/>
      <c r="L274" s="836"/>
      <c r="M274" s="1692"/>
      <c r="N274" s="836"/>
      <c r="O274" s="836"/>
      <c r="P274" s="836"/>
      <c r="Q274" s="836"/>
      <c r="R274" s="836"/>
      <c r="S274" s="836"/>
      <c r="T274" s="836"/>
      <c r="U274" s="836"/>
      <c r="V274" s="836"/>
      <c r="W274" s="1692"/>
      <c r="X274" s="836"/>
      <c r="Y274" s="1692"/>
      <c r="Z274" s="1694"/>
      <c r="AA274" s="1692"/>
      <c r="AB274" s="1694"/>
      <c r="AC274" s="1694"/>
      <c r="AD274" s="1694"/>
      <c r="AE274" s="1694"/>
      <c r="AF274" s="1694"/>
      <c r="AG274" s="1694"/>
      <c r="AH274" s="1694"/>
      <c r="AI274" s="1694"/>
      <c r="AJ274" s="1694"/>
      <c r="AK274" s="1694"/>
      <c r="AL274" s="836"/>
    </row>
    <row r="275" spans="5:38" ht="18" customHeight="1">
      <c r="E275" s="836"/>
      <c r="G275" s="836"/>
      <c r="H275" s="836"/>
      <c r="I275" s="836"/>
      <c r="J275" s="836"/>
      <c r="K275" s="836"/>
      <c r="L275" s="836"/>
      <c r="M275" s="1692"/>
      <c r="N275" s="836"/>
      <c r="O275" s="836"/>
      <c r="P275" s="836"/>
      <c r="Q275" s="836"/>
      <c r="R275" s="836"/>
      <c r="S275" s="836"/>
      <c r="T275" s="836"/>
      <c r="U275" s="836"/>
      <c r="V275" s="836"/>
      <c r="W275" s="1692"/>
      <c r="X275" s="836"/>
      <c r="Y275" s="1692"/>
      <c r="Z275" s="1694"/>
      <c r="AA275" s="1692"/>
      <c r="AB275" s="1694"/>
      <c r="AC275" s="1694"/>
      <c r="AD275" s="1694"/>
      <c r="AE275" s="1694"/>
      <c r="AF275" s="1694"/>
      <c r="AG275" s="1694"/>
      <c r="AH275" s="1694"/>
      <c r="AI275" s="1694"/>
      <c r="AJ275" s="1694"/>
      <c r="AK275" s="1694"/>
      <c r="AL275" s="836"/>
    </row>
    <row r="276" spans="5:38" ht="18" customHeight="1">
      <c r="E276" s="836"/>
      <c r="G276" s="836"/>
      <c r="H276" s="836"/>
      <c r="I276" s="836"/>
      <c r="J276" s="836"/>
      <c r="K276" s="836"/>
      <c r="L276" s="836"/>
      <c r="M276" s="1692"/>
      <c r="N276" s="836"/>
      <c r="O276" s="836"/>
      <c r="P276" s="836"/>
      <c r="Q276" s="836"/>
      <c r="R276" s="836"/>
      <c r="S276" s="836"/>
      <c r="T276" s="836"/>
      <c r="U276" s="836"/>
      <c r="V276" s="836"/>
      <c r="W276" s="1692"/>
      <c r="X276" s="836"/>
      <c r="Y276" s="1692"/>
      <c r="Z276" s="1694"/>
      <c r="AA276" s="1692"/>
      <c r="AB276" s="1694"/>
      <c r="AC276" s="1694"/>
      <c r="AD276" s="1694"/>
      <c r="AE276" s="1694"/>
      <c r="AF276" s="1694"/>
      <c r="AG276" s="1694"/>
      <c r="AH276" s="1694"/>
      <c r="AI276" s="1694"/>
      <c r="AJ276" s="1694"/>
      <c r="AK276" s="1694"/>
      <c r="AL276" s="836"/>
    </row>
    <row r="277" spans="5:38" ht="18" customHeight="1">
      <c r="E277" s="836"/>
      <c r="G277" s="836"/>
      <c r="H277" s="836"/>
      <c r="I277" s="836"/>
      <c r="J277" s="836"/>
      <c r="K277" s="836"/>
      <c r="L277" s="836"/>
      <c r="M277" s="1692"/>
      <c r="N277" s="836"/>
      <c r="O277" s="836"/>
      <c r="P277" s="836"/>
      <c r="Q277" s="836"/>
      <c r="R277" s="836"/>
      <c r="S277" s="836"/>
      <c r="T277" s="836"/>
      <c r="U277" s="836"/>
      <c r="V277" s="836"/>
      <c r="W277" s="1692"/>
      <c r="X277" s="836"/>
      <c r="Y277" s="1692"/>
      <c r="Z277" s="1694"/>
      <c r="AA277" s="1692"/>
      <c r="AB277" s="1694"/>
      <c r="AC277" s="1694"/>
      <c r="AD277" s="1694"/>
      <c r="AE277" s="1694"/>
      <c r="AF277" s="1694"/>
      <c r="AG277" s="1694"/>
      <c r="AH277" s="1694"/>
      <c r="AI277" s="1694"/>
      <c r="AJ277" s="1694"/>
      <c r="AK277" s="1694"/>
      <c r="AL277" s="836"/>
    </row>
    <row r="278" spans="5:38" ht="18" customHeight="1">
      <c r="E278" s="836"/>
      <c r="G278" s="836"/>
      <c r="H278" s="836"/>
      <c r="I278" s="836"/>
      <c r="J278" s="836"/>
      <c r="K278" s="836"/>
      <c r="L278" s="836"/>
      <c r="M278" s="1692"/>
      <c r="N278" s="836"/>
      <c r="O278" s="836"/>
      <c r="P278" s="836"/>
      <c r="Q278" s="836"/>
      <c r="R278" s="836"/>
      <c r="S278" s="836"/>
      <c r="T278" s="836"/>
      <c r="U278" s="836"/>
      <c r="V278" s="836"/>
      <c r="W278" s="1692"/>
      <c r="X278" s="836"/>
      <c r="Y278" s="1692"/>
      <c r="Z278" s="1694"/>
      <c r="AA278" s="1692"/>
      <c r="AB278" s="1694"/>
      <c r="AC278" s="1694"/>
      <c r="AD278" s="1694"/>
      <c r="AE278" s="1694"/>
      <c r="AF278" s="1694"/>
      <c r="AG278" s="1694"/>
      <c r="AH278" s="1694"/>
      <c r="AI278" s="1694"/>
      <c r="AJ278" s="1694"/>
      <c r="AK278" s="1694"/>
      <c r="AL278" s="836"/>
    </row>
    <row r="279" spans="5:38" ht="18" customHeight="1">
      <c r="E279" s="836"/>
      <c r="G279" s="836"/>
      <c r="H279" s="836"/>
      <c r="I279" s="836"/>
      <c r="J279" s="836"/>
      <c r="K279" s="836"/>
      <c r="L279" s="836"/>
      <c r="M279" s="1692"/>
      <c r="N279" s="836"/>
      <c r="O279" s="836"/>
      <c r="P279" s="836"/>
      <c r="Q279" s="836"/>
      <c r="R279" s="836"/>
      <c r="S279" s="836"/>
      <c r="T279" s="836"/>
      <c r="U279" s="836"/>
      <c r="V279" s="836"/>
      <c r="W279" s="1692"/>
      <c r="X279" s="836"/>
      <c r="Y279" s="1692"/>
      <c r="Z279" s="1694"/>
      <c r="AA279" s="1692"/>
      <c r="AB279" s="1694"/>
      <c r="AC279" s="1694"/>
      <c r="AD279" s="1694"/>
      <c r="AE279" s="1694"/>
      <c r="AF279" s="1694"/>
      <c r="AG279" s="1694"/>
      <c r="AH279" s="1694"/>
      <c r="AI279" s="1694"/>
      <c r="AJ279" s="1694"/>
      <c r="AK279" s="1694"/>
      <c r="AL279" s="836"/>
    </row>
    <row r="280" spans="5:38" ht="18" customHeight="1">
      <c r="E280" s="836"/>
      <c r="G280" s="836"/>
      <c r="H280" s="836"/>
      <c r="I280" s="836"/>
      <c r="J280" s="836"/>
      <c r="K280" s="836"/>
      <c r="L280" s="836"/>
      <c r="M280" s="1692"/>
      <c r="N280" s="836"/>
      <c r="O280" s="836"/>
      <c r="P280" s="836"/>
      <c r="Q280" s="836"/>
      <c r="R280" s="836"/>
      <c r="S280" s="836"/>
      <c r="T280" s="836"/>
      <c r="U280" s="836"/>
      <c r="V280" s="836"/>
      <c r="W280" s="1692"/>
      <c r="X280" s="836"/>
      <c r="Y280" s="1692"/>
      <c r="Z280" s="1694"/>
      <c r="AA280" s="1692"/>
      <c r="AB280" s="1694"/>
      <c r="AC280" s="1694"/>
      <c r="AD280" s="1694"/>
      <c r="AE280" s="1694"/>
      <c r="AF280" s="1694"/>
      <c r="AG280" s="1694"/>
      <c r="AH280" s="1694"/>
      <c r="AI280" s="1694"/>
      <c r="AJ280" s="1694"/>
      <c r="AK280" s="1694"/>
      <c r="AL280" s="836"/>
    </row>
    <row r="281" spans="5:38" ht="18" customHeight="1">
      <c r="E281" s="836"/>
      <c r="G281" s="836"/>
      <c r="H281" s="836"/>
      <c r="I281" s="836"/>
      <c r="J281" s="836"/>
      <c r="K281" s="836"/>
      <c r="L281" s="836"/>
      <c r="M281" s="1692"/>
      <c r="N281" s="836"/>
      <c r="O281" s="836"/>
      <c r="P281" s="836"/>
      <c r="Q281" s="836"/>
      <c r="R281" s="836"/>
      <c r="S281" s="836"/>
      <c r="T281" s="836"/>
      <c r="U281" s="836"/>
      <c r="V281" s="836"/>
      <c r="W281" s="1692"/>
      <c r="X281" s="836"/>
      <c r="Y281" s="1692"/>
      <c r="Z281" s="1694"/>
      <c r="AA281" s="1692"/>
      <c r="AB281" s="1694"/>
      <c r="AC281" s="1694"/>
      <c r="AD281" s="1694"/>
      <c r="AE281" s="1694"/>
      <c r="AF281" s="1694"/>
      <c r="AG281" s="1694"/>
      <c r="AH281" s="1694"/>
      <c r="AI281" s="1694"/>
      <c r="AJ281" s="1694"/>
      <c r="AK281" s="1694"/>
      <c r="AL281" s="836"/>
    </row>
    <row r="282" spans="5:38" ht="18" customHeight="1">
      <c r="E282" s="836"/>
      <c r="G282" s="836"/>
      <c r="H282" s="836"/>
      <c r="I282" s="836"/>
      <c r="J282" s="836"/>
      <c r="K282" s="836"/>
      <c r="L282" s="836"/>
      <c r="M282" s="1692"/>
      <c r="N282" s="836"/>
      <c r="O282" s="836"/>
      <c r="P282" s="836"/>
      <c r="Q282" s="836"/>
      <c r="R282" s="836"/>
      <c r="S282" s="836"/>
      <c r="T282" s="836"/>
      <c r="U282" s="836"/>
      <c r="V282" s="836"/>
      <c r="W282" s="1692"/>
      <c r="X282" s="836"/>
      <c r="Y282" s="1692"/>
      <c r="Z282" s="1694"/>
      <c r="AA282" s="1692"/>
      <c r="AB282" s="1694"/>
      <c r="AC282" s="1694"/>
      <c r="AD282" s="1694"/>
      <c r="AE282" s="1694"/>
      <c r="AF282" s="1694"/>
      <c r="AG282" s="1694"/>
      <c r="AH282" s="1694"/>
      <c r="AI282" s="1694"/>
      <c r="AJ282" s="1694"/>
      <c r="AK282" s="1694"/>
      <c r="AL282" s="836"/>
    </row>
    <row r="283" spans="5:38" ht="18" customHeight="1">
      <c r="E283" s="836"/>
      <c r="G283" s="836"/>
      <c r="H283" s="836"/>
      <c r="I283" s="836"/>
      <c r="J283" s="836"/>
      <c r="K283" s="836"/>
      <c r="L283" s="836"/>
      <c r="M283" s="1692"/>
      <c r="N283" s="836"/>
      <c r="O283" s="836"/>
      <c r="P283" s="836"/>
      <c r="Q283" s="836"/>
      <c r="R283" s="836"/>
      <c r="S283" s="836"/>
      <c r="T283" s="836"/>
      <c r="U283" s="836"/>
      <c r="V283" s="836"/>
      <c r="W283" s="1692"/>
      <c r="X283" s="836"/>
      <c r="Y283" s="1692"/>
      <c r="Z283" s="1694"/>
      <c r="AA283" s="1692"/>
      <c r="AB283" s="1694"/>
      <c r="AC283" s="1694"/>
      <c r="AD283" s="1694"/>
      <c r="AE283" s="1694"/>
      <c r="AF283" s="1694"/>
      <c r="AG283" s="1694"/>
      <c r="AH283" s="1694"/>
      <c r="AI283" s="1694"/>
      <c r="AJ283" s="1694"/>
      <c r="AK283" s="1694"/>
      <c r="AL283" s="836"/>
    </row>
    <row r="284" spans="5:38" ht="18" customHeight="1">
      <c r="E284" s="836"/>
      <c r="G284" s="836"/>
      <c r="H284" s="836"/>
      <c r="I284" s="836"/>
      <c r="J284" s="836"/>
      <c r="K284" s="836"/>
      <c r="L284" s="836"/>
      <c r="M284" s="1692"/>
      <c r="N284" s="836"/>
      <c r="O284" s="836"/>
      <c r="P284" s="836"/>
      <c r="Q284" s="836"/>
      <c r="R284" s="836"/>
      <c r="S284" s="836"/>
      <c r="T284" s="836"/>
      <c r="U284" s="836"/>
      <c r="V284" s="836"/>
      <c r="W284" s="1692"/>
      <c r="X284" s="836"/>
      <c r="Y284" s="1692"/>
      <c r="Z284" s="1694"/>
      <c r="AA284" s="1692"/>
      <c r="AB284" s="1694"/>
      <c r="AC284" s="1694"/>
      <c r="AD284" s="1694"/>
      <c r="AE284" s="1694"/>
      <c r="AF284" s="1694"/>
      <c r="AG284" s="1694"/>
      <c r="AH284" s="1694"/>
      <c r="AI284" s="1694"/>
      <c r="AJ284" s="1694"/>
      <c r="AK284" s="1694"/>
      <c r="AL284" s="836"/>
    </row>
    <row r="285" spans="5:38" ht="18" customHeight="1">
      <c r="E285" s="836"/>
      <c r="G285" s="836"/>
      <c r="H285" s="836"/>
      <c r="I285" s="836"/>
      <c r="J285" s="836"/>
      <c r="K285" s="836"/>
      <c r="L285" s="836"/>
      <c r="M285" s="1692"/>
      <c r="N285" s="836"/>
      <c r="O285" s="836"/>
      <c r="P285" s="836"/>
      <c r="Q285" s="836"/>
      <c r="R285" s="836"/>
      <c r="S285" s="836"/>
      <c r="T285" s="836"/>
      <c r="U285" s="836"/>
      <c r="V285" s="836"/>
      <c r="W285" s="1692"/>
      <c r="X285" s="836"/>
      <c r="Y285" s="1692"/>
      <c r="Z285" s="1694"/>
      <c r="AA285" s="1692"/>
      <c r="AB285" s="1694"/>
      <c r="AC285" s="1694"/>
      <c r="AD285" s="1694"/>
      <c r="AE285" s="1694"/>
      <c r="AF285" s="1694"/>
      <c r="AG285" s="1694"/>
      <c r="AH285" s="1694"/>
      <c r="AI285" s="1694"/>
      <c r="AJ285" s="1694"/>
      <c r="AK285" s="1694"/>
      <c r="AL285" s="836"/>
    </row>
    <row r="286" spans="5:38" ht="18" customHeight="1">
      <c r="E286" s="836"/>
      <c r="G286" s="836"/>
      <c r="H286" s="836"/>
      <c r="I286" s="836"/>
      <c r="J286" s="836"/>
      <c r="K286" s="836"/>
      <c r="L286" s="836"/>
      <c r="M286" s="1692"/>
      <c r="N286" s="836"/>
      <c r="O286" s="836"/>
      <c r="P286" s="836"/>
      <c r="Q286" s="836"/>
      <c r="R286" s="836"/>
      <c r="S286" s="836"/>
      <c r="T286" s="836"/>
      <c r="U286" s="836"/>
      <c r="V286" s="836"/>
      <c r="W286" s="1692"/>
      <c r="X286" s="836"/>
      <c r="Y286" s="1692"/>
      <c r="Z286" s="1694"/>
      <c r="AA286" s="1692"/>
      <c r="AB286" s="1694"/>
      <c r="AC286" s="1694"/>
      <c r="AD286" s="1694"/>
      <c r="AE286" s="1694"/>
      <c r="AF286" s="1694"/>
      <c r="AG286" s="1694"/>
      <c r="AH286" s="1694"/>
      <c r="AI286" s="1694"/>
      <c r="AJ286" s="1694"/>
      <c r="AK286" s="1694"/>
      <c r="AL286" s="836"/>
    </row>
    <row r="287" spans="5:38" ht="18" customHeight="1">
      <c r="E287" s="836"/>
      <c r="G287" s="836"/>
      <c r="H287" s="836"/>
      <c r="I287" s="836"/>
      <c r="J287" s="836"/>
      <c r="K287" s="836"/>
      <c r="L287" s="836"/>
      <c r="M287" s="1692"/>
      <c r="N287" s="836"/>
      <c r="O287" s="836"/>
      <c r="P287" s="836"/>
      <c r="Q287" s="836"/>
      <c r="R287" s="836"/>
      <c r="S287" s="836"/>
      <c r="T287" s="836"/>
      <c r="U287" s="836"/>
      <c r="V287" s="836"/>
      <c r="W287" s="1692"/>
      <c r="X287" s="836"/>
      <c r="Y287" s="1692"/>
      <c r="Z287" s="1694"/>
      <c r="AA287" s="1692"/>
      <c r="AB287" s="1694"/>
      <c r="AC287" s="1694"/>
      <c r="AD287" s="1694"/>
      <c r="AE287" s="1694"/>
      <c r="AF287" s="1694"/>
      <c r="AG287" s="1694"/>
      <c r="AH287" s="1694"/>
      <c r="AI287" s="1694"/>
      <c r="AJ287" s="1694"/>
      <c r="AK287" s="1694"/>
      <c r="AL287" s="836"/>
    </row>
    <row r="288" spans="5:38" ht="18" customHeight="1">
      <c r="E288" s="836"/>
      <c r="G288" s="836"/>
      <c r="H288" s="836"/>
      <c r="I288" s="836"/>
      <c r="J288" s="836"/>
      <c r="K288" s="836"/>
      <c r="L288" s="836"/>
      <c r="M288" s="1692"/>
      <c r="N288" s="836"/>
      <c r="O288" s="836"/>
      <c r="P288" s="836"/>
      <c r="Q288" s="836"/>
      <c r="R288" s="836"/>
      <c r="S288" s="836"/>
      <c r="T288" s="836"/>
      <c r="U288" s="836"/>
      <c r="V288" s="836"/>
      <c r="W288" s="1692"/>
      <c r="X288" s="836"/>
      <c r="Y288" s="1692"/>
      <c r="Z288" s="1694"/>
      <c r="AA288" s="1692"/>
      <c r="AB288" s="1694"/>
      <c r="AC288" s="1694"/>
      <c r="AD288" s="1694"/>
      <c r="AE288" s="1694"/>
      <c r="AF288" s="1694"/>
      <c r="AG288" s="1694"/>
      <c r="AH288" s="1694"/>
      <c r="AI288" s="1694"/>
      <c r="AJ288" s="1694"/>
      <c r="AK288" s="1694"/>
      <c r="AL288" s="836"/>
    </row>
    <row r="289" spans="5:38" ht="18" customHeight="1">
      <c r="E289" s="836"/>
      <c r="G289" s="836"/>
      <c r="H289" s="836"/>
      <c r="I289" s="836"/>
      <c r="J289" s="836"/>
      <c r="K289" s="836"/>
      <c r="L289" s="836"/>
      <c r="M289" s="1692"/>
      <c r="N289" s="836"/>
      <c r="O289" s="836"/>
      <c r="P289" s="836"/>
      <c r="Q289" s="836"/>
      <c r="R289" s="836"/>
      <c r="S289" s="836"/>
      <c r="T289" s="836"/>
      <c r="U289" s="836"/>
      <c r="V289" s="836"/>
      <c r="W289" s="1692"/>
      <c r="X289" s="836"/>
      <c r="Y289" s="1692"/>
      <c r="Z289" s="1694"/>
      <c r="AA289" s="1692"/>
      <c r="AB289" s="1694"/>
      <c r="AC289" s="1694"/>
      <c r="AD289" s="1694"/>
      <c r="AE289" s="1694"/>
      <c r="AF289" s="1694"/>
      <c r="AG289" s="1694"/>
      <c r="AH289" s="1694"/>
      <c r="AI289" s="1694"/>
      <c r="AJ289" s="1694"/>
      <c r="AK289" s="1694"/>
      <c r="AL289" s="836"/>
    </row>
    <row r="290" spans="5:38" ht="18" customHeight="1">
      <c r="E290" s="836"/>
      <c r="G290" s="836"/>
      <c r="H290" s="836"/>
      <c r="I290" s="836"/>
      <c r="J290" s="836"/>
      <c r="K290" s="836"/>
      <c r="L290" s="836"/>
      <c r="M290" s="1692"/>
      <c r="N290" s="836"/>
      <c r="O290" s="836"/>
      <c r="P290" s="836"/>
      <c r="Q290" s="836"/>
      <c r="R290" s="836"/>
      <c r="S290" s="836"/>
      <c r="T290" s="836"/>
      <c r="U290" s="836"/>
      <c r="V290" s="836"/>
      <c r="W290" s="1692"/>
      <c r="X290" s="836"/>
      <c r="Y290" s="1692"/>
      <c r="Z290" s="1694"/>
      <c r="AA290" s="1692"/>
      <c r="AB290" s="1694"/>
      <c r="AC290" s="1694"/>
      <c r="AD290" s="1694"/>
      <c r="AE290" s="1694"/>
      <c r="AF290" s="1694"/>
      <c r="AG290" s="1694"/>
      <c r="AH290" s="1694"/>
      <c r="AI290" s="1694"/>
      <c r="AJ290" s="1694"/>
      <c r="AK290" s="1694"/>
      <c r="AL290" s="836"/>
    </row>
    <row r="291" spans="5:38" ht="18" customHeight="1">
      <c r="E291" s="836"/>
      <c r="G291" s="836"/>
      <c r="H291" s="836"/>
      <c r="I291" s="836"/>
      <c r="J291" s="836"/>
      <c r="K291" s="836"/>
      <c r="L291" s="836"/>
      <c r="M291" s="1692"/>
      <c r="N291" s="836"/>
      <c r="O291" s="836"/>
      <c r="P291" s="836"/>
      <c r="Q291" s="836"/>
      <c r="R291" s="836"/>
      <c r="S291" s="836"/>
      <c r="T291" s="836"/>
      <c r="U291" s="836"/>
      <c r="V291" s="836"/>
      <c r="W291" s="1692"/>
      <c r="X291" s="836"/>
      <c r="Y291" s="1692"/>
      <c r="Z291" s="1694"/>
      <c r="AA291" s="1692"/>
      <c r="AB291" s="1694"/>
      <c r="AC291" s="1694"/>
      <c r="AD291" s="1694"/>
      <c r="AE291" s="1694"/>
      <c r="AF291" s="1694"/>
      <c r="AG291" s="1694"/>
      <c r="AH291" s="1694"/>
      <c r="AI291" s="1694"/>
      <c r="AJ291" s="1694"/>
      <c r="AK291" s="1694"/>
      <c r="AL291" s="836"/>
    </row>
    <row r="292" spans="5:38" ht="18" customHeight="1">
      <c r="E292" s="836"/>
      <c r="G292" s="836"/>
      <c r="H292" s="836"/>
      <c r="I292" s="836"/>
      <c r="J292" s="836"/>
      <c r="K292" s="836"/>
      <c r="L292" s="836"/>
      <c r="M292" s="1692"/>
      <c r="N292" s="836"/>
      <c r="O292" s="836"/>
      <c r="P292" s="836"/>
      <c r="Q292" s="836"/>
      <c r="R292" s="836"/>
      <c r="S292" s="836"/>
      <c r="T292" s="836"/>
      <c r="U292" s="836"/>
      <c r="V292" s="836"/>
      <c r="W292" s="1692"/>
      <c r="X292" s="836"/>
      <c r="Y292" s="1692"/>
      <c r="Z292" s="1694"/>
      <c r="AA292" s="1692"/>
      <c r="AB292" s="1694"/>
      <c r="AC292" s="1694"/>
      <c r="AD292" s="1694"/>
      <c r="AE292" s="1694"/>
      <c r="AF292" s="1694"/>
      <c r="AG292" s="1694"/>
      <c r="AH292" s="1694"/>
      <c r="AI292" s="1694"/>
      <c r="AJ292" s="1694"/>
      <c r="AK292" s="1694"/>
      <c r="AL292" s="836"/>
    </row>
    <row r="293" spans="5:38" ht="18" customHeight="1">
      <c r="E293" s="836"/>
      <c r="G293" s="836"/>
      <c r="H293" s="836"/>
      <c r="I293" s="836"/>
      <c r="J293" s="836"/>
      <c r="K293" s="836"/>
      <c r="L293" s="836"/>
      <c r="M293" s="1692"/>
      <c r="N293" s="836"/>
      <c r="O293" s="836"/>
      <c r="P293" s="836"/>
      <c r="Q293" s="836"/>
      <c r="R293" s="836"/>
      <c r="S293" s="836"/>
      <c r="T293" s="836"/>
      <c r="U293" s="836"/>
      <c r="V293" s="836"/>
      <c r="W293" s="1692"/>
      <c r="X293" s="836"/>
      <c r="Y293" s="1692"/>
      <c r="Z293" s="1694"/>
      <c r="AA293" s="1692"/>
      <c r="AB293" s="1694"/>
      <c r="AC293" s="1694"/>
      <c r="AD293" s="1694"/>
      <c r="AE293" s="1694"/>
      <c r="AF293" s="1694"/>
      <c r="AG293" s="1694"/>
      <c r="AH293" s="1694"/>
      <c r="AI293" s="1694"/>
      <c r="AJ293" s="1694"/>
      <c r="AK293" s="1694"/>
      <c r="AL293" s="836"/>
    </row>
    <row r="294" spans="5:38" ht="18" customHeight="1">
      <c r="E294" s="836"/>
      <c r="G294" s="836"/>
      <c r="H294" s="836"/>
      <c r="I294" s="836"/>
      <c r="J294" s="836"/>
      <c r="K294" s="836"/>
      <c r="L294" s="836"/>
      <c r="M294" s="1692"/>
      <c r="N294" s="836"/>
      <c r="O294" s="836"/>
      <c r="P294" s="836"/>
      <c r="Q294" s="836"/>
      <c r="R294" s="836"/>
      <c r="S294" s="836"/>
      <c r="T294" s="836"/>
      <c r="U294" s="836"/>
      <c r="V294" s="836"/>
      <c r="W294" s="1692"/>
      <c r="X294" s="836"/>
      <c r="Y294" s="1692"/>
      <c r="Z294" s="1694"/>
      <c r="AA294" s="1692"/>
      <c r="AB294" s="1694"/>
      <c r="AC294" s="1694"/>
      <c r="AD294" s="1694"/>
      <c r="AE294" s="1694"/>
      <c r="AF294" s="1694"/>
      <c r="AG294" s="1694"/>
      <c r="AH294" s="1694"/>
      <c r="AI294" s="1694"/>
      <c r="AJ294" s="1694"/>
      <c r="AK294" s="1694"/>
      <c r="AL294" s="836"/>
    </row>
    <row r="295" spans="5:38" ht="18" customHeight="1">
      <c r="E295" s="836"/>
      <c r="G295" s="836"/>
      <c r="H295" s="836"/>
      <c r="I295" s="836"/>
      <c r="J295" s="836"/>
      <c r="K295" s="836"/>
      <c r="L295" s="836"/>
      <c r="M295" s="1692"/>
      <c r="N295" s="836"/>
      <c r="O295" s="836"/>
      <c r="P295" s="836"/>
      <c r="Q295" s="836"/>
      <c r="R295" s="836"/>
      <c r="S295" s="836"/>
      <c r="T295" s="836"/>
      <c r="U295" s="836"/>
      <c r="V295" s="836"/>
      <c r="W295" s="1692"/>
      <c r="X295" s="836"/>
      <c r="Y295" s="1692"/>
      <c r="Z295" s="1694"/>
      <c r="AA295" s="1692"/>
      <c r="AB295" s="1694"/>
      <c r="AC295" s="1694"/>
      <c r="AD295" s="1694"/>
      <c r="AE295" s="1694"/>
      <c r="AF295" s="1694"/>
      <c r="AG295" s="1694"/>
      <c r="AH295" s="1694"/>
      <c r="AI295" s="1694"/>
      <c r="AJ295" s="1694"/>
      <c r="AK295" s="1694"/>
      <c r="AL295" s="836"/>
    </row>
    <row r="296" spans="5:38" ht="18" customHeight="1">
      <c r="E296" s="836"/>
      <c r="G296" s="836"/>
      <c r="H296" s="836"/>
      <c r="I296" s="836"/>
      <c r="J296" s="836"/>
      <c r="K296" s="836"/>
      <c r="L296" s="836"/>
      <c r="M296" s="1692"/>
      <c r="N296" s="836"/>
      <c r="O296" s="836"/>
      <c r="P296" s="836"/>
      <c r="Q296" s="836"/>
      <c r="R296" s="836"/>
      <c r="S296" s="836"/>
      <c r="T296" s="836"/>
      <c r="U296" s="836"/>
      <c r="V296" s="836"/>
      <c r="W296" s="1692"/>
      <c r="X296" s="836"/>
      <c r="Y296" s="1692"/>
      <c r="Z296" s="1694"/>
      <c r="AA296" s="1692"/>
      <c r="AB296" s="1694"/>
      <c r="AC296" s="1694"/>
      <c r="AD296" s="1694"/>
      <c r="AE296" s="1694"/>
      <c r="AF296" s="1694"/>
      <c r="AG296" s="1694"/>
      <c r="AH296" s="1694"/>
      <c r="AI296" s="1694"/>
      <c r="AJ296" s="1694"/>
      <c r="AK296" s="1694"/>
      <c r="AL296" s="836"/>
    </row>
    <row r="297" spans="5:38" ht="18" customHeight="1">
      <c r="E297" s="836"/>
      <c r="G297" s="836"/>
      <c r="H297" s="836"/>
      <c r="I297" s="836"/>
      <c r="J297" s="836"/>
      <c r="K297" s="836"/>
      <c r="L297" s="836"/>
      <c r="M297" s="1692"/>
      <c r="N297" s="836"/>
      <c r="O297" s="836"/>
      <c r="P297" s="836"/>
      <c r="Q297" s="836"/>
      <c r="R297" s="836"/>
      <c r="S297" s="836"/>
      <c r="T297" s="836"/>
      <c r="U297" s="836"/>
      <c r="V297" s="836"/>
      <c r="W297" s="1692"/>
      <c r="X297" s="836"/>
      <c r="Y297" s="1692"/>
      <c r="Z297" s="1694"/>
      <c r="AA297" s="1692"/>
      <c r="AB297" s="1694"/>
      <c r="AC297" s="1694"/>
      <c r="AD297" s="1694"/>
      <c r="AE297" s="1694"/>
      <c r="AF297" s="1694"/>
      <c r="AG297" s="1694"/>
      <c r="AH297" s="1694"/>
      <c r="AI297" s="1694"/>
      <c r="AJ297" s="1694"/>
      <c r="AK297" s="1694"/>
      <c r="AL297" s="836"/>
    </row>
    <row r="298" spans="5:38" ht="18" customHeight="1">
      <c r="E298" s="836"/>
      <c r="G298" s="836"/>
      <c r="H298" s="836"/>
      <c r="I298" s="836"/>
      <c r="J298" s="836"/>
      <c r="K298" s="836"/>
      <c r="L298" s="836"/>
      <c r="M298" s="1692"/>
      <c r="N298" s="836"/>
      <c r="O298" s="836"/>
      <c r="P298" s="836"/>
      <c r="Q298" s="836"/>
      <c r="R298" s="836"/>
      <c r="S298" s="836"/>
      <c r="T298" s="836"/>
      <c r="U298" s="836"/>
      <c r="V298" s="836"/>
      <c r="W298" s="1692"/>
      <c r="X298" s="836"/>
      <c r="Y298" s="1692"/>
      <c r="Z298" s="1694"/>
      <c r="AA298" s="1692"/>
      <c r="AB298" s="1694"/>
      <c r="AC298" s="1694"/>
      <c r="AD298" s="1694"/>
      <c r="AE298" s="1694"/>
      <c r="AF298" s="1694"/>
      <c r="AG298" s="1694"/>
      <c r="AH298" s="1694"/>
      <c r="AI298" s="1694"/>
      <c r="AJ298" s="1694"/>
      <c r="AK298" s="1694"/>
      <c r="AL298" s="836"/>
    </row>
    <row r="299" spans="5:38" ht="18" customHeight="1">
      <c r="E299" s="836"/>
      <c r="G299" s="836"/>
      <c r="H299" s="836"/>
      <c r="I299" s="836"/>
      <c r="J299" s="836"/>
      <c r="K299" s="836"/>
      <c r="L299" s="836"/>
      <c r="M299" s="1692"/>
      <c r="N299" s="836"/>
      <c r="O299" s="836"/>
      <c r="P299" s="836"/>
      <c r="Q299" s="836"/>
      <c r="R299" s="836"/>
      <c r="S299" s="836"/>
      <c r="T299" s="836"/>
      <c r="U299" s="836"/>
      <c r="V299" s="836"/>
      <c r="W299" s="1692"/>
      <c r="X299" s="836"/>
      <c r="Y299" s="1692"/>
      <c r="Z299" s="1694"/>
      <c r="AA299" s="1692"/>
      <c r="AB299" s="1694"/>
      <c r="AC299" s="1694"/>
      <c r="AD299" s="1694"/>
      <c r="AE299" s="1694"/>
      <c r="AF299" s="1694"/>
      <c r="AG299" s="1694"/>
      <c r="AH299" s="1694"/>
      <c r="AI299" s="1694"/>
      <c r="AJ299" s="1694"/>
      <c r="AK299" s="1694"/>
      <c r="AL299" s="836"/>
    </row>
    <row r="300" spans="5:38" ht="18" customHeight="1">
      <c r="E300" s="836"/>
      <c r="G300" s="836"/>
      <c r="H300" s="836"/>
      <c r="I300" s="836"/>
      <c r="J300" s="836"/>
      <c r="K300" s="836"/>
      <c r="L300" s="836"/>
      <c r="M300" s="1692"/>
      <c r="N300" s="836"/>
      <c r="O300" s="836"/>
      <c r="P300" s="836"/>
      <c r="Q300" s="836"/>
      <c r="R300" s="836"/>
      <c r="S300" s="836"/>
      <c r="T300" s="836"/>
      <c r="U300" s="836"/>
      <c r="V300" s="836"/>
      <c r="W300" s="1692"/>
      <c r="X300" s="836"/>
      <c r="Y300" s="1692"/>
      <c r="Z300" s="1694"/>
      <c r="AA300" s="1692"/>
      <c r="AB300" s="1694"/>
      <c r="AC300" s="1694"/>
      <c r="AD300" s="1694"/>
      <c r="AE300" s="1694"/>
      <c r="AF300" s="1694"/>
      <c r="AG300" s="1694"/>
      <c r="AH300" s="1694"/>
      <c r="AI300" s="1694"/>
      <c r="AJ300" s="1694"/>
      <c r="AK300" s="1694"/>
      <c r="AL300" s="836"/>
    </row>
    <row r="301" spans="5:38" ht="18" customHeight="1">
      <c r="E301" s="836"/>
      <c r="G301" s="836"/>
      <c r="H301" s="836"/>
      <c r="I301" s="836"/>
      <c r="J301" s="836"/>
      <c r="K301" s="836"/>
      <c r="L301" s="836"/>
      <c r="M301" s="1692"/>
      <c r="N301" s="836"/>
      <c r="O301" s="836"/>
      <c r="P301" s="836"/>
      <c r="Q301" s="836"/>
      <c r="R301" s="836"/>
      <c r="S301" s="836"/>
      <c r="T301" s="836"/>
      <c r="U301" s="836"/>
      <c r="V301" s="836"/>
      <c r="W301" s="1692"/>
      <c r="X301" s="836"/>
      <c r="Y301" s="1692"/>
      <c r="Z301" s="1694"/>
      <c r="AA301" s="1692"/>
      <c r="AB301" s="1694"/>
      <c r="AC301" s="1694"/>
      <c r="AD301" s="1694"/>
      <c r="AE301" s="1694"/>
      <c r="AF301" s="1694"/>
      <c r="AG301" s="1694"/>
      <c r="AH301" s="1694"/>
      <c r="AI301" s="1694"/>
      <c r="AJ301" s="1694"/>
      <c r="AK301" s="1694"/>
      <c r="AL301" s="836"/>
    </row>
    <row r="302" spans="5:38" ht="18" customHeight="1">
      <c r="E302" s="836"/>
      <c r="G302" s="836"/>
      <c r="H302" s="836"/>
      <c r="I302" s="836"/>
      <c r="J302" s="836"/>
      <c r="K302" s="836"/>
      <c r="L302" s="836"/>
      <c r="M302" s="1692"/>
      <c r="N302" s="836"/>
      <c r="O302" s="836"/>
      <c r="P302" s="836"/>
      <c r="Q302" s="836"/>
      <c r="R302" s="836"/>
      <c r="S302" s="836"/>
      <c r="T302" s="836"/>
      <c r="U302" s="836"/>
      <c r="V302" s="836"/>
      <c r="W302" s="1692"/>
      <c r="X302" s="836"/>
      <c r="Y302" s="1692"/>
      <c r="Z302" s="1694"/>
      <c r="AA302" s="1692"/>
      <c r="AB302" s="1694"/>
      <c r="AC302" s="1694"/>
      <c r="AD302" s="1694"/>
      <c r="AE302" s="1694"/>
      <c r="AF302" s="1694"/>
      <c r="AG302" s="1694"/>
      <c r="AH302" s="1694"/>
      <c r="AI302" s="1694"/>
      <c r="AJ302" s="1694"/>
      <c r="AK302" s="1694"/>
      <c r="AL302" s="836"/>
    </row>
    <row r="303" spans="5:38" ht="18" customHeight="1">
      <c r="E303" s="836"/>
      <c r="G303" s="836"/>
      <c r="H303" s="836"/>
      <c r="I303" s="836"/>
      <c r="J303" s="836"/>
      <c r="K303" s="836"/>
      <c r="L303" s="836"/>
      <c r="M303" s="1692"/>
      <c r="N303" s="836"/>
      <c r="O303" s="836"/>
      <c r="P303" s="836"/>
      <c r="Q303" s="836"/>
      <c r="R303" s="836"/>
      <c r="S303" s="836"/>
      <c r="T303" s="836"/>
      <c r="U303" s="836"/>
      <c r="V303" s="836"/>
      <c r="W303" s="1692"/>
      <c r="X303" s="836"/>
      <c r="Y303" s="1692"/>
      <c r="Z303" s="1694"/>
      <c r="AA303" s="1692"/>
      <c r="AB303" s="1694"/>
      <c r="AC303" s="1694"/>
      <c r="AD303" s="1694"/>
      <c r="AE303" s="1694"/>
      <c r="AF303" s="1694"/>
      <c r="AG303" s="1694"/>
      <c r="AH303" s="1694"/>
      <c r="AI303" s="1694"/>
      <c r="AJ303" s="1694"/>
      <c r="AK303" s="1694"/>
      <c r="AL303" s="836"/>
    </row>
    <row r="304" spans="5:38" ht="18" customHeight="1">
      <c r="E304" s="836"/>
      <c r="G304" s="836"/>
      <c r="H304" s="836"/>
      <c r="I304" s="836"/>
      <c r="J304" s="836"/>
      <c r="K304" s="836"/>
      <c r="L304" s="836"/>
      <c r="M304" s="1692"/>
      <c r="N304" s="836"/>
      <c r="O304" s="836"/>
      <c r="P304" s="836"/>
      <c r="Q304" s="836"/>
      <c r="R304" s="836"/>
      <c r="S304" s="836"/>
      <c r="T304" s="836"/>
      <c r="U304" s="836"/>
      <c r="V304" s="836"/>
      <c r="W304" s="1692"/>
      <c r="X304" s="836"/>
      <c r="Y304" s="1692"/>
      <c r="Z304" s="1694"/>
      <c r="AA304" s="1692"/>
      <c r="AB304" s="1694"/>
      <c r="AC304" s="1694"/>
      <c r="AD304" s="1694"/>
      <c r="AE304" s="1694"/>
      <c r="AF304" s="1694"/>
      <c r="AG304" s="1694"/>
      <c r="AH304" s="1694"/>
      <c r="AI304" s="1694"/>
      <c r="AJ304" s="1694"/>
      <c r="AK304" s="1694"/>
      <c r="AL304" s="836"/>
    </row>
    <row r="305" spans="5:38" ht="18" customHeight="1">
      <c r="E305" s="836"/>
      <c r="G305" s="836"/>
      <c r="H305" s="836"/>
      <c r="I305" s="836"/>
      <c r="J305" s="836"/>
      <c r="K305" s="836"/>
      <c r="L305" s="836"/>
      <c r="M305" s="1692"/>
      <c r="N305" s="836"/>
      <c r="O305" s="836"/>
      <c r="P305" s="836"/>
      <c r="Q305" s="836"/>
      <c r="R305" s="836"/>
      <c r="S305" s="836"/>
      <c r="T305" s="836"/>
      <c r="U305" s="836"/>
      <c r="V305" s="836"/>
      <c r="W305" s="1692"/>
      <c r="X305" s="836"/>
      <c r="Y305" s="1692"/>
      <c r="Z305" s="1694"/>
      <c r="AA305" s="1692"/>
      <c r="AB305" s="1694"/>
      <c r="AC305" s="1694"/>
      <c r="AD305" s="1694"/>
      <c r="AE305" s="1694"/>
      <c r="AF305" s="1694"/>
      <c r="AG305" s="1694"/>
      <c r="AH305" s="1694"/>
      <c r="AI305" s="1694"/>
      <c r="AJ305" s="1694"/>
      <c r="AK305" s="1694"/>
      <c r="AL305" s="836"/>
    </row>
    <row r="306" spans="5:38" ht="18" customHeight="1">
      <c r="E306" s="836"/>
      <c r="G306" s="836"/>
      <c r="H306" s="836"/>
      <c r="I306" s="836"/>
      <c r="J306" s="836"/>
      <c r="K306" s="836"/>
      <c r="L306" s="836"/>
      <c r="M306" s="1692"/>
      <c r="N306" s="836"/>
      <c r="O306" s="836"/>
      <c r="P306" s="836"/>
      <c r="Q306" s="836"/>
      <c r="R306" s="836"/>
      <c r="S306" s="836"/>
      <c r="T306" s="836"/>
      <c r="U306" s="836"/>
      <c r="V306" s="836"/>
      <c r="W306" s="1692"/>
      <c r="X306" s="836"/>
      <c r="Y306" s="1692"/>
      <c r="Z306" s="1694"/>
      <c r="AA306" s="1692"/>
      <c r="AB306" s="1694"/>
      <c r="AC306" s="1694"/>
      <c r="AD306" s="1694"/>
      <c r="AE306" s="1694"/>
      <c r="AF306" s="1694"/>
      <c r="AG306" s="1694"/>
      <c r="AH306" s="1694"/>
      <c r="AI306" s="1694"/>
      <c r="AJ306" s="1694"/>
      <c r="AK306" s="1694"/>
      <c r="AL306" s="836"/>
    </row>
  </sheetData>
  <autoFilter ref="D5:AL253"/>
  <phoneticPr fontId="21" type="noConversion"/>
  <pageMargins left="0.7" right="0.7" top="0.75" bottom="0.75" header="0.3" footer="0.3"/>
  <pageSetup orientation="portrait" r:id="rId1"/>
  <ignoredErrors>
    <ignoredError sqref="G228:G230 G222:G226 D265:F268 D71:D75 F76:F83 D92:F98 D105:D135 D169 D188:E195 F207 D222:F223 D228:F230 D9:F22 D231:F241 D227 D208:F221 D207:E207 D196:F206 F188:F195 D170:F187 E169:F169 D136:F145 E105:F135 D99:F104 D84:F84 D76:E83 E71:F75 D147:F168 D146:E146 D243:F251 D242:E242 D225:D226 D224 F224 F227 F225:F226 D35:F70 D23:D34 F23:F34 D87:F91 D85:E85 D86:E86" numberStoredAsText="1"/>
    <ignoredError sqref="V52:X60 V13:Y24 N38:X45 N208:X215 L247:L251 L253:L254 L237:L245 L211:L212 L209 L39:L41 L233:L235 I236:L236 I42:L42 I210:L210 I15:L15 I38:L38 I52:L52 I213:L214 I217:L217 I246:L246 L8:L14 I57:L57 I74:L75 I84:L84 I90:L90 I94:L94 L119 I144:L144 I147:L149 I171:L171 I179:L179 I208:L208 I219:L219 I221:L221 I223:L223 I228:L230 I232:L232 L16:L37 L43:L51 L53:L56 L58:L73 L76:L83 L85:L89 L91:L93 L95:L118 L120:L143 L145:L146 L150:L170 L172:L178 L180:L207 L215:L216 L218 L220 L222 L224:L227 K13 L231 U226:X231 I6:I7 K6:L7 M208:M215 M38:M45 V84:X84 U224:U225 V224:X225 V217:X217 V90:X97 W221:X223 W218:X220 V218:V220 V221:V223 U221:U223 N218:U220 N221:T223 Z13:Z22 U250:X258 U232:U249 V232:X249 Y232:Z249" formula="1"/>
    <ignoredError sqref="H8 H13 J8" formulaRange="1"/>
    <ignoredError sqref="I8 I13:J13 K8" formula="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133"/>
  <sheetViews>
    <sheetView showGridLines="0" zoomScale="80" zoomScaleNormal="80" workbookViewId="0">
      <pane xSplit="7" ySplit="5" topLeftCell="U21" activePane="bottomRight" state="frozen"/>
      <selection activeCell="H6" sqref="H6"/>
      <selection pane="topRight" activeCell="H6" sqref="H6"/>
      <selection pane="bottomLeft" activeCell="H6" sqref="H6"/>
      <selection pane="bottomRight" activeCell="T51" sqref="T51"/>
    </sheetView>
  </sheetViews>
  <sheetFormatPr defaultColWidth="8.75" defaultRowHeight="18" customHeight="1" outlineLevelCol="1"/>
  <cols>
    <col min="1" max="1" width="13.875" style="3" bestFit="1" customWidth="1"/>
    <col min="2" max="2" width="6.125" style="3" bestFit="1" customWidth="1"/>
    <col min="3" max="3" width="2.375" style="3" customWidth="1"/>
    <col min="4" max="5" width="15.625" style="3" customWidth="1"/>
    <col min="6" max="6" width="15.625" style="23" customWidth="1"/>
    <col min="7" max="7" width="32.625" style="3" bestFit="1" customWidth="1"/>
    <col min="8" max="11" width="20.375" style="3" customWidth="1" outlineLevel="1"/>
    <col min="12" max="12" width="20.375" style="3" customWidth="1"/>
    <col min="13" max="13" width="2.75" style="3" customWidth="1"/>
    <col min="14" max="21" width="20.375" style="3" customWidth="1" outlineLevel="1"/>
    <col min="22" max="22" width="20.375" style="3" customWidth="1"/>
    <col min="23" max="23" width="2.375" style="3" customWidth="1"/>
    <col min="24" max="24" width="20.375" style="3" customWidth="1"/>
    <col min="25" max="25" width="2.375" style="3" customWidth="1"/>
    <col min="26" max="28" width="17.625" style="373" customWidth="1"/>
    <col min="29" max="30" width="17.625" style="3" customWidth="1"/>
    <col min="31" max="32" width="17.625" style="373" customWidth="1"/>
    <col min="33" max="16384" width="8.75" style="3"/>
  </cols>
  <sheetData>
    <row r="1" spans="1:32" ht="18" customHeight="1">
      <c r="H1" s="5"/>
      <c r="I1" s="5"/>
      <c r="L1" s="373"/>
      <c r="X1" s="5"/>
    </row>
    <row r="2" spans="1:32" ht="18" customHeight="1">
      <c r="H2" s="5"/>
      <c r="I2" s="5"/>
      <c r="K2" s="5"/>
      <c r="L2" s="5"/>
    </row>
    <row r="3" spans="1:32" s="23" customFormat="1" ht="18" customHeight="1">
      <c r="H3" s="475" t="s">
        <v>2371</v>
      </c>
      <c r="I3" s="475" t="s">
        <v>2371</v>
      </c>
      <c r="J3" s="475" t="s">
        <v>2371</v>
      </c>
      <c r="K3" s="475" t="s">
        <v>2372</v>
      </c>
      <c r="L3" s="476"/>
      <c r="V3" s="202"/>
      <c r="X3" s="346" t="s">
        <v>538</v>
      </c>
      <c r="Z3" s="374"/>
      <c r="AA3" s="374"/>
      <c r="AB3" s="374"/>
      <c r="AD3" s="202"/>
      <c r="AE3" s="374"/>
      <c r="AF3" s="374"/>
    </row>
    <row r="4" spans="1:32" s="346" customFormat="1" ht="18" customHeight="1" thickBot="1">
      <c r="H4" s="475" t="s">
        <v>2373</v>
      </c>
      <c r="I4" s="475" t="s">
        <v>2373</v>
      </c>
      <c r="J4" s="475" t="s">
        <v>2373</v>
      </c>
      <c r="K4" s="475" t="s">
        <v>2373</v>
      </c>
      <c r="R4" s="335"/>
      <c r="X4" s="346" t="s">
        <v>2374</v>
      </c>
      <c r="Z4" s="375"/>
      <c r="AA4" s="375"/>
      <c r="AB4" s="375"/>
      <c r="AE4" s="375"/>
      <c r="AF4" s="375"/>
    </row>
    <row r="5" spans="1:32" s="477" customFormat="1" ht="26.1" customHeight="1">
      <c r="D5" s="9" t="s">
        <v>16</v>
      </c>
      <c r="E5" s="10" t="s">
        <v>17</v>
      </c>
      <c r="F5" s="10" t="s">
        <v>18</v>
      </c>
      <c r="G5" s="10" t="s">
        <v>19</v>
      </c>
      <c r="H5" s="371" t="s">
        <v>15</v>
      </c>
      <c r="I5" s="371" t="s">
        <v>2189</v>
      </c>
      <c r="J5" s="371" t="s">
        <v>217</v>
      </c>
      <c r="K5" s="371" t="s">
        <v>215</v>
      </c>
      <c r="L5" s="254" t="s">
        <v>227</v>
      </c>
      <c r="N5" s="213" t="s">
        <v>391</v>
      </c>
      <c r="O5" s="214" t="s">
        <v>402</v>
      </c>
      <c r="P5" s="214" t="s">
        <v>403</v>
      </c>
      <c r="Q5" s="214" t="s">
        <v>409</v>
      </c>
      <c r="R5" s="214" t="s">
        <v>410</v>
      </c>
      <c r="S5" s="214" t="s">
        <v>487</v>
      </c>
      <c r="T5" s="214" t="s">
        <v>490</v>
      </c>
      <c r="U5" s="214" t="s">
        <v>491</v>
      </c>
      <c r="V5" s="215" t="s">
        <v>489</v>
      </c>
      <c r="X5" s="372" t="s">
        <v>2325</v>
      </c>
      <c r="Z5" s="466" t="s">
        <v>2375</v>
      </c>
      <c r="AA5" s="466" t="s">
        <v>2376</v>
      </c>
      <c r="AB5" s="466" t="s">
        <v>2377</v>
      </c>
      <c r="AC5" s="10" t="s">
        <v>2378</v>
      </c>
      <c r="AD5" s="466" t="s">
        <v>2379</v>
      </c>
      <c r="AE5" s="466" t="s">
        <v>2380</v>
      </c>
      <c r="AF5" s="332" t="s">
        <v>2381</v>
      </c>
    </row>
    <row r="6" spans="1:32" ht="18" customHeight="1">
      <c r="A6" s="5"/>
      <c r="D6" s="11"/>
      <c r="E6" s="478"/>
      <c r="F6" s="478"/>
      <c r="G6" s="479" t="s">
        <v>228</v>
      </c>
      <c r="H6" s="262">
        <v>193791781952</v>
      </c>
      <c r="I6" s="262">
        <v>244554560</v>
      </c>
      <c r="J6" s="262">
        <v>199528343</v>
      </c>
      <c r="K6" s="262">
        <v>3897133422</v>
      </c>
      <c r="L6" s="336">
        <v>198132998277</v>
      </c>
      <c r="N6" s="337">
        <v>0</v>
      </c>
      <c r="O6" s="262">
        <v>0</v>
      </c>
      <c r="P6" s="262">
        <v>-159412787</v>
      </c>
      <c r="Q6" s="262">
        <v>0</v>
      </c>
      <c r="R6" s="262">
        <v>0</v>
      </c>
      <c r="S6" s="262">
        <v>0</v>
      </c>
      <c r="T6" s="262">
        <v>0</v>
      </c>
      <c r="U6" s="262">
        <v>0</v>
      </c>
      <c r="V6" s="338">
        <v>-159412787</v>
      </c>
      <c r="X6" s="339">
        <v>197973585490</v>
      </c>
      <c r="Z6" s="465">
        <v>177966232980</v>
      </c>
      <c r="AA6" s="465">
        <v>117973208961</v>
      </c>
      <c r="AB6" s="339">
        <v>57684351029</v>
      </c>
      <c r="AC6" s="262">
        <v>226329072223</v>
      </c>
      <c r="AD6" s="339">
        <v>162636464186</v>
      </c>
      <c r="AE6" s="339">
        <v>107602421722</v>
      </c>
      <c r="AF6" s="469">
        <v>50575766432</v>
      </c>
    </row>
    <row r="7" spans="1:32" ht="18" customHeight="1">
      <c r="A7" s="5"/>
      <c r="D7" s="13">
        <v>410100</v>
      </c>
      <c r="E7" s="3" t="s">
        <v>228</v>
      </c>
      <c r="F7" s="23">
        <v>101</v>
      </c>
      <c r="G7" s="3" t="s">
        <v>612</v>
      </c>
      <c r="H7" s="5">
        <v>22374873179</v>
      </c>
      <c r="I7" s="5">
        <v>0</v>
      </c>
      <c r="J7" s="5">
        <v>141340224</v>
      </c>
      <c r="K7" s="5">
        <v>0</v>
      </c>
      <c r="L7" s="14">
        <v>22516213403</v>
      </c>
      <c r="N7" s="216">
        <v>0</v>
      </c>
      <c r="O7" s="5">
        <v>0</v>
      </c>
      <c r="P7" s="5">
        <v>0</v>
      </c>
      <c r="Q7" s="5">
        <v>0</v>
      </c>
      <c r="R7" s="5">
        <v>0</v>
      </c>
      <c r="S7" s="5">
        <v>-3667676</v>
      </c>
      <c r="T7" s="5">
        <v>0</v>
      </c>
      <c r="U7" s="5">
        <v>0</v>
      </c>
      <c r="V7" s="218">
        <v>-3667676</v>
      </c>
      <c r="X7" s="29">
        <v>22512545727</v>
      </c>
      <c r="Z7" s="223">
        <v>20617921776</v>
      </c>
      <c r="AA7" s="223">
        <v>14235080078</v>
      </c>
      <c r="AB7" s="29">
        <v>7931187087</v>
      </c>
      <c r="AC7" s="5">
        <v>25747818985</v>
      </c>
      <c r="AD7" s="29">
        <v>16403967656</v>
      </c>
      <c r="AE7" s="376">
        <v>9722799104</v>
      </c>
      <c r="AF7" s="467">
        <v>3982145814</v>
      </c>
    </row>
    <row r="8" spans="1:32" ht="18" customHeight="1">
      <c r="A8" s="5"/>
      <c r="D8" s="13">
        <v>410120</v>
      </c>
      <c r="E8" s="3" t="s">
        <v>228</v>
      </c>
      <c r="F8" s="23">
        <v>101</v>
      </c>
      <c r="G8" s="3" t="s">
        <v>613</v>
      </c>
      <c r="H8" s="5">
        <v>-18149805</v>
      </c>
      <c r="I8" s="5">
        <v>0</v>
      </c>
      <c r="J8" s="5">
        <v>0</v>
      </c>
      <c r="K8" s="5">
        <v>0</v>
      </c>
      <c r="L8" s="14">
        <v>-18149805</v>
      </c>
      <c r="N8" s="216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218">
        <v>0</v>
      </c>
      <c r="X8" s="29">
        <v>-18149805</v>
      </c>
      <c r="Z8" s="223">
        <v>-18149805</v>
      </c>
      <c r="AA8" s="223">
        <v>-15801350</v>
      </c>
      <c r="AB8" s="29">
        <v>-7018725</v>
      </c>
      <c r="AC8" s="5">
        <v>-21621398</v>
      </c>
      <c r="AD8" s="29">
        <v>-17956314</v>
      </c>
      <c r="AE8" s="376">
        <v>-12493122</v>
      </c>
      <c r="AF8" s="467">
        <v>-4236960</v>
      </c>
    </row>
    <row r="9" spans="1:32" ht="18" customHeight="1">
      <c r="A9" s="5"/>
      <c r="D9" s="13">
        <v>410130</v>
      </c>
      <c r="E9" s="3" t="s">
        <v>228</v>
      </c>
      <c r="F9" s="23">
        <v>105</v>
      </c>
      <c r="G9" s="3" t="s">
        <v>614</v>
      </c>
      <c r="H9" s="5">
        <v>383402098</v>
      </c>
      <c r="I9" s="5">
        <v>0</v>
      </c>
      <c r="J9" s="5">
        <v>5399094</v>
      </c>
      <c r="K9" s="5">
        <v>3788174053</v>
      </c>
      <c r="L9" s="14">
        <v>4176975245</v>
      </c>
      <c r="N9" s="216">
        <v>0</v>
      </c>
      <c r="O9" s="5">
        <v>0</v>
      </c>
      <c r="P9" s="5">
        <v>-32207910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218">
        <v>-32207910</v>
      </c>
      <c r="X9" s="29">
        <v>4144767335</v>
      </c>
      <c r="Z9" s="223">
        <v>3684987281</v>
      </c>
      <c r="AA9" s="223">
        <v>2551516872</v>
      </c>
      <c r="AB9" s="29">
        <v>795584555</v>
      </c>
      <c r="AC9" s="5">
        <v>5965069792</v>
      </c>
      <c r="AD9" s="29">
        <v>5150077146</v>
      </c>
      <c r="AE9" s="376">
        <v>3972489239</v>
      </c>
      <c r="AF9" s="467">
        <v>1395531155</v>
      </c>
    </row>
    <row r="10" spans="1:32" ht="18" customHeight="1">
      <c r="A10" s="5"/>
      <c r="D10" s="13">
        <v>410140</v>
      </c>
      <c r="E10" s="3" t="s">
        <v>228</v>
      </c>
      <c r="F10" s="23">
        <v>105</v>
      </c>
      <c r="G10" s="3" t="s">
        <v>615</v>
      </c>
      <c r="H10" s="5">
        <v>0</v>
      </c>
      <c r="I10" s="5">
        <v>0</v>
      </c>
      <c r="J10" s="5">
        <v>0</v>
      </c>
      <c r="K10" s="5">
        <v>0</v>
      </c>
      <c r="L10" s="14">
        <v>0</v>
      </c>
      <c r="N10" s="216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218">
        <v>0</v>
      </c>
      <c r="X10" s="29">
        <v>0</v>
      </c>
      <c r="Z10" s="223">
        <v>0</v>
      </c>
      <c r="AA10" s="223">
        <v>0</v>
      </c>
      <c r="AB10" s="29">
        <v>0</v>
      </c>
      <c r="AC10" s="5">
        <v>-18771583</v>
      </c>
      <c r="AD10" s="29">
        <v>-18771583</v>
      </c>
      <c r="AE10" s="376">
        <v>-18771583</v>
      </c>
      <c r="AF10" s="467">
        <v>0</v>
      </c>
    </row>
    <row r="11" spans="1:32" ht="18" customHeight="1">
      <c r="A11" s="5"/>
      <c r="C11" s="480" t="s">
        <v>1876</v>
      </c>
      <c r="D11" s="13">
        <v>410250</v>
      </c>
      <c r="E11" s="3" t="s">
        <v>228</v>
      </c>
      <c r="F11" s="23">
        <v>105</v>
      </c>
      <c r="G11" s="3" t="s">
        <v>2382</v>
      </c>
      <c r="H11" s="5">
        <v>-1856758</v>
      </c>
      <c r="I11" s="5">
        <v>0</v>
      </c>
      <c r="J11" s="5">
        <v>0</v>
      </c>
      <c r="K11" s="5">
        <v>0</v>
      </c>
      <c r="L11" s="14">
        <v>-1856758</v>
      </c>
      <c r="N11" s="216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218">
        <v>0</v>
      </c>
      <c r="X11" s="29">
        <v>-1856758</v>
      </c>
      <c r="Z11" s="223">
        <v>-1856758</v>
      </c>
      <c r="AA11" s="223">
        <v>-1472626</v>
      </c>
      <c r="AB11" s="29">
        <v>-537489</v>
      </c>
      <c r="AC11" s="5">
        <v>-5636045</v>
      </c>
      <c r="AD11" s="29">
        <v>-4076194</v>
      </c>
      <c r="AE11" s="376">
        <v>-1392647</v>
      </c>
      <c r="AF11" s="467">
        <v>0</v>
      </c>
    </row>
    <row r="12" spans="1:32" ht="18" customHeight="1">
      <c r="A12" s="5"/>
      <c r="D12" s="13" t="s">
        <v>1763</v>
      </c>
      <c r="E12" s="3" t="s">
        <v>228</v>
      </c>
      <c r="F12" s="23">
        <v>105</v>
      </c>
      <c r="G12" s="3" t="s">
        <v>1764</v>
      </c>
      <c r="H12" s="5">
        <v>0</v>
      </c>
      <c r="I12" s="5">
        <v>0</v>
      </c>
      <c r="J12" s="5">
        <v>0</v>
      </c>
      <c r="K12" s="5">
        <v>0</v>
      </c>
      <c r="L12" s="14">
        <v>0</v>
      </c>
      <c r="N12" s="216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218">
        <v>0</v>
      </c>
      <c r="X12" s="29">
        <v>0</v>
      </c>
      <c r="Z12" s="223">
        <v>0</v>
      </c>
      <c r="AA12" s="223">
        <v>0</v>
      </c>
      <c r="AB12" s="29">
        <v>0</v>
      </c>
      <c r="AC12" s="5">
        <v>0</v>
      </c>
      <c r="AD12" s="29">
        <v>0</v>
      </c>
      <c r="AE12" s="376">
        <v>0</v>
      </c>
      <c r="AF12" s="467">
        <v>0</v>
      </c>
    </row>
    <row r="13" spans="1:32" ht="18" customHeight="1">
      <c r="A13" s="5"/>
      <c r="D13" s="13">
        <v>410200</v>
      </c>
      <c r="E13" s="3" t="s">
        <v>228</v>
      </c>
      <c r="F13" s="23">
        <v>102</v>
      </c>
      <c r="G13" s="3" t="s">
        <v>616</v>
      </c>
      <c r="H13" s="5">
        <v>1823400464</v>
      </c>
      <c r="I13" s="5">
        <v>0</v>
      </c>
      <c r="J13" s="5">
        <v>0</v>
      </c>
      <c r="K13" s="5">
        <v>0</v>
      </c>
      <c r="L13" s="14">
        <v>1823400464</v>
      </c>
      <c r="N13" s="216">
        <v>0</v>
      </c>
      <c r="O13" s="5">
        <v>0</v>
      </c>
      <c r="P13" s="5">
        <v>0</v>
      </c>
      <c r="Q13" s="5">
        <v>0</v>
      </c>
      <c r="R13" s="5">
        <v>0</v>
      </c>
      <c r="S13" s="5">
        <v>3667676</v>
      </c>
      <c r="T13" s="5">
        <v>0</v>
      </c>
      <c r="U13" s="5">
        <v>0</v>
      </c>
      <c r="V13" s="218">
        <v>3667676</v>
      </c>
      <c r="X13" s="29">
        <v>1827068140</v>
      </c>
      <c r="Z13" s="223">
        <v>1414497910</v>
      </c>
      <c r="AA13" s="223">
        <v>720337769</v>
      </c>
      <c r="AB13" s="29">
        <v>298817967</v>
      </c>
      <c r="AC13" s="5">
        <v>5300479614</v>
      </c>
      <c r="AD13" s="29">
        <v>4912041742</v>
      </c>
      <c r="AE13" s="376">
        <v>3683010180</v>
      </c>
      <c r="AF13" s="467">
        <v>2375227116</v>
      </c>
    </row>
    <row r="14" spans="1:32" ht="18" customHeight="1">
      <c r="A14" s="5"/>
      <c r="D14" s="13">
        <v>410220</v>
      </c>
      <c r="E14" s="3" t="s">
        <v>228</v>
      </c>
      <c r="F14" s="23">
        <v>102</v>
      </c>
      <c r="G14" s="3" t="s">
        <v>617</v>
      </c>
      <c r="H14" s="5">
        <v>-635000</v>
      </c>
      <c r="I14" s="5">
        <v>0</v>
      </c>
      <c r="J14" s="5">
        <v>0</v>
      </c>
      <c r="K14" s="5">
        <v>0</v>
      </c>
      <c r="L14" s="14">
        <v>-635000</v>
      </c>
      <c r="N14" s="216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218">
        <v>0</v>
      </c>
      <c r="X14" s="29">
        <v>-635000</v>
      </c>
      <c r="Z14" s="223">
        <v>-635000</v>
      </c>
      <c r="AA14" s="223">
        <v>0</v>
      </c>
      <c r="AB14" s="29">
        <v>0</v>
      </c>
      <c r="AC14" s="5">
        <v>-2402000</v>
      </c>
      <c r="AD14" s="29">
        <v>-2402000</v>
      </c>
      <c r="AE14" s="376">
        <v>-2402000</v>
      </c>
      <c r="AF14" s="467">
        <v>-2402000</v>
      </c>
    </row>
    <row r="15" spans="1:32" ht="18" customHeight="1">
      <c r="A15" s="5"/>
      <c r="D15" s="13" t="s">
        <v>1542</v>
      </c>
      <c r="E15" s="3" t="s">
        <v>228</v>
      </c>
      <c r="F15" s="23">
        <v>102</v>
      </c>
      <c r="G15" s="3" t="s">
        <v>1543</v>
      </c>
      <c r="H15" s="5">
        <v>37035055</v>
      </c>
      <c r="I15" s="5">
        <v>0</v>
      </c>
      <c r="J15" s="5">
        <v>0</v>
      </c>
      <c r="K15" s="5">
        <v>0</v>
      </c>
      <c r="L15" s="14">
        <v>37035055</v>
      </c>
      <c r="N15" s="216">
        <v>0</v>
      </c>
      <c r="O15" s="5">
        <v>0</v>
      </c>
      <c r="P15" s="5">
        <v>0</v>
      </c>
      <c r="Q15" s="5"/>
      <c r="R15" s="5">
        <v>0</v>
      </c>
      <c r="S15" s="5"/>
      <c r="T15" s="5">
        <v>0</v>
      </c>
      <c r="U15" s="5"/>
      <c r="V15" s="218">
        <v>0</v>
      </c>
      <c r="X15" s="29">
        <v>37035055</v>
      </c>
      <c r="Z15" s="223">
        <v>37035055</v>
      </c>
      <c r="AA15" s="223">
        <v>37035055</v>
      </c>
      <c r="AB15" s="29">
        <v>0</v>
      </c>
      <c r="AC15" s="5">
        <v>-119669243</v>
      </c>
      <c r="AD15" s="29">
        <v>-154254245</v>
      </c>
      <c r="AE15" s="376">
        <v>-154254245</v>
      </c>
      <c r="AF15" s="467">
        <v>0</v>
      </c>
    </row>
    <row r="16" spans="1:32" ht="18" customHeight="1">
      <c r="A16" s="5"/>
      <c r="D16" s="13">
        <v>410230</v>
      </c>
      <c r="E16" s="3" t="s">
        <v>228</v>
      </c>
      <c r="F16" s="23">
        <v>106</v>
      </c>
      <c r="G16" s="3" t="s">
        <v>618</v>
      </c>
      <c r="H16" s="5">
        <v>-243176228</v>
      </c>
      <c r="I16" s="5">
        <v>0</v>
      </c>
      <c r="J16" s="5">
        <v>0</v>
      </c>
      <c r="K16" s="5">
        <v>0</v>
      </c>
      <c r="L16" s="14">
        <v>-243176228</v>
      </c>
      <c r="N16" s="216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218">
        <v>0</v>
      </c>
      <c r="X16" s="29">
        <v>-243176228</v>
      </c>
      <c r="Z16" s="223">
        <v>-176501105</v>
      </c>
      <c r="AA16" s="223">
        <v>-108547669</v>
      </c>
      <c r="AB16" s="29">
        <v>-64980052</v>
      </c>
      <c r="AC16" s="5">
        <v>-252852656</v>
      </c>
      <c r="AD16" s="29">
        <v>-209274128</v>
      </c>
      <c r="AE16" s="376">
        <v>-137813060</v>
      </c>
      <c r="AF16" s="467">
        <v>-81191072</v>
      </c>
    </row>
    <row r="17" spans="1:32" ht="18" customHeight="1">
      <c r="A17" s="5"/>
      <c r="D17" s="13">
        <v>410240</v>
      </c>
      <c r="E17" s="3" t="s">
        <v>228</v>
      </c>
      <c r="F17" s="23">
        <v>106</v>
      </c>
      <c r="G17" s="3" t="s">
        <v>619</v>
      </c>
      <c r="H17" s="5">
        <v>13104221858</v>
      </c>
      <c r="I17" s="5">
        <v>0</v>
      </c>
      <c r="J17" s="5">
        <v>0</v>
      </c>
      <c r="K17" s="5">
        <v>0</v>
      </c>
      <c r="L17" s="14">
        <v>13104221858</v>
      </c>
      <c r="N17" s="216">
        <v>0</v>
      </c>
      <c r="O17" s="5">
        <v>0</v>
      </c>
      <c r="P17" s="5">
        <v>-89229471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218">
        <v>-89229471</v>
      </c>
      <c r="X17" s="29">
        <v>13014992387</v>
      </c>
      <c r="Z17" s="223">
        <v>10970627237</v>
      </c>
      <c r="AA17" s="223">
        <v>7333980545</v>
      </c>
      <c r="AB17" s="29">
        <v>3586452331</v>
      </c>
      <c r="AC17" s="5">
        <v>15953956142</v>
      </c>
      <c r="AD17" s="29">
        <v>12131447985</v>
      </c>
      <c r="AE17" s="376">
        <v>8643354358</v>
      </c>
      <c r="AF17" s="467">
        <v>3928003417</v>
      </c>
    </row>
    <row r="18" spans="1:32" ht="18" customHeight="1">
      <c r="A18" s="5"/>
      <c r="D18" s="13">
        <v>410241</v>
      </c>
      <c r="E18" s="3" t="s">
        <v>228</v>
      </c>
      <c r="F18" s="23">
        <v>106</v>
      </c>
      <c r="G18" s="3" t="s">
        <v>620</v>
      </c>
      <c r="H18" s="5">
        <v>-2038700</v>
      </c>
      <c r="I18" s="5">
        <v>0</v>
      </c>
      <c r="J18" s="5">
        <v>0</v>
      </c>
      <c r="K18" s="5">
        <v>0</v>
      </c>
      <c r="L18" s="14">
        <v>-2038700</v>
      </c>
      <c r="N18" s="216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218">
        <v>0</v>
      </c>
      <c r="X18" s="29">
        <v>-2038700</v>
      </c>
      <c r="Z18" s="223">
        <v>-2038700</v>
      </c>
      <c r="AA18" s="223">
        <v>-2038700</v>
      </c>
      <c r="AB18" s="29">
        <v>-1620600</v>
      </c>
      <c r="AC18" s="5">
        <v>-418907882</v>
      </c>
      <c r="AD18" s="29">
        <v>-245082967</v>
      </c>
      <c r="AE18" s="376">
        <v>-244543642</v>
      </c>
      <c r="AF18" s="467">
        <v>-177438173</v>
      </c>
    </row>
    <row r="19" spans="1:32" ht="18" customHeight="1">
      <c r="A19" s="5"/>
      <c r="D19" s="13">
        <v>410610</v>
      </c>
      <c r="E19" s="3" t="s">
        <v>228</v>
      </c>
      <c r="F19" s="23">
        <v>103</v>
      </c>
      <c r="G19" s="3" t="s">
        <v>231</v>
      </c>
      <c r="H19" s="5">
        <v>34352180107</v>
      </c>
      <c r="I19" s="5">
        <v>0</v>
      </c>
      <c r="J19" s="5">
        <v>0</v>
      </c>
      <c r="K19" s="5">
        <v>0</v>
      </c>
      <c r="L19" s="14">
        <v>34352180107</v>
      </c>
      <c r="N19" s="216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218">
        <v>0</v>
      </c>
      <c r="X19" s="29">
        <v>34352180107</v>
      </c>
      <c r="Z19" s="223">
        <v>31225713686</v>
      </c>
      <c r="AA19" s="223">
        <v>20634981857</v>
      </c>
      <c r="AB19" s="29">
        <v>11594263363</v>
      </c>
      <c r="AC19" s="5">
        <v>55164035937</v>
      </c>
      <c r="AD19" s="29">
        <v>41328985405</v>
      </c>
      <c r="AE19" s="376">
        <v>28605751325</v>
      </c>
      <c r="AF19" s="467">
        <v>13482951360</v>
      </c>
    </row>
    <row r="20" spans="1:32" ht="18" customHeight="1">
      <c r="A20" s="5"/>
      <c r="D20" s="13">
        <v>410620</v>
      </c>
      <c r="E20" s="3" t="s">
        <v>228</v>
      </c>
      <c r="F20" s="23">
        <v>103</v>
      </c>
      <c r="G20" s="3" t="s">
        <v>232</v>
      </c>
      <c r="H20" s="5">
        <v>10768569690</v>
      </c>
      <c r="I20" s="5">
        <v>0</v>
      </c>
      <c r="J20" s="5">
        <v>0</v>
      </c>
      <c r="K20" s="5">
        <v>0</v>
      </c>
      <c r="L20" s="14">
        <v>10768569690</v>
      </c>
      <c r="N20" s="216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218">
        <v>0</v>
      </c>
      <c r="X20" s="29">
        <v>10768569690</v>
      </c>
      <c r="Z20" s="223">
        <v>9901822787</v>
      </c>
      <c r="AA20" s="223">
        <v>7071351089</v>
      </c>
      <c r="AB20" s="29">
        <v>2588755754</v>
      </c>
      <c r="AC20" s="5">
        <v>10567744810</v>
      </c>
      <c r="AD20" s="29">
        <v>6647132786</v>
      </c>
      <c r="AE20" s="376">
        <v>5025935915</v>
      </c>
      <c r="AF20" s="467">
        <v>2234898577</v>
      </c>
    </row>
    <row r="21" spans="1:32" ht="18" customHeight="1">
      <c r="A21" s="5"/>
      <c r="D21" s="13">
        <v>410630</v>
      </c>
      <c r="E21" s="3" t="s">
        <v>228</v>
      </c>
      <c r="F21" s="23">
        <v>103</v>
      </c>
      <c r="G21" s="3" t="s">
        <v>233</v>
      </c>
      <c r="H21" s="5">
        <v>101466218976</v>
      </c>
      <c r="I21" s="5">
        <v>0</v>
      </c>
      <c r="J21" s="5">
        <v>0</v>
      </c>
      <c r="K21" s="5">
        <v>0</v>
      </c>
      <c r="L21" s="14">
        <v>101466218976</v>
      </c>
      <c r="N21" s="216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218">
        <v>0</v>
      </c>
      <c r="X21" s="29">
        <v>101466218976</v>
      </c>
      <c r="Z21" s="223">
        <v>90609459282</v>
      </c>
      <c r="AA21" s="223">
        <v>59122191074</v>
      </c>
      <c r="AB21" s="29">
        <v>29036482559</v>
      </c>
      <c r="AC21" s="5">
        <v>103264033490</v>
      </c>
      <c r="AD21" s="29">
        <v>73506280757</v>
      </c>
      <c r="AE21" s="376">
        <v>46836965075</v>
      </c>
      <c r="AF21" s="467">
        <v>22232739982</v>
      </c>
    </row>
    <row r="22" spans="1:32" ht="18" customHeight="1">
      <c r="A22" s="5"/>
      <c r="D22" s="13">
        <v>410640</v>
      </c>
      <c r="E22" s="3" t="s">
        <v>228</v>
      </c>
      <c r="F22" s="23">
        <v>103</v>
      </c>
      <c r="G22" s="3" t="s">
        <v>234</v>
      </c>
      <c r="H22" s="5">
        <v>0</v>
      </c>
      <c r="I22" s="5">
        <v>0</v>
      </c>
      <c r="J22" s="5">
        <v>0</v>
      </c>
      <c r="K22" s="5">
        <v>0</v>
      </c>
      <c r="L22" s="14">
        <v>0</v>
      </c>
      <c r="N22" s="216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218">
        <v>0</v>
      </c>
      <c r="X22" s="29">
        <v>0</v>
      </c>
      <c r="Z22" s="223">
        <v>0</v>
      </c>
      <c r="AA22" s="223">
        <v>0</v>
      </c>
      <c r="AB22" s="29">
        <v>0</v>
      </c>
      <c r="AC22" s="5">
        <v>-2474371</v>
      </c>
      <c r="AD22" s="29">
        <v>-2474371</v>
      </c>
      <c r="AE22" s="376">
        <v>-2474371</v>
      </c>
      <c r="AF22" s="467">
        <v>-2474371</v>
      </c>
    </row>
    <row r="23" spans="1:32" ht="18" customHeight="1">
      <c r="A23" s="5"/>
      <c r="D23" s="13">
        <v>410650</v>
      </c>
      <c r="E23" s="3" t="s">
        <v>228</v>
      </c>
      <c r="F23" s="23">
        <v>103</v>
      </c>
      <c r="G23" s="3" t="s">
        <v>235</v>
      </c>
      <c r="H23" s="5">
        <v>6254373527</v>
      </c>
      <c r="I23" s="5">
        <v>0</v>
      </c>
      <c r="J23" s="5">
        <v>0</v>
      </c>
      <c r="K23" s="5">
        <v>0</v>
      </c>
      <c r="L23" s="14">
        <v>6254373527</v>
      </c>
      <c r="N23" s="216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218">
        <v>0</v>
      </c>
      <c r="X23" s="29">
        <v>6254373527</v>
      </c>
      <c r="Z23" s="223">
        <v>6210981685</v>
      </c>
      <c r="AA23" s="223">
        <v>4335009989</v>
      </c>
      <c r="AB23" s="29">
        <v>751781313</v>
      </c>
      <c r="AC23" s="5">
        <v>4186277157</v>
      </c>
      <c r="AD23" s="29">
        <v>2859598012</v>
      </c>
      <c r="AE23" s="376">
        <v>1393558735</v>
      </c>
      <c r="AF23" s="467">
        <v>1045227331</v>
      </c>
    </row>
    <row r="24" spans="1:32" ht="18" customHeight="1">
      <c r="A24" s="5"/>
      <c r="D24" s="13">
        <v>410660</v>
      </c>
      <c r="E24" s="3" t="s">
        <v>228</v>
      </c>
      <c r="F24" s="23">
        <v>103</v>
      </c>
      <c r="G24" s="3" t="s">
        <v>236</v>
      </c>
      <c r="H24" s="5">
        <v>0</v>
      </c>
      <c r="I24" s="5">
        <v>0</v>
      </c>
      <c r="J24" s="5">
        <v>0</v>
      </c>
      <c r="K24" s="5">
        <v>0</v>
      </c>
      <c r="L24" s="14">
        <v>0</v>
      </c>
      <c r="N24" s="216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218">
        <v>0</v>
      </c>
      <c r="X24" s="29">
        <v>0</v>
      </c>
      <c r="Z24" s="223">
        <v>0</v>
      </c>
      <c r="AA24" s="223">
        <v>0</v>
      </c>
      <c r="AB24" s="29">
        <v>0</v>
      </c>
      <c r="AC24" s="5">
        <v>0</v>
      </c>
      <c r="AD24" s="29">
        <v>0</v>
      </c>
      <c r="AE24" s="376">
        <v>0</v>
      </c>
      <c r="AF24" s="467">
        <v>0</v>
      </c>
    </row>
    <row r="25" spans="1:32" ht="18" customHeight="1">
      <c r="A25" s="5"/>
      <c r="D25" s="13">
        <v>410899</v>
      </c>
      <c r="E25" s="3" t="s">
        <v>228</v>
      </c>
      <c r="F25" s="23">
        <v>103</v>
      </c>
      <c r="G25" s="3" t="s">
        <v>237</v>
      </c>
      <c r="H25" s="5">
        <v>3493363489</v>
      </c>
      <c r="I25" s="5">
        <v>244554560</v>
      </c>
      <c r="J25" s="5">
        <v>52789025</v>
      </c>
      <c r="K25" s="5">
        <v>108959369</v>
      </c>
      <c r="L25" s="14">
        <v>3899666443</v>
      </c>
      <c r="N25" s="216">
        <v>0</v>
      </c>
      <c r="O25" s="5">
        <v>0</v>
      </c>
      <c r="P25" s="5">
        <v>-37975406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218">
        <v>-37975406</v>
      </c>
      <c r="X25" s="29">
        <v>3861691037</v>
      </c>
      <c r="Z25" s="223">
        <v>3492367649</v>
      </c>
      <c r="AA25" s="223">
        <v>2059584978</v>
      </c>
      <c r="AB25" s="29">
        <v>1175182966</v>
      </c>
      <c r="AC25" s="5">
        <v>1021991474</v>
      </c>
      <c r="AD25" s="29">
        <v>351224499</v>
      </c>
      <c r="AE25" s="376">
        <v>292702461</v>
      </c>
      <c r="AF25" s="467">
        <v>166784256</v>
      </c>
    </row>
    <row r="26" spans="1:32" ht="18" customHeight="1">
      <c r="A26" s="5"/>
      <c r="D26" s="11"/>
      <c r="E26" s="481"/>
      <c r="F26" s="478"/>
      <c r="G26" s="481" t="s">
        <v>238</v>
      </c>
      <c r="H26" s="260">
        <v>148672233514</v>
      </c>
      <c r="I26" s="260">
        <v>0</v>
      </c>
      <c r="J26" s="260">
        <v>136491839</v>
      </c>
      <c r="K26" s="260">
        <v>2859252695</v>
      </c>
      <c r="L26" s="256">
        <v>151667978048</v>
      </c>
      <c r="N26" s="340">
        <v>0</v>
      </c>
      <c r="O26" s="260">
        <v>0</v>
      </c>
      <c r="P26" s="260">
        <v>-120147576</v>
      </c>
      <c r="Q26" s="260">
        <v>16226007</v>
      </c>
      <c r="R26" s="260">
        <v>0</v>
      </c>
      <c r="S26" s="260">
        <v>0</v>
      </c>
      <c r="T26" s="260">
        <v>0</v>
      </c>
      <c r="U26" s="260">
        <v>0</v>
      </c>
      <c r="V26" s="341">
        <v>-103921569</v>
      </c>
      <c r="X26" s="26">
        <v>151564056479</v>
      </c>
      <c r="Z26" s="255">
        <v>136737922106</v>
      </c>
      <c r="AA26" s="255">
        <v>91374419912</v>
      </c>
      <c r="AB26" s="26">
        <v>44994036091</v>
      </c>
      <c r="AC26" s="260">
        <v>181205387327</v>
      </c>
      <c r="AD26" s="26">
        <v>130389155182</v>
      </c>
      <c r="AE26" s="26">
        <v>85703512987</v>
      </c>
      <c r="AF26" s="256">
        <v>39300752333</v>
      </c>
    </row>
    <row r="27" spans="1:32" ht="18" customHeight="1">
      <c r="A27" s="5"/>
      <c r="D27" s="13" t="s">
        <v>239</v>
      </c>
      <c r="E27" s="3" t="s">
        <v>238</v>
      </c>
      <c r="F27" s="23">
        <v>201</v>
      </c>
      <c r="G27" s="3" t="s">
        <v>240</v>
      </c>
      <c r="H27" s="5">
        <v>19207555335</v>
      </c>
      <c r="I27" s="5">
        <v>0</v>
      </c>
      <c r="J27" s="5">
        <v>136491839</v>
      </c>
      <c r="K27" s="5">
        <v>2859252695</v>
      </c>
      <c r="L27" s="14">
        <v>22203299869</v>
      </c>
      <c r="N27" s="216">
        <v>0</v>
      </c>
      <c r="O27" s="5">
        <v>0</v>
      </c>
      <c r="P27" s="5">
        <v>-31000826</v>
      </c>
      <c r="Q27" s="5">
        <v>16992466</v>
      </c>
      <c r="R27" s="5">
        <v>0</v>
      </c>
      <c r="S27" s="5">
        <v>-1819236</v>
      </c>
      <c r="T27" s="5">
        <v>0</v>
      </c>
      <c r="U27" s="5">
        <v>0</v>
      </c>
      <c r="V27" s="218">
        <v>-15827596</v>
      </c>
      <c r="X27" s="29">
        <v>22187472273</v>
      </c>
      <c r="Z27" s="223">
        <v>19530607660</v>
      </c>
      <c r="AA27" s="223">
        <v>13448770713</v>
      </c>
      <c r="AB27" s="29">
        <v>6858201701</v>
      </c>
      <c r="AC27" s="5">
        <v>26833967325</v>
      </c>
      <c r="AD27" s="29">
        <v>17557500163</v>
      </c>
      <c r="AE27" s="376">
        <v>11196910989</v>
      </c>
      <c r="AF27" s="467">
        <v>4254257020</v>
      </c>
    </row>
    <row r="28" spans="1:32" ht="18" customHeight="1">
      <c r="A28" s="5"/>
      <c r="D28" s="13" t="s">
        <v>241</v>
      </c>
      <c r="E28" s="3" t="s">
        <v>238</v>
      </c>
      <c r="F28" s="23">
        <v>202</v>
      </c>
      <c r="G28" s="3" t="s">
        <v>242</v>
      </c>
      <c r="H28" s="5">
        <v>8673259913</v>
      </c>
      <c r="I28" s="5">
        <v>0</v>
      </c>
      <c r="J28" s="5">
        <v>0</v>
      </c>
      <c r="K28" s="5">
        <v>0</v>
      </c>
      <c r="L28" s="14">
        <v>8673259913</v>
      </c>
      <c r="N28" s="216">
        <v>0</v>
      </c>
      <c r="O28" s="5">
        <v>0</v>
      </c>
      <c r="P28" s="5">
        <v>-89146750</v>
      </c>
      <c r="Q28" s="5">
        <v>-766459</v>
      </c>
      <c r="R28" s="5">
        <v>0</v>
      </c>
      <c r="S28" s="5">
        <v>1819236</v>
      </c>
      <c r="T28" s="5">
        <v>0</v>
      </c>
      <c r="U28" s="5">
        <v>0</v>
      </c>
      <c r="V28" s="218">
        <v>-88093973</v>
      </c>
      <c r="X28" s="29">
        <v>8585165940</v>
      </c>
      <c r="Z28" s="223">
        <v>7706454931</v>
      </c>
      <c r="AA28" s="223">
        <v>5030917195</v>
      </c>
      <c r="AB28" s="29">
        <v>2129978210</v>
      </c>
      <c r="AC28" s="5">
        <v>13476781012</v>
      </c>
      <c r="AD28" s="29">
        <v>9675428377</v>
      </c>
      <c r="AE28" s="376">
        <v>6895368186</v>
      </c>
      <c r="AF28" s="467">
        <v>3389832111</v>
      </c>
    </row>
    <row r="29" spans="1:32" ht="18" customHeight="1">
      <c r="A29" s="5"/>
      <c r="D29" s="13">
        <v>420510</v>
      </c>
      <c r="E29" s="3" t="s">
        <v>238</v>
      </c>
      <c r="F29" s="23">
        <v>204</v>
      </c>
      <c r="G29" s="3" t="s">
        <v>244</v>
      </c>
      <c r="H29" s="5">
        <v>36236345863</v>
      </c>
      <c r="I29" s="5">
        <v>0</v>
      </c>
      <c r="J29" s="5">
        <v>0</v>
      </c>
      <c r="K29" s="5">
        <v>0</v>
      </c>
      <c r="L29" s="14">
        <v>36236345863</v>
      </c>
      <c r="N29" s="216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218">
        <v>0</v>
      </c>
      <c r="X29" s="29">
        <v>36236345863</v>
      </c>
      <c r="Z29" s="223">
        <v>32841778970</v>
      </c>
      <c r="AA29" s="223">
        <v>21746487875</v>
      </c>
      <c r="AB29" s="29">
        <v>12092986859</v>
      </c>
      <c r="AC29" s="5">
        <v>57087044548</v>
      </c>
      <c r="AD29" s="29">
        <v>42671840931</v>
      </c>
      <c r="AE29" s="376">
        <v>29338092191</v>
      </c>
      <c r="AF29" s="467">
        <v>13930162269</v>
      </c>
    </row>
    <row r="30" spans="1:32" ht="18" customHeight="1">
      <c r="A30" s="5"/>
      <c r="D30" s="13" t="s">
        <v>245</v>
      </c>
      <c r="E30" s="3" t="s">
        <v>238</v>
      </c>
      <c r="F30" s="23">
        <v>204</v>
      </c>
      <c r="G30" s="3" t="s">
        <v>246</v>
      </c>
      <c r="H30" s="5">
        <v>3021062164</v>
      </c>
      <c r="I30" s="5">
        <v>0</v>
      </c>
      <c r="J30" s="5">
        <v>0</v>
      </c>
      <c r="K30" s="5">
        <v>0</v>
      </c>
      <c r="L30" s="14">
        <v>3021062164</v>
      </c>
      <c r="N30" s="216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218">
        <v>0</v>
      </c>
      <c r="X30" s="29">
        <v>3021062164</v>
      </c>
      <c r="Z30" s="223">
        <v>2779227386</v>
      </c>
      <c r="AA30" s="223">
        <v>1896704452</v>
      </c>
      <c r="AB30" s="29">
        <v>840628122</v>
      </c>
      <c r="AC30" s="5">
        <v>3476419595</v>
      </c>
      <c r="AD30" s="29">
        <v>2153598212</v>
      </c>
      <c r="AE30" s="376">
        <v>1658767627</v>
      </c>
      <c r="AF30" s="467">
        <v>847591276</v>
      </c>
    </row>
    <row r="31" spans="1:32" ht="18" customHeight="1">
      <c r="A31" s="5"/>
      <c r="D31" s="13" t="s">
        <v>247</v>
      </c>
      <c r="E31" s="3" t="s">
        <v>238</v>
      </c>
      <c r="F31" s="23">
        <v>204</v>
      </c>
      <c r="G31" s="3" t="s">
        <v>248</v>
      </c>
      <c r="H31" s="5">
        <v>75685359064</v>
      </c>
      <c r="I31" s="5">
        <v>0</v>
      </c>
      <c r="J31" s="5">
        <v>0</v>
      </c>
      <c r="K31" s="5">
        <v>0</v>
      </c>
      <c r="L31" s="14">
        <v>75685359064</v>
      </c>
      <c r="N31" s="216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218">
        <v>0</v>
      </c>
      <c r="X31" s="29">
        <v>75685359064</v>
      </c>
      <c r="Z31" s="223">
        <v>68065205623</v>
      </c>
      <c r="AA31" s="223">
        <v>45091676704</v>
      </c>
      <c r="AB31" s="29">
        <v>21885913390</v>
      </c>
      <c r="AC31" s="5">
        <v>76246007518</v>
      </c>
      <c r="AD31" s="29">
        <v>55625530604</v>
      </c>
      <c r="AE31" s="376">
        <v>35322987389</v>
      </c>
      <c r="AF31" s="467">
        <v>16069441153</v>
      </c>
    </row>
    <row r="32" spans="1:32" ht="18" customHeight="1">
      <c r="A32" s="5"/>
      <c r="D32" s="13" t="s">
        <v>249</v>
      </c>
      <c r="E32" s="3" t="s">
        <v>238</v>
      </c>
      <c r="F32" s="23">
        <v>204</v>
      </c>
      <c r="G32" s="3" t="s">
        <v>250</v>
      </c>
      <c r="H32" s="5">
        <v>0</v>
      </c>
      <c r="I32" s="5">
        <v>0</v>
      </c>
      <c r="J32" s="5">
        <v>0</v>
      </c>
      <c r="K32" s="5">
        <v>0</v>
      </c>
      <c r="L32" s="14">
        <v>0</v>
      </c>
      <c r="N32" s="216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218">
        <v>0</v>
      </c>
      <c r="X32" s="29">
        <v>0</v>
      </c>
      <c r="Z32" s="223">
        <v>0</v>
      </c>
      <c r="AA32" s="223">
        <v>0</v>
      </c>
      <c r="AB32" s="29">
        <v>0</v>
      </c>
      <c r="AC32" s="5">
        <v>4</v>
      </c>
      <c r="AD32" s="29">
        <v>4</v>
      </c>
      <c r="AE32" s="376">
        <v>-4</v>
      </c>
      <c r="AF32" s="467">
        <v>0</v>
      </c>
    </row>
    <row r="33" spans="1:32" ht="18" customHeight="1">
      <c r="A33" s="5"/>
      <c r="D33" s="13" t="s">
        <v>251</v>
      </c>
      <c r="E33" s="3" t="s">
        <v>238</v>
      </c>
      <c r="F33" s="23">
        <v>204</v>
      </c>
      <c r="G33" s="3" t="s">
        <v>252</v>
      </c>
      <c r="H33" s="5">
        <v>5396242561</v>
      </c>
      <c r="I33" s="5">
        <v>0</v>
      </c>
      <c r="J33" s="5">
        <v>0</v>
      </c>
      <c r="K33" s="5">
        <v>0</v>
      </c>
      <c r="L33" s="14">
        <v>5396242561</v>
      </c>
      <c r="N33" s="216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218">
        <v>0</v>
      </c>
      <c r="X33" s="29">
        <v>5396242561</v>
      </c>
      <c r="Z33" s="223">
        <v>5370432041</v>
      </c>
      <c r="AA33" s="223">
        <v>3717598481</v>
      </c>
      <c r="AB33" s="29">
        <v>745733099</v>
      </c>
      <c r="AC33" s="5">
        <v>3946794323</v>
      </c>
      <c r="AD33" s="29">
        <v>2617653599</v>
      </c>
      <c r="AE33" s="376">
        <v>1205095102</v>
      </c>
      <c r="AF33" s="467">
        <v>747484173</v>
      </c>
    </row>
    <row r="34" spans="1:32" ht="18" customHeight="1">
      <c r="A34" s="5"/>
      <c r="D34" s="13" t="s">
        <v>253</v>
      </c>
      <c r="E34" s="3" t="s">
        <v>238</v>
      </c>
      <c r="F34" s="23">
        <v>204</v>
      </c>
      <c r="G34" s="3" t="s">
        <v>254</v>
      </c>
      <c r="H34" s="5">
        <v>0</v>
      </c>
      <c r="I34" s="5">
        <v>0</v>
      </c>
      <c r="J34" s="5">
        <v>0</v>
      </c>
      <c r="K34" s="5">
        <v>0</v>
      </c>
      <c r="L34" s="14">
        <v>0</v>
      </c>
      <c r="N34" s="216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218">
        <v>0</v>
      </c>
      <c r="X34" s="29">
        <v>0</v>
      </c>
      <c r="Z34" s="223">
        <v>0</v>
      </c>
      <c r="AA34" s="223">
        <v>0</v>
      </c>
      <c r="AB34" s="29">
        <v>0</v>
      </c>
      <c r="AC34" s="5">
        <v>0</v>
      </c>
      <c r="AD34" s="29">
        <v>0</v>
      </c>
      <c r="AE34" s="376">
        <v>0</v>
      </c>
      <c r="AF34" s="467">
        <v>0</v>
      </c>
    </row>
    <row r="35" spans="1:32" ht="18" customHeight="1">
      <c r="A35" s="5"/>
      <c r="D35" s="13" t="s">
        <v>255</v>
      </c>
      <c r="E35" s="3" t="s">
        <v>238</v>
      </c>
      <c r="F35" s="23">
        <v>204</v>
      </c>
      <c r="G35" s="3" t="s">
        <v>256</v>
      </c>
      <c r="H35" s="5">
        <v>452408614</v>
      </c>
      <c r="I35" s="5">
        <v>0</v>
      </c>
      <c r="J35" s="5">
        <v>0</v>
      </c>
      <c r="K35" s="5">
        <v>0</v>
      </c>
      <c r="L35" s="14">
        <v>452408614</v>
      </c>
      <c r="N35" s="216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218">
        <v>0</v>
      </c>
      <c r="X35" s="29">
        <v>452408614</v>
      </c>
      <c r="Z35" s="223">
        <v>444215495</v>
      </c>
      <c r="AA35" s="223">
        <v>442264492</v>
      </c>
      <c r="AB35" s="29">
        <v>440594710</v>
      </c>
      <c r="AC35" s="5">
        <v>138373002</v>
      </c>
      <c r="AD35" s="29">
        <v>87603292</v>
      </c>
      <c r="AE35" s="376">
        <v>86291507</v>
      </c>
      <c r="AF35" s="467">
        <v>61984331</v>
      </c>
    </row>
    <row r="36" spans="1:32" ht="18" customHeight="1">
      <c r="A36" s="472"/>
      <c r="D36" s="11"/>
      <c r="E36" s="481"/>
      <c r="F36" s="478"/>
      <c r="G36" s="481" t="s">
        <v>257</v>
      </c>
      <c r="H36" s="260">
        <v>45119548438</v>
      </c>
      <c r="I36" s="260">
        <v>244554560</v>
      </c>
      <c r="J36" s="260">
        <v>63036504</v>
      </c>
      <c r="K36" s="260">
        <v>1037880727</v>
      </c>
      <c r="L36" s="256">
        <v>46465020229</v>
      </c>
      <c r="N36" s="340">
        <v>0</v>
      </c>
      <c r="O36" s="260">
        <v>0</v>
      </c>
      <c r="P36" s="260">
        <v>-39265211</v>
      </c>
      <c r="Q36" s="260">
        <v>-16226007</v>
      </c>
      <c r="R36" s="260">
        <v>0</v>
      </c>
      <c r="S36" s="260">
        <v>0</v>
      </c>
      <c r="T36" s="260">
        <v>0</v>
      </c>
      <c r="U36" s="260">
        <v>0</v>
      </c>
      <c r="V36" s="341">
        <v>-55491218</v>
      </c>
      <c r="X36" s="26">
        <v>46409529011</v>
      </c>
      <c r="Z36" s="255">
        <v>41228310874</v>
      </c>
      <c r="AA36" s="255">
        <v>26598789049</v>
      </c>
      <c r="AB36" s="26">
        <v>12690314938</v>
      </c>
      <c r="AC36" s="260">
        <v>45123684896</v>
      </c>
      <c r="AD36" s="26">
        <v>32247309004</v>
      </c>
      <c r="AE36" s="26">
        <v>21898908735</v>
      </c>
      <c r="AF36" s="256">
        <v>11275014099</v>
      </c>
    </row>
    <row r="37" spans="1:32" ht="18" customHeight="1">
      <c r="A37" s="472"/>
      <c r="D37" s="11"/>
      <c r="E37" s="481"/>
      <c r="F37" s="478"/>
      <c r="G37" s="481" t="s">
        <v>258</v>
      </c>
      <c r="H37" s="260">
        <v>38599932130</v>
      </c>
      <c r="I37" s="260">
        <v>517143391</v>
      </c>
      <c r="J37" s="260">
        <v>320497381</v>
      </c>
      <c r="K37" s="260">
        <v>1303621333</v>
      </c>
      <c r="L37" s="256">
        <v>40741194235</v>
      </c>
      <c r="N37" s="340">
        <v>0</v>
      </c>
      <c r="O37" s="260">
        <v>0</v>
      </c>
      <c r="P37" s="260">
        <v>-39265211</v>
      </c>
      <c r="Q37" s="260">
        <v>0</v>
      </c>
      <c r="R37" s="260">
        <v>0</v>
      </c>
      <c r="S37" s="260">
        <v>20000000</v>
      </c>
      <c r="T37" s="260">
        <v>0</v>
      </c>
      <c r="U37" s="260">
        <v>0</v>
      </c>
      <c r="V37" s="341">
        <v>-19265211</v>
      </c>
      <c r="X37" s="26">
        <v>40721929024</v>
      </c>
      <c r="Z37" s="255">
        <v>36514424351</v>
      </c>
      <c r="AA37" s="255">
        <v>23830391473</v>
      </c>
      <c r="AB37" s="26">
        <v>11633145089</v>
      </c>
      <c r="AC37" s="260">
        <v>57012606885</v>
      </c>
      <c r="AD37" s="26">
        <v>41868940448</v>
      </c>
      <c r="AE37" s="26">
        <v>27568897549</v>
      </c>
      <c r="AF37" s="256">
        <v>12976105803</v>
      </c>
    </row>
    <row r="38" spans="1:32" ht="18" customHeight="1">
      <c r="A38" s="473" t="s">
        <v>260</v>
      </c>
      <c r="B38" s="3" t="b">
        <v>1</v>
      </c>
      <c r="D38" s="13" t="s">
        <v>259</v>
      </c>
      <c r="E38" s="3" t="s">
        <v>258</v>
      </c>
      <c r="F38" s="23">
        <v>301</v>
      </c>
      <c r="G38" s="3" t="s">
        <v>260</v>
      </c>
      <c r="H38" s="5">
        <v>12374944073</v>
      </c>
      <c r="I38" s="5">
        <v>129922706</v>
      </c>
      <c r="J38" s="5">
        <v>223829810</v>
      </c>
      <c r="K38" s="5">
        <v>398129426</v>
      </c>
      <c r="L38" s="14">
        <v>13126826015</v>
      </c>
      <c r="N38" s="216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218">
        <v>0</v>
      </c>
      <c r="X38" s="29">
        <v>13126826015</v>
      </c>
      <c r="Z38" s="223">
        <v>11711279550</v>
      </c>
      <c r="AA38" s="223">
        <v>7785579892</v>
      </c>
      <c r="AB38" s="29">
        <v>3846526795</v>
      </c>
      <c r="AC38" s="5">
        <v>15962194642</v>
      </c>
      <c r="AD38" s="29">
        <v>11013830261</v>
      </c>
      <c r="AE38" s="376">
        <v>7458340686</v>
      </c>
      <c r="AF38" s="467">
        <v>3611887413</v>
      </c>
    </row>
    <row r="39" spans="1:32" ht="18" customHeight="1">
      <c r="A39" s="473" t="s">
        <v>262</v>
      </c>
      <c r="B39" s="3" t="b">
        <v>1</v>
      </c>
      <c r="D39" s="13" t="s">
        <v>261</v>
      </c>
      <c r="E39" s="3" t="s">
        <v>258</v>
      </c>
      <c r="F39" s="23">
        <v>302</v>
      </c>
      <c r="G39" s="3" t="s">
        <v>262</v>
      </c>
      <c r="H39" s="5">
        <v>1449288579</v>
      </c>
      <c r="I39" s="5">
        <v>0</v>
      </c>
      <c r="J39" s="5">
        <v>0</v>
      </c>
      <c r="K39" s="5">
        <v>25961544</v>
      </c>
      <c r="L39" s="14">
        <v>1475250123</v>
      </c>
      <c r="N39" s="216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218">
        <v>0</v>
      </c>
      <c r="X39" s="29">
        <v>1475250123</v>
      </c>
      <c r="Z39" s="223">
        <v>1327209602</v>
      </c>
      <c r="AA39" s="223">
        <v>883413247</v>
      </c>
      <c r="AB39" s="29">
        <v>445699323</v>
      </c>
      <c r="AC39" s="5">
        <v>1716897804</v>
      </c>
      <c r="AD39" s="29">
        <v>1295143664</v>
      </c>
      <c r="AE39" s="376">
        <v>829435383</v>
      </c>
      <c r="AF39" s="467">
        <v>423252238</v>
      </c>
    </row>
    <row r="40" spans="1:32" ht="18" customHeight="1">
      <c r="A40" s="473"/>
      <c r="D40" s="13" t="s">
        <v>1545</v>
      </c>
      <c r="E40" s="3" t="s">
        <v>258</v>
      </c>
      <c r="F40" s="23">
        <v>303</v>
      </c>
      <c r="G40" s="3" t="s">
        <v>758</v>
      </c>
      <c r="H40" s="5">
        <v>296744225</v>
      </c>
      <c r="I40" s="5">
        <v>0</v>
      </c>
      <c r="J40" s="5">
        <v>0</v>
      </c>
      <c r="K40" s="5">
        <v>0</v>
      </c>
      <c r="L40" s="14">
        <v>296744225</v>
      </c>
      <c r="N40" s="216"/>
      <c r="O40" s="5">
        <v>0</v>
      </c>
      <c r="P40" s="5">
        <v>0</v>
      </c>
      <c r="Q40" s="5">
        <v>0</v>
      </c>
      <c r="R40" s="5">
        <v>0</v>
      </c>
      <c r="S40" s="5"/>
      <c r="T40" s="5"/>
      <c r="U40" s="5">
        <v>0</v>
      </c>
      <c r="V40" s="218">
        <v>0</v>
      </c>
      <c r="X40" s="29">
        <v>296744225</v>
      </c>
      <c r="Z40" s="223">
        <v>268215964</v>
      </c>
      <c r="AA40" s="223">
        <v>193291355</v>
      </c>
      <c r="AB40" s="29">
        <v>131581039</v>
      </c>
      <c r="AC40" s="5">
        <v>624260187</v>
      </c>
      <c r="AD40" s="29">
        <v>607214925</v>
      </c>
      <c r="AE40" s="376">
        <v>412306506</v>
      </c>
      <c r="AF40" s="467">
        <v>224894463</v>
      </c>
    </row>
    <row r="41" spans="1:32" ht="18" customHeight="1">
      <c r="A41" s="473" t="s">
        <v>264</v>
      </c>
      <c r="B41" s="3" t="b">
        <v>1</v>
      </c>
      <c r="D41" s="13" t="s">
        <v>263</v>
      </c>
      <c r="E41" s="3" t="s">
        <v>258</v>
      </c>
      <c r="F41" s="23">
        <v>304</v>
      </c>
      <c r="G41" s="3" t="s">
        <v>264</v>
      </c>
      <c r="H41" s="5">
        <v>2207617261</v>
      </c>
      <c r="I41" s="5">
        <v>3379430</v>
      </c>
      <c r="J41" s="5">
        <v>12622526</v>
      </c>
      <c r="K41" s="5">
        <v>102226795</v>
      </c>
      <c r="L41" s="14">
        <v>2325846012</v>
      </c>
      <c r="N41" s="216">
        <v>0</v>
      </c>
      <c r="O41" s="5">
        <v>0</v>
      </c>
      <c r="P41" s="5">
        <v>0</v>
      </c>
      <c r="Q41" s="5">
        <v>0</v>
      </c>
      <c r="R41" s="5">
        <v>0</v>
      </c>
      <c r="S41" s="5">
        <v>-12164555</v>
      </c>
      <c r="T41" s="5">
        <v>0</v>
      </c>
      <c r="U41" s="5">
        <v>0</v>
      </c>
      <c r="V41" s="218">
        <v>-12164555</v>
      </c>
      <c r="X41" s="29">
        <v>2313681457</v>
      </c>
      <c r="Z41" s="223">
        <v>2138531081</v>
      </c>
      <c r="AA41" s="223">
        <v>1394560304</v>
      </c>
      <c r="AB41" s="29">
        <v>668695373</v>
      </c>
      <c r="AC41" s="5">
        <v>3367428459</v>
      </c>
      <c r="AD41" s="29">
        <v>1933525453</v>
      </c>
      <c r="AE41" s="376">
        <v>1288720791</v>
      </c>
      <c r="AF41" s="467">
        <v>606125687</v>
      </c>
    </row>
    <row r="42" spans="1:32" ht="18" customHeight="1">
      <c r="A42" s="473" t="s">
        <v>266</v>
      </c>
      <c r="B42" s="3" t="b">
        <v>1</v>
      </c>
      <c r="D42" s="13" t="s">
        <v>265</v>
      </c>
      <c r="E42" s="3" t="s">
        <v>258</v>
      </c>
      <c r="F42" s="23">
        <v>305</v>
      </c>
      <c r="G42" s="3" t="s">
        <v>266</v>
      </c>
      <c r="H42" s="5">
        <v>53394426</v>
      </c>
      <c r="I42" s="5">
        <v>869782</v>
      </c>
      <c r="J42" s="5">
        <v>16083556</v>
      </c>
      <c r="K42" s="5">
        <v>17777991</v>
      </c>
      <c r="L42" s="14">
        <v>88125755</v>
      </c>
      <c r="N42" s="216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218">
        <v>0</v>
      </c>
      <c r="X42" s="29">
        <v>88125755</v>
      </c>
      <c r="Z42" s="223">
        <v>76143606</v>
      </c>
      <c r="AA42" s="223">
        <v>48071727</v>
      </c>
      <c r="AB42" s="29">
        <v>19473848</v>
      </c>
      <c r="AC42" s="5">
        <v>160800898</v>
      </c>
      <c r="AD42" s="29">
        <v>113208606</v>
      </c>
      <c r="AE42" s="376">
        <v>71547217</v>
      </c>
      <c r="AF42" s="467">
        <v>47114816</v>
      </c>
    </row>
    <row r="43" spans="1:32" ht="18" customHeight="1">
      <c r="A43" s="473" t="s">
        <v>268</v>
      </c>
      <c r="B43" s="3" t="b">
        <v>1</v>
      </c>
      <c r="D43" s="13" t="s">
        <v>267</v>
      </c>
      <c r="E43" s="3" t="s">
        <v>258</v>
      </c>
      <c r="F43" s="23">
        <v>306</v>
      </c>
      <c r="G43" s="3" t="s">
        <v>268</v>
      </c>
      <c r="H43" s="5">
        <v>39589638</v>
      </c>
      <c r="I43" s="5">
        <v>1432977</v>
      </c>
      <c r="J43" s="5">
        <v>0</v>
      </c>
      <c r="K43" s="5">
        <v>12510736</v>
      </c>
      <c r="L43" s="14">
        <v>53533351</v>
      </c>
      <c r="N43" s="216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218">
        <v>0</v>
      </c>
      <c r="X43" s="29">
        <v>53533351</v>
      </c>
      <c r="Z43" s="223">
        <v>48931982</v>
      </c>
      <c r="AA43" s="223">
        <v>26366473</v>
      </c>
      <c r="AB43" s="29">
        <v>12285971</v>
      </c>
      <c r="AC43" s="5">
        <v>74742706</v>
      </c>
      <c r="AD43" s="29">
        <v>48959779</v>
      </c>
      <c r="AE43" s="376">
        <v>30926691</v>
      </c>
      <c r="AF43" s="467">
        <v>21537169</v>
      </c>
    </row>
    <row r="44" spans="1:32" ht="18" customHeight="1">
      <c r="A44" s="473" t="s">
        <v>270</v>
      </c>
      <c r="B44" s="3" t="b">
        <v>1</v>
      </c>
      <c r="D44" s="13" t="s">
        <v>269</v>
      </c>
      <c r="E44" s="3" t="s">
        <v>258</v>
      </c>
      <c r="F44" s="23">
        <v>307</v>
      </c>
      <c r="G44" s="3" t="s">
        <v>270</v>
      </c>
      <c r="H44" s="5">
        <v>192786056</v>
      </c>
      <c r="I44" s="5">
        <v>270188</v>
      </c>
      <c r="J44" s="5">
        <v>13592364</v>
      </c>
      <c r="K44" s="5">
        <v>10107033</v>
      </c>
      <c r="L44" s="14">
        <v>216755641</v>
      </c>
      <c r="N44" s="216">
        <v>0</v>
      </c>
      <c r="O44" s="5">
        <v>0</v>
      </c>
      <c r="P44" s="5">
        <v>0</v>
      </c>
      <c r="Q44" s="5">
        <v>0</v>
      </c>
      <c r="R44" s="5">
        <v>0</v>
      </c>
      <c r="S44" s="5">
        <v>-11611287</v>
      </c>
      <c r="T44" s="5">
        <v>0</v>
      </c>
      <c r="U44" s="5">
        <v>0</v>
      </c>
      <c r="V44" s="218">
        <v>-11611287</v>
      </c>
      <c r="X44" s="29">
        <v>205144354</v>
      </c>
      <c r="Z44" s="223">
        <v>184410002</v>
      </c>
      <c r="AA44" s="223">
        <v>119890130</v>
      </c>
      <c r="AB44" s="29">
        <v>60525511</v>
      </c>
      <c r="AC44" s="5">
        <v>261944781</v>
      </c>
      <c r="AD44" s="29">
        <v>199358425</v>
      </c>
      <c r="AE44" s="376">
        <v>141294395</v>
      </c>
      <c r="AF44" s="467">
        <v>74377005</v>
      </c>
    </row>
    <row r="45" spans="1:32" ht="18" customHeight="1">
      <c r="A45" s="473" t="s">
        <v>272</v>
      </c>
      <c r="B45" s="3" t="b">
        <v>1</v>
      </c>
      <c r="D45" s="13" t="s">
        <v>271</v>
      </c>
      <c r="E45" s="3" t="s">
        <v>258</v>
      </c>
      <c r="F45" s="23">
        <v>308</v>
      </c>
      <c r="G45" s="3" t="s">
        <v>272</v>
      </c>
      <c r="H45" s="5">
        <v>38701100</v>
      </c>
      <c r="I45" s="5">
        <v>921064</v>
      </c>
      <c r="J45" s="5">
        <v>944746</v>
      </c>
      <c r="K45" s="5">
        <v>1999822</v>
      </c>
      <c r="L45" s="14">
        <v>42566732</v>
      </c>
      <c r="N45" s="216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218">
        <v>0</v>
      </c>
      <c r="X45" s="29">
        <v>42566732</v>
      </c>
      <c r="Z45" s="223">
        <v>37983927</v>
      </c>
      <c r="AA45" s="223">
        <v>21714360</v>
      </c>
      <c r="AB45" s="29">
        <v>11454167</v>
      </c>
      <c r="AC45" s="5">
        <v>71626799</v>
      </c>
      <c r="AD45" s="29">
        <v>56927821</v>
      </c>
      <c r="AE45" s="376">
        <v>32730191</v>
      </c>
      <c r="AF45" s="467">
        <v>21051554</v>
      </c>
    </row>
    <row r="46" spans="1:32" ht="18" customHeight="1">
      <c r="A46" s="473" t="s">
        <v>274</v>
      </c>
      <c r="B46" s="3" t="b">
        <v>1</v>
      </c>
      <c r="D46" s="13" t="s">
        <v>273</v>
      </c>
      <c r="E46" s="3" t="s">
        <v>258</v>
      </c>
      <c r="F46" s="23">
        <v>309</v>
      </c>
      <c r="G46" s="3" t="s">
        <v>274</v>
      </c>
      <c r="H46" s="5">
        <v>107306847</v>
      </c>
      <c r="I46" s="5">
        <v>246720</v>
      </c>
      <c r="J46" s="5">
        <v>181504</v>
      </c>
      <c r="K46" s="5">
        <v>693597</v>
      </c>
      <c r="L46" s="14">
        <v>108428668</v>
      </c>
      <c r="N46" s="216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218">
        <v>0</v>
      </c>
      <c r="X46" s="29">
        <v>108428668</v>
      </c>
      <c r="Z46" s="223">
        <v>100526083</v>
      </c>
      <c r="AA46" s="223">
        <v>61881428</v>
      </c>
      <c r="AB46" s="29">
        <v>29083362</v>
      </c>
      <c r="AC46" s="5">
        <v>68952379</v>
      </c>
      <c r="AD46" s="29">
        <v>47682492</v>
      </c>
      <c r="AE46" s="376">
        <v>20889466</v>
      </c>
      <c r="AF46" s="467">
        <v>-3590514</v>
      </c>
    </row>
    <row r="47" spans="1:32" ht="18" customHeight="1">
      <c r="A47" s="473" t="s">
        <v>621</v>
      </c>
      <c r="B47" s="3" t="b">
        <v>1</v>
      </c>
      <c r="D47" s="13">
        <v>629120</v>
      </c>
      <c r="E47" s="3" t="s">
        <v>258</v>
      </c>
      <c r="F47" s="23">
        <v>31001</v>
      </c>
      <c r="G47" s="3" t="s">
        <v>621</v>
      </c>
      <c r="H47" s="5">
        <v>16124810</v>
      </c>
      <c r="I47" s="5">
        <v>0</v>
      </c>
      <c r="J47" s="5">
        <v>0</v>
      </c>
      <c r="K47" s="5">
        <v>0</v>
      </c>
      <c r="L47" s="14">
        <v>16124810</v>
      </c>
      <c r="N47" s="216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218">
        <v>0</v>
      </c>
      <c r="X47" s="29">
        <v>16124810</v>
      </c>
      <c r="Z47" s="223">
        <v>14512329</v>
      </c>
      <c r="AA47" s="223">
        <v>9674886</v>
      </c>
      <c r="AB47" s="29">
        <v>4837443</v>
      </c>
      <c r="AC47" s="5">
        <v>21094052</v>
      </c>
      <c r="AD47" s="29">
        <v>16256609</v>
      </c>
      <c r="AE47" s="376">
        <v>11419166</v>
      </c>
      <c r="AF47" s="467">
        <v>6581723</v>
      </c>
    </row>
    <row r="48" spans="1:32" ht="18" customHeight="1">
      <c r="A48" s="473" t="s">
        <v>622</v>
      </c>
      <c r="B48" s="3" t="b">
        <v>1</v>
      </c>
      <c r="D48" s="13">
        <v>629140</v>
      </c>
      <c r="E48" s="3" t="s">
        <v>258</v>
      </c>
      <c r="F48" s="23">
        <v>310</v>
      </c>
      <c r="G48" s="3" t="s">
        <v>622</v>
      </c>
      <c r="H48" s="5">
        <v>417367261</v>
      </c>
      <c r="I48" s="5">
        <v>84090</v>
      </c>
      <c r="J48" s="5">
        <v>1742529</v>
      </c>
      <c r="K48" s="5">
        <v>7026480</v>
      </c>
      <c r="L48" s="14">
        <v>426220360</v>
      </c>
      <c r="N48" s="216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218">
        <v>0</v>
      </c>
      <c r="X48" s="29">
        <v>426220360</v>
      </c>
      <c r="Z48" s="223">
        <v>380642268</v>
      </c>
      <c r="AA48" s="223">
        <v>252801377</v>
      </c>
      <c r="AB48" s="29">
        <v>127483142</v>
      </c>
      <c r="AC48" s="5">
        <v>448460207</v>
      </c>
      <c r="AD48" s="29">
        <v>336640843</v>
      </c>
      <c r="AE48" s="376">
        <v>233476159</v>
      </c>
      <c r="AF48" s="467">
        <v>114600570</v>
      </c>
    </row>
    <row r="49" spans="1:32" ht="18" customHeight="1">
      <c r="A49" s="473" t="s">
        <v>623</v>
      </c>
      <c r="B49" s="3" t="b">
        <v>1</v>
      </c>
      <c r="D49" s="13">
        <v>629150</v>
      </c>
      <c r="E49" s="3" t="s">
        <v>258</v>
      </c>
      <c r="F49" s="23">
        <v>310</v>
      </c>
      <c r="G49" s="3" t="s">
        <v>623</v>
      </c>
      <c r="H49" s="5">
        <v>15355420</v>
      </c>
      <c r="I49" s="5">
        <v>0</v>
      </c>
      <c r="J49" s="5">
        <v>0</v>
      </c>
      <c r="K49" s="5">
        <v>0</v>
      </c>
      <c r="L49" s="14">
        <v>15355420</v>
      </c>
      <c r="N49" s="216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218">
        <v>0</v>
      </c>
      <c r="X49" s="29">
        <v>15355420</v>
      </c>
      <c r="Z49" s="223">
        <v>9769878</v>
      </c>
      <c r="AA49" s="223">
        <v>6513252</v>
      </c>
      <c r="AB49" s="29">
        <v>3256626</v>
      </c>
      <c r="AC49" s="5">
        <v>26533526</v>
      </c>
      <c r="AD49" s="29">
        <v>23276061</v>
      </c>
      <c r="AE49" s="376">
        <v>20018616</v>
      </c>
      <c r="AF49" s="467">
        <v>13239042</v>
      </c>
    </row>
    <row r="50" spans="1:32" ht="18" customHeight="1">
      <c r="A50" s="473" t="s">
        <v>624</v>
      </c>
      <c r="B50" s="3" t="b">
        <v>1</v>
      </c>
      <c r="D50" s="13">
        <v>651100</v>
      </c>
      <c r="E50" s="3" t="s">
        <v>258</v>
      </c>
      <c r="F50" s="23">
        <v>335</v>
      </c>
      <c r="G50" s="3" t="s">
        <v>624</v>
      </c>
      <c r="H50" s="5">
        <v>1779427207</v>
      </c>
      <c r="I50" s="5">
        <v>32312292</v>
      </c>
      <c r="J50" s="5">
        <v>10935046</v>
      </c>
      <c r="K50" s="5">
        <v>294268878</v>
      </c>
      <c r="L50" s="14">
        <v>2116943423</v>
      </c>
      <c r="N50" s="216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218">
        <v>0</v>
      </c>
      <c r="X50" s="29">
        <v>2116943423</v>
      </c>
      <c r="Z50" s="223">
        <v>1892354999</v>
      </c>
      <c r="AA50" s="223">
        <v>1249516809</v>
      </c>
      <c r="AB50" s="29">
        <v>641228390</v>
      </c>
      <c r="AC50" s="5">
        <v>2293823046</v>
      </c>
      <c r="AD50" s="29">
        <v>1815563936</v>
      </c>
      <c r="AE50" s="376">
        <v>1176416849</v>
      </c>
      <c r="AF50" s="467">
        <v>595878188</v>
      </c>
    </row>
    <row r="51" spans="1:32" ht="18" customHeight="1">
      <c r="A51" s="473" t="s">
        <v>625</v>
      </c>
      <c r="B51" s="3" t="b">
        <v>1</v>
      </c>
      <c r="D51" s="13">
        <v>651110</v>
      </c>
      <c r="E51" s="3" t="s">
        <v>258</v>
      </c>
      <c r="F51" s="23">
        <v>334</v>
      </c>
      <c r="G51" s="3" t="s">
        <v>625</v>
      </c>
      <c r="H51" s="5">
        <v>36530889</v>
      </c>
      <c r="I51" s="5">
        <v>0</v>
      </c>
      <c r="J51" s="5">
        <v>0</v>
      </c>
      <c r="K51" s="5">
        <v>0</v>
      </c>
      <c r="L51" s="14">
        <v>36530889</v>
      </c>
      <c r="N51" s="216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218">
        <v>0</v>
      </c>
      <c r="X51" s="29">
        <v>36530889</v>
      </c>
      <c r="Z51" s="223">
        <v>32994408</v>
      </c>
      <c r="AA51" s="223">
        <v>21974616</v>
      </c>
      <c r="AB51" s="29">
        <v>12831345</v>
      </c>
      <c r="AC51" s="5">
        <v>38021107</v>
      </c>
      <c r="AD51" s="29">
        <v>28731481</v>
      </c>
      <c r="AE51" s="376">
        <v>19441855</v>
      </c>
      <c r="AF51" s="467">
        <v>10152229</v>
      </c>
    </row>
    <row r="52" spans="1:32" ht="18" customHeight="1">
      <c r="A52" s="473" t="s">
        <v>2276</v>
      </c>
      <c r="B52" s="3" t="b">
        <v>0</v>
      </c>
      <c r="D52" s="368">
        <v>651120</v>
      </c>
      <c r="E52" s="369" t="s">
        <v>258</v>
      </c>
      <c r="F52" s="369">
        <v>336</v>
      </c>
      <c r="G52" s="211" t="s">
        <v>2023</v>
      </c>
      <c r="H52" s="5">
        <v>40147179</v>
      </c>
      <c r="I52" s="5">
        <v>0</v>
      </c>
      <c r="J52" s="5">
        <v>0</v>
      </c>
      <c r="K52" s="5">
        <v>0</v>
      </c>
      <c r="L52" s="14">
        <v>40147179</v>
      </c>
      <c r="N52" s="216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218">
        <v>0</v>
      </c>
      <c r="X52" s="29">
        <v>40147179</v>
      </c>
      <c r="Z52" s="223">
        <v>36132462</v>
      </c>
      <c r="AA52" s="223">
        <v>24088308</v>
      </c>
      <c r="AB52" s="29">
        <v>12044154</v>
      </c>
      <c r="AC52" s="5">
        <v>4014718</v>
      </c>
      <c r="AD52" s="29"/>
      <c r="AE52" s="376">
        <v>0</v>
      </c>
      <c r="AF52" s="467">
        <v>0</v>
      </c>
    </row>
    <row r="53" spans="1:32" ht="18" customHeight="1">
      <c r="A53" s="473" t="s">
        <v>386</v>
      </c>
      <c r="B53" s="3" t="b">
        <v>1</v>
      </c>
      <c r="D53" s="13" t="s">
        <v>390</v>
      </c>
      <c r="E53" s="3" t="s">
        <v>258</v>
      </c>
      <c r="F53" s="23">
        <v>326</v>
      </c>
      <c r="G53" s="3" t="s">
        <v>386</v>
      </c>
      <c r="H53" s="5">
        <v>3197290531</v>
      </c>
      <c r="I53" s="5">
        <v>0</v>
      </c>
      <c r="J53" s="5">
        <v>0</v>
      </c>
      <c r="K53" s="5">
        <v>12991793</v>
      </c>
      <c r="L53" s="14">
        <v>3210282324</v>
      </c>
      <c r="N53" s="216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218">
        <v>0</v>
      </c>
      <c r="X53" s="29">
        <v>3210282324</v>
      </c>
      <c r="Z53" s="223">
        <v>2889770633</v>
      </c>
      <c r="AA53" s="223">
        <v>1935563251</v>
      </c>
      <c r="AB53" s="29">
        <v>1038952376</v>
      </c>
      <c r="AC53" s="5">
        <v>6564079983</v>
      </c>
      <c r="AD53" s="29">
        <v>4974888158</v>
      </c>
      <c r="AE53" s="376">
        <v>3363696382</v>
      </c>
      <c r="AF53" s="467">
        <v>1726057901</v>
      </c>
    </row>
    <row r="54" spans="1:32" ht="18" customHeight="1">
      <c r="A54" s="473" t="s">
        <v>276</v>
      </c>
      <c r="B54" s="3" t="b">
        <v>1</v>
      </c>
      <c r="D54" s="13" t="s">
        <v>275</v>
      </c>
      <c r="E54" s="3" t="s">
        <v>258</v>
      </c>
      <c r="F54" s="23">
        <v>311</v>
      </c>
      <c r="G54" s="3" t="s">
        <v>276</v>
      </c>
      <c r="H54" s="5">
        <v>158574669</v>
      </c>
      <c r="I54" s="5">
        <v>1600000</v>
      </c>
      <c r="J54" s="5">
        <v>0</v>
      </c>
      <c r="K54" s="5">
        <v>38814764</v>
      </c>
      <c r="L54" s="14">
        <v>198989433</v>
      </c>
      <c r="N54" s="216">
        <v>0</v>
      </c>
      <c r="O54" s="5">
        <v>0</v>
      </c>
      <c r="P54" s="5">
        <v>0</v>
      </c>
      <c r="Q54" s="5">
        <v>0</v>
      </c>
      <c r="R54" s="5">
        <v>0</v>
      </c>
      <c r="S54" s="5">
        <v>-13884590</v>
      </c>
      <c r="T54" s="5">
        <v>0</v>
      </c>
      <c r="U54" s="5">
        <v>0</v>
      </c>
      <c r="V54" s="218">
        <v>-13884590</v>
      </c>
      <c r="X54" s="29">
        <v>185104843</v>
      </c>
      <c r="Z54" s="223">
        <v>165280692</v>
      </c>
      <c r="AA54" s="223">
        <v>109810899</v>
      </c>
      <c r="AB54" s="29">
        <v>54961332</v>
      </c>
      <c r="AC54" s="5">
        <v>280231919</v>
      </c>
      <c r="AD54" s="29">
        <v>189381686</v>
      </c>
      <c r="AE54" s="376">
        <v>204176901</v>
      </c>
      <c r="AF54" s="467">
        <v>103500094</v>
      </c>
    </row>
    <row r="55" spans="1:32" ht="18" customHeight="1">
      <c r="A55" s="473" t="s">
        <v>1686</v>
      </c>
      <c r="B55" s="3" t="b">
        <v>1</v>
      </c>
      <c r="D55" s="13" t="s">
        <v>1833</v>
      </c>
      <c r="E55" s="3" t="s">
        <v>258</v>
      </c>
      <c r="F55" s="23">
        <v>31101</v>
      </c>
      <c r="G55" s="3" t="s">
        <v>1686</v>
      </c>
      <c r="H55" s="5">
        <v>0</v>
      </c>
      <c r="I55" s="5">
        <v>8363000</v>
      </c>
      <c r="J55" s="5">
        <v>22916066</v>
      </c>
      <c r="K55" s="5">
        <v>0</v>
      </c>
      <c r="L55" s="14">
        <v>31279066</v>
      </c>
      <c r="N55" s="216">
        <v>0</v>
      </c>
      <c r="O55" s="5">
        <v>0</v>
      </c>
      <c r="P55" s="5">
        <v>0</v>
      </c>
      <c r="Q55" s="5">
        <v>0</v>
      </c>
      <c r="R55" s="5">
        <v>0</v>
      </c>
      <c r="S55" s="5">
        <v>5137877</v>
      </c>
      <c r="T55" s="5">
        <v>0</v>
      </c>
      <c r="U55" s="5">
        <v>0</v>
      </c>
      <c r="V55" s="218">
        <v>5137877</v>
      </c>
      <c r="X55" s="29">
        <v>36416943</v>
      </c>
      <c r="Z55" s="223">
        <v>34089796</v>
      </c>
      <c r="AA55" s="223">
        <v>20779229</v>
      </c>
      <c r="AB55" s="29">
        <v>11647803</v>
      </c>
      <c r="AC55" s="5">
        <v>70594266</v>
      </c>
      <c r="AD55" s="29">
        <v>49856252</v>
      </c>
      <c r="AE55" s="376">
        <v>32361713</v>
      </c>
      <c r="AF55" s="467">
        <v>13682116</v>
      </c>
    </row>
    <row r="56" spans="1:32" ht="18" customHeight="1">
      <c r="A56" s="473" t="s">
        <v>1687</v>
      </c>
      <c r="B56" s="3" t="b">
        <v>1</v>
      </c>
      <c r="D56" s="13" t="s">
        <v>1835</v>
      </c>
      <c r="E56" s="3" t="s">
        <v>258</v>
      </c>
      <c r="F56" s="23">
        <v>31102</v>
      </c>
      <c r="G56" s="3" t="s">
        <v>1687</v>
      </c>
      <c r="H56" s="5">
        <v>0</v>
      </c>
      <c r="I56" s="5">
        <v>0</v>
      </c>
      <c r="J56" s="5">
        <v>0</v>
      </c>
      <c r="K56" s="5">
        <v>729554</v>
      </c>
      <c r="L56" s="14">
        <v>729554</v>
      </c>
      <c r="N56" s="216">
        <v>0</v>
      </c>
      <c r="O56" s="5">
        <v>0</v>
      </c>
      <c r="P56" s="5">
        <v>0</v>
      </c>
      <c r="Q56" s="5">
        <v>0</v>
      </c>
      <c r="R56" s="5">
        <v>0</v>
      </c>
      <c r="S56" s="5">
        <v>32522555</v>
      </c>
      <c r="T56" s="5">
        <v>0</v>
      </c>
      <c r="U56" s="5">
        <v>0</v>
      </c>
      <c r="V56" s="218">
        <v>32522555</v>
      </c>
      <c r="X56" s="29">
        <v>33252109</v>
      </c>
      <c r="Z56" s="223">
        <v>29971312</v>
      </c>
      <c r="AA56" s="223">
        <v>18546419</v>
      </c>
      <c r="AB56" s="29">
        <v>9472688</v>
      </c>
      <c r="AC56" s="5">
        <v>37959092</v>
      </c>
      <c r="AD56" s="29">
        <v>28865267</v>
      </c>
      <c r="AE56" s="376">
        <v>19433624</v>
      </c>
      <c r="AF56" s="467">
        <v>9966818</v>
      </c>
    </row>
    <row r="57" spans="1:32" ht="18" customHeight="1">
      <c r="A57" s="473" t="s">
        <v>278</v>
      </c>
      <c r="B57" s="3" t="b">
        <v>1</v>
      </c>
      <c r="D57" s="13" t="s">
        <v>277</v>
      </c>
      <c r="E57" s="3" t="s">
        <v>258</v>
      </c>
      <c r="F57" s="23">
        <v>312</v>
      </c>
      <c r="G57" s="3" t="s">
        <v>278</v>
      </c>
      <c r="H57" s="5">
        <v>222034582</v>
      </c>
      <c r="I57" s="5">
        <v>0</v>
      </c>
      <c r="J57" s="5">
        <v>0</v>
      </c>
      <c r="K57" s="5">
        <v>0</v>
      </c>
      <c r="L57" s="14">
        <v>222034582</v>
      </c>
      <c r="N57" s="216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218">
        <v>0</v>
      </c>
      <c r="X57" s="29">
        <v>222034582</v>
      </c>
      <c r="Z57" s="223">
        <v>198476784</v>
      </c>
      <c r="AA57" s="223">
        <v>140212661</v>
      </c>
      <c r="AB57" s="29">
        <v>63663200</v>
      </c>
      <c r="AC57" s="5">
        <v>221476500</v>
      </c>
      <c r="AD57" s="29">
        <v>167121113</v>
      </c>
      <c r="AE57" s="376">
        <v>108901499</v>
      </c>
      <c r="AF57" s="467">
        <v>53005000</v>
      </c>
    </row>
    <row r="58" spans="1:32" ht="18" customHeight="1">
      <c r="A58" s="473" t="s">
        <v>280</v>
      </c>
      <c r="B58" s="3" t="b">
        <v>1</v>
      </c>
      <c r="D58" s="13" t="s">
        <v>279</v>
      </c>
      <c r="E58" s="3" t="s">
        <v>258</v>
      </c>
      <c r="F58" s="23">
        <v>313</v>
      </c>
      <c r="G58" s="3" t="s">
        <v>280</v>
      </c>
      <c r="H58" s="5">
        <v>25794059</v>
      </c>
      <c r="I58" s="5">
        <v>8813700</v>
      </c>
      <c r="J58" s="5">
        <v>4895425</v>
      </c>
      <c r="K58" s="5">
        <v>0</v>
      </c>
      <c r="L58" s="14">
        <v>39503184</v>
      </c>
      <c r="N58" s="216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218">
        <v>0</v>
      </c>
      <c r="X58" s="29">
        <v>39503184</v>
      </c>
      <c r="Z58" s="223">
        <v>33515484</v>
      </c>
      <c r="AA58" s="223">
        <v>24091218</v>
      </c>
      <c r="AB58" s="29">
        <v>15443921</v>
      </c>
      <c r="AC58" s="5">
        <v>38076323</v>
      </c>
      <c r="AD58" s="29">
        <v>21151528</v>
      </c>
      <c r="AE58" s="376">
        <v>14273109</v>
      </c>
      <c r="AF58" s="467">
        <v>9487208</v>
      </c>
    </row>
    <row r="59" spans="1:32" ht="18" customHeight="1">
      <c r="A59" s="473" t="s">
        <v>282</v>
      </c>
      <c r="B59" s="3" t="b">
        <v>1</v>
      </c>
      <c r="D59" s="13" t="s">
        <v>281</v>
      </c>
      <c r="E59" s="3" t="s">
        <v>258</v>
      </c>
      <c r="F59" s="23">
        <v>314</v>
      </c>
      <c r="G59" s="3" t="s">
        <v>282</v>
      </c>
      <c r="H59" s="5">
        <v>18328889</v>
      </c>
      <c r="I59" s="5">
        <v>89200</v>
      </c>
      <c r="J59" s="5">
        <v>7684782</v>
      </c>
      <c r="K59" s="5">
        <v>0</v>
      </c>
      <c r="L59" s="14">
        <v>26102871</v>
      </c>
      <c r="N59" s="216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218">
        <v>0</v>
      </c>
      <c r="X59" s="29">
        <v>26102871</v>
      </c>
      <c r="Z59" s="223">
        <v>23272449</v>
      </c>
      <c r="AA59" s="223">
        <v>14076006</v>
      </c>
      <c r="AB59" s="29">
        <v>6016633</v>
      </c>
      <c r="AC59" s="5">
        <v>32664446</v>
      </c>
      <c r="AD59" s="29">
        <v>22071603</v>
      </c>
      <c r="AE59" s="376">
        <v>13334124</v>
      </c>
      <c r="AF59" s="467">
        <v>5803577</v>
      </c>
    </row>
    <row r="60" spans="1:32" ht="18" customHeight="1">
      <c r="A60" s="473" t="s">
        <v>284</v>
      </c>
      <c r="B60" s="3" t="b">
        <v>1</v>
      </c>
      <c r="D60" s="13" t="s">
        <v>283</v>
      </c>
      <c r="E60" s="3" t="s">
        <v>258</v>
      </c>
      <c r="F60" s="23">
        <v>315</v>
      </c>
      <c r="G60" s="3" t="s">
        <v>284</v>
      </c>
      <c r="H60" s="5">
        <v>1899334931</v>
      </c>
      <c r="I60" s="5">
        <v>0</v>
      </c>
      <c r="J60" s="5">
        <v>0</v>
      </c>
      <c r="K60" s="5">
        <v>0</v>
      </c>
      <c r="L60" s="14">
        <v>1899334931</v>
      </c>
      <c r="N60" s="216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218">
        <v>0</v>
      </c>
      <c r="X60" s="29">
        <v>1899334931</v>
      </c>
      <c r="Z60" s="223">
        <v>1641055039</v>
      </c>
      <c r="AA60" s="223">
        <v>1103832436</v>
      </c>
      <c r="AB60" s="29">
        <v>591678254</v>
      </c>
      <c r="AC60" s="5">
        <v>2152821079</v>
      </c>
      <c r="AD60" s="29">
        <v>1488146980</v>
      </c>
      <c r="AE60" s="376">
        <v>825762963</v>
      </c>
      <c r="AF60" s="467">
        <v>412371238</v>
      </c>
    </row>
    <row r="61" spans="1:32" ht="18" customHeight="1">
      <c r="A61" s="473" t="s">
        <v>286</v>
      </c>
      <c r="B61" s="3" t="b">
        <v>1</v>
      </c>
      <c r="D61" s="13" t="s">
        <v>285</v>
      </c>
      <c r="E61" s="3" t="s">
        <v>258</v>
      </c>
      <c r="F61" s="23">
        <v>316</v>
      </c>
      <c r="G61" s="3" t="s">
        <v>286</v>
      </c>
      <c r="H61" s="5">
        <v>224267979</v>
      </c>
      <c r="I61" s="5">
        <v>198800</v>
      </c>
      <c r="J61" s="5">
        <v>2170382</v>
      </c>
      <c r="K61" s="5">
        <v>34756859</v>
      </c>
      <c r="L61" s="14">
        <v>261394020</v>
      </c>
      <c r="N61" s="216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218">
        <v>0</v>
      </c>
      <c r="X61" s="29">
        <v>261394020</v>
      </c>
      <c r="Z61" s="223">
        <v>233093597</v>
      </c>
      <c r="AA61" s="223">
        <v>148954706</v>
      </c>
      <c r="AB61" s="29">
        <v>42293431</v>
      </c>
      <c r="AC61" s="5">
        <v>269515934</v>
      </c>
      <c r="AD61" s="29">
        <v>219135659</v>
      </c>
      <c r="AE61" s="376">
        <v>131624343</v>
      </c>
      <c r="AF61" s="467">
        <v>64492218</v>
      </c>
    </row>
    <row r="62" spans="1:32" ht="18" customHeight="1">
      <c r="A62" s="473" t="s">
        <v>288</v>
      </c>
      <c r="B62" s="3" t="b">
        <v>1</v>
      </c>
      <c r="D62" s="13" t="s">
        <v>287</v>
      </c>
      <c r="E62" s="3" t="s">
        <v>258</v>
      </c>
      <c r="F62" s="23">
        <v>317</v>
      </c>
      <c r="G62" s="3" t="s">
        <v>288</v>
      </c>
      <c r="H62" s="5">
        <v>69587935</v>
      </c>
      <c r="I62" s="5">
        <v>0</v>
      </c>
      <c r="J62" s="5">
        <v>0</v>
      </c>
      <c r="K62" s="5">
        <v>0</v>
      </c>
      <c r="L62" s="14">
        <v>69587935</v>
      </c>
      <c r="N62" s="216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218">
        <v>0</v>
      </c>
      <c r="X62" s="29">
        <v>69587935</v>
      </c>
      <c r="Z62" s="223">
        <v>63237354</v>
      </c>
      <c r="AA62" s="223">
        <v>43397339</v>
      </c>
      <c r="AB62" s="29">
        <v>18285547</v>
      </c>
      <c r="AC62" s="5">
        <v>95049509</v>
      </c>
      <c r="AD62" s="29">
        <v>49884923</v>
      </c>
      <c r="AE62" s="376">
        <v>32326692</v>
      </c>
      <c r="AF62" s="467">
        <v>17139619</v>
      </c>
    </row>
    <row r="63" spans="1:32" ht="18" customHeight="1">
      <c r="A63" s="473" t="s">
        <v>290</v>
      </c>
      <c r="B63" s="3" t="b">
        <v>1</v>
      </c>
      <c r="D63" s="13" t="s">
        <v>289</v>
      </c>
      <c r="E63" s="3" t="s">
        <v>258</v>
      </c>
      <c r="F63" s="23">
        <v>318</v>
      </c>
      <c r="G63" s="3" t="s">
        <v>290</v>
      </c>
      <c r="H63" s="5">
        <v>8801566</v>
      </c>
      <c r="I63" s="5">
        <v>0</v>
      </c>
      <c r="J63" s="5">
        <v>0</v>
      </c>
      <c r="K63" s="5">
        <v>2296521</v>
      </c>
      <c r="L63" s="14">
        <v>11098087</v>
      </c>
      <c r="N63" s="216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218">
        <v>0</v>
      </c>
      <c r="X63" s="29">
        <v>11098087</v>
      </c>
      <c r="Z63" s="223">
        <v>9452233</v>
      </c>
      <c r="AA63" s="223">
        <v>5459185</v>
      </c>
      <c r="AB63" s="29">
        <v>2856845</v>
      </c>
      <c r="AC63" s="5">
        <v>49223609</v>
      </c>
      <c r="AD63" s="29">
        <v>28259778</v>
      </c>
      <c r="AE63" s="376">
        <v>14508224</v>
      </c>
      <c r="AF63" s="467">
        <v>5519048</v>
      </c>
    </row>
    <row r="64" spans="1:32" ht="18" customHeight="1">
      <c r="A64" s="473" t="s">
        <v>292</v>
      </c>
      <c r="B64" s="3" t="b">
        <v>1</v>
      </c>
      <c r="D64" s="13" t="s">
        <v>291</v>
      </c>
      <c r="E64" s="3" t="s">
        <v>258</v>
      </c>
      <c r="F64" s="23">
        <v>319</v>
      </c>
      <c r="G64" s="3" t="s">
        <v>292</v>
      </c>
      <c r="H64" s="5">
        <v>1047506</v>
      </c>
      <c r="I64" s="5">
        <v>5720</v>
      </c>
      <c r="J64" s="5">
        <v>0</v>
      </c>
      <c r="K64" s="5">
        <v>1029203</v>
      </c>
      <c r="L64" s="14">
        <v>2082429</v>
      </c>
      <c r="N64" s="216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218">
        <v>0</v>
      </c>
      <c r="X64" s="29">
        <v>2082429</v>
      </c>
      <c r="Z64" s="223">
        <v>1968195</v>
      </c>
      <c r="AA64" s="223">
        <v>1305214</v>
      </c>
      <c r="AB64" s="29">
        <v>573965</v>
      </c>
      <c r="AC64" s="5">
        <v>11041081</v>
      </c>
      <c r="AD64" s="29">
        <v>7347669</v>
      </c>
      <c r="AE64" s="376">
        <v>5041273</v>
      </c>
      <c r="AF64" s="467">
        <v>4234808</v>
      </c>
    </row>
    <row r="65" spans="1:32" ht="18" customHeight="1">
      <c r="A65" s="473" t="s">
        <v>294</v>
      </c>
      <c r="B65" s="3" t="b">
        <v>1</v>
      </c>
      <c r="D65" s="13" t="s">
        <v>293</v>
      </c>
      <c r="E65" s="3" t="s">
        <v>258</v>
      </c>
      <c r="F65" s="23">
        <v>320</v>
      </c>
      <c r="G65" s="3" t="s">
        <v>294</v>
      </c>
      <c r="H65" s="5">
        <v>34703319</v>
      </c>
      <c r="I65" s="5">
        <v>14471883</v>
      </c>
      <c r="J65" s="5">
        <v>618420</v>
      </c>
      <c r="K65" s="5">
        <v>12666027</v>
      </c>
      <c r="L65" s="14">
        <v>62459649</v>
      </c>
      <c r="N65" s="216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218">
        <v>0</v>
      </c>
      <c r="X65" s="29">
        <v>62459649</v>
      </c>
      <c r="Z65" s="223">
        <v>39885329</v>
      </c>
      <c r="AA65" s="223">
        <v>20539880</v>
      </c>
      <c r="AB65" s="29">
        <v>6538534</v>
      </c>
      <c r="AC65" s="5">
        <v>102832023</v>
      </c>
      <c r="AD65" s="29">
        <v>71806900</v>
      </c>
      <c r="AE65" s="376">
        <v>34049647</v>
      </c>
      <c r="AF65" s="467">
        <v>15653627</v>
      </c>
    </row>
    <row r="66" spans="1:32" ht="18" customHeight="1">
      <c r="A66" s="473" t="s">
        <v>296</v>
      </c>
      <c r="B66" s="3" t="b">
        <v>1</v>
      </c>
      <c r="D66" s="13" t="s">
        <v>295</v>
      </c>
      <c r="E66" s="3" t="s">
        <v>258</v>
      </c>
      <c r="F66" s="23">
        <v>321</v>
      </c>
      <c r="G66" s="3" t="s">
        <v>296</v>
      </c>
      <c r="H66" s="5">
        <v>9547480007</v>
      </c>
      <c r="I66" s="5">
        <v>314161839</v>
      </c>
      <c r="J66" s="5">
        <v>1811631</v>
      </c>
      <c r="K66" s="5">
        <v>188763489</v>
      </c>
      <c r="L66" s="14">
        <v>10052216966</v>
      </c>
      <c r="N66" s="216">
        <v>0</v>
      </c>
      <c r="O66" s="5">
        <v>0</v>
      </c>
      <c r="P66" s="5">
        <v>-9236031</v>
      </c>
      <c r="Q66" s="5">
        <v>0</v>
      </c>
      <c r="R66" s="5">
        <v>0</v>
      </c>
      <c r="S66" s="5">
        <v>20000000</v>
      </c>
      <c r="T66" s="5">
        <v>0</v>
      </c>
      <c r="U66" s="5">
        <v>0</v>
      </c>
      <c r="V66" s="218">
        <v>10763969</v>
      </c>
      <c r="X66" s="29">
        <v>10062980935</v>
      </c>
      <c r="Z66" s="223">
        <v>9121612337</v>
      </c>
      <c r="AA66" s="223">
        <v>5984203612</v>
      </c>
      <c r="AB66" s="29">
        <v>2670334228</v>
      </c>
      <c r="AC66" s="5">
        <v>12079400941</v>
      </c>
      <c r="AD66" s="29">
        <v>8858891402</v>
      </c>
      <c r="AE66" s="376">
        <v>5959592616</v>
      </c>
      <c r="AF66" s="467">
        <v>3017605044</v>
      </c>
    </row>
    <row r="67" spans="1:32" ht="18" customHeight="1">
      <c r="A67" s="473" t="s">
        <v>298</v>
      </c>
      <c r="B67" s="3" t="b">
        <v>1</v>
      </c>
      <c r="D67" s="13" t="s">
        <v>297</v>
      </c>
      <c r="E67" s="3" t="s">
        <v>258</v>
      </c>
      <c r="F67" s="23">
        <v>322</v>
      </c>
      <c r="G67" s="3" t="s">
        <v>298</v>
      </c>
      <c r="H67" s="5">
        <v>2706809696</v>
      </c>
      <c r="I67" s="5">
        <v>0</v>
      </c>
      <c r="J67" s="5">
        <v>0</v>
      </c>
      <c r="K67" s="5">
        <v>46653988</v>
      </c>
      <c r="L67" s="14">
        <v>2753463684</v>
      </c>
      <c r="N67" s="216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218">
        <v>0</v>
      </c>
      <c r="X67" s="29">
        <v>2753463684</v>
      </c>
      <c r="Z67" s="223">
        <v>2442857860</v>
      </c>
      <c r="AA67" s="223">
        <v>1279182366</v>
      </c>
      <c r="AB67" s="29">
        <v>686706965</v>
      </c>
      <c r="AC67" s="5">
        <v>7507088261</v>
      </c>
      <c r="AD67" s="29">
        <v>6152327444</v>
      </c>
      <c r="AE67" s="376">
        <v>3749396710</v>
      </c>
      <c r="AF67" s="467">
        <v>1263816934</v>
      </c>
    </row>
    <row r="68" spans="1:32" ht="18" customHeight="1">
      <c r="A68" s="473" t="s">
        <v>300</v>
      </c>
      <c r="B68" s="3" t="b">
        <v>1</v>
      </c>
      <c r="D68" s="13" t="s">
        <v>299</v>
      </c>
      <c r="E68" s="3" t="s">
        <v>258</v>
      </c>
      <c r="F68" s="23">
        <v>323</v>
      </c>
      <c r="G68" s="3" t="s">
        <v>300</v>
      </c>
      <c r="H68" s="5">
        <v>114333525</v>
      </c>
      <c r="I68" s="5">
        <v>0</v>
      </c>
      <c r="J68" s="5">
        <v>0</v>
      </c>
      <c r="K68" s="5">
        <v>0</v>
      </c>
      <c r="L68" s="14">
        <v>114333525</v>
      </c>
      <c r="N68" s="216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218">
        <v>0</v>
      </c>
      <c r="X68" s="29">
        <v>114333525</v>
      </c>
      <c r="Z68" s="223">
        <v>106399836</v>
      </c>
      <c r="AA68" s="223">
        <v>80113514</v>
      </c>
      <c r="AB68" s="29">
        <v>10664113</v>
      </c>
      <c r="AC68" s="5">
        <v>165746244</v>
      </c>
      <c r="AD68" s="29">
        <v>150244488</v>
      </c>
      <c r="AE68" s="376">
        <v>108328052</v>
      </c>
      <c r="AF68" s="467">
        <v>51379916</v>
      </c>
    </row>
    <row r="69" spans="1:32" ht="18" customHeight="1">
      <c r="A69" s="473" t="s">
        <v>302</v>
      </c>
      <c r="B69" s="3" t="b">
        <v>1</v>
      </c>
      <c r="D69" s="13" t="s">
        <v>301</v>
      </c>
      <c r="E69" s="3" t="s">
        <v>258</v>
      </c>
      <c r="F69" s="23">
        <v>324</v>
      </c>
      <c r="G69" s="3" t="s">
        <v>302</v>
      </c>
      <c r="H69" s="5">
        <v>-222716469</v>
      </c>
      <c r="I69" s="5">
        <v>0</v>
      </c>
      <c r="J69" s="5">
        <v>0</v>
      </c>
      <c r="K69" s="5">
        <v>0</v>
      </c>
      <c r="L69" s="14">
        <v>-222716469</v>
      </c>
      <c r="N69" s="216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218">
        <v>0</v>
      </c>
      <c r="X69" s="29">
        <v>-222716469</v>
      </c>
      <c r="Z69" s="223">
        <v>-222716469</v>
      </c>
      <c r="AA69" s="223">
        <v>-207056800</v>
      </c>
      <c r="AB69" s="29">
        <v>-79674763</v>
      </c>
      <c r="AC69" s="5">
        <v>-28983221</v>
      </c>
      <c r="AD69" s="29">
        <v>214584279</v>
      </c>
      <c r="AE69" s="376">
        <v>34487985</v>
      </c>
      <c r="AF69" s="467">
        <v>-30603133</v>
      </c>
    </row>
    <row r="70" spans="1:32" ht="18" customHeight="1">
      <c r="A70" s="473" t="s">
        <v>304</v>
      </c>
      <c r="B70" s="3" t="b">
        <v>1</v>
      </c>
      <c r="D70" s="13" t="s">
        <v>303</v>
      </c>
      <c r="E70" s="3" t="s">
        <v>258</v>
      </c>
      <c r="F70" s="23">
        <v>325</v>
      </c>
      <c r="G70" s="3" t="s">
        <v>304</v>
      </c>
      <c r="H70" s="5">
        <v>132324850</v>
      </c>
      <c r="I70" s="5">
        <v>0</v>
      </c>
      <c r="J70" s="5">
        <v>0</v>
      </c>
      <c r="K70" s="5">
        <v>0</v>
      </c>
      <c r="L70" s="14">
        <v>132324850</v>
      </c>
      <c r="N70" s="216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218">
        <v>0</v>
      </c>
      <c r="X70" s="29">
        <v>132324850</v>
      </c>
      <c r="Z70" s="223">
        <v>114113147</v>
      </c>
      <c r="AA70" s="223">
        <v>71766395</v>
      </c>
      <c r="AB70" s="29">
        <v>24243242</v>
      </c>
      <c r="AC70" s="5">
        <v>211007300</v>
      </c>
      <c r="AD70" s="29">
        <v>159787089</v>
      </c>
      <c r="AE70" s="376">
        <v>111191022</v>
      </c>
      <c r="AF70" s="467">
        <v>50338232</v>
      </c>
    </row>
    <row r="71" spans="1:32" ht="18" customHeight="1">
      <c r="A71" s="473" t="s">
        <v>306</v>
      </c>
      <c r="B71" s="3" t="b">
        <v>1</v>
      </c>
      <c r="D71" s="13" t="s">
        <v>305</v>
      </c>
      <c r="E71" s="3" t="s">
        <v>258</v>
      </c>
      <c r="F71" s="23">
        <v>327</v>
      </c>
      <c r="G71" s="3" t="s">
        <v>306</v>
      </c>
      <c r="H71" s="5">
        <v>63117543</v>
      </c>
      <c r="I71" s="5">
        <v>0</v>
      </c>
      <c r="J71" s="5">
        <v>218277</v>
      </c>
      <c r="K71" s="5">
        <v>3440837</v>
      </c>
      <c r="L71" s="14">
        <v>66776657</v>
      </c>
      <c r="N71" s="216">
        <v>0</v>
      </c>
      <c r="O71" s="5">
        <v>0</v>
      </c>
      <c r="P71" s="5">
        <v>-2066780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218">
        <v>-2066780</v>
      </c>
      <c r="X71" s="29">
        <v>64709877</v>
      </c>
      <c r="Z71" s="223">
        <v>54522375</v>
      </c>
      <c r="AA71" s="223">
        <v>41251805</v>
      </c>
      <c r="AB71" s="29">
        <v>22392964</v>
      </c>
      <c r="AC71" s="5">
        <v>245219711</v>
      </c>
      <c r="AD71" s="29">
        <v>214585686</v>
      </c>
      <c r="AE71" s="376">
        <v>201873599</v>
      </c>
      <c r="AF71" s="467">
        <v>100147086</v>
      </c>
    </row>
    <row r="72" spans="1:32" ht="18" customHeight="1">
      <c r="A72" s="473" t="s">
        <v>308</v>
      </c>
      <c r="B72" s="3" t="b">
        <v>1</v>
      </c>
      <c r="D72" s="13" t="s">
        <v>307</v>
      </c>
      <c r="E72" s="3" t="s">
        <v>258</v>
      </c>
      <c r="F72" s="23">
        <v>328</v>
      </c>
      <c r="G72" s="3" t="s">
        <v>308</v>
      </c>
      <c r="H72" s="5">
        <v>525172831</v>
      </c>
      <c r="I72" s="5">
        <v>0</v>
      </c>
      <c r="J72" s="5">
        <v>0</v>
      </c>
      <c r="K72" s="5">
        <v>1787876</v>
      </c>
      <c r="L72" s="14">
        <v>526960707</v>
      </c>
      <c r="N72" s="216">
        <v>0</v>
      </c>
      <c r="O72" s="5">
        <v>0</v>
      </c>
      <c r="P72" s="5">
        <v>-27962400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218">
        <v>-27962400</v>
      </c>
      <c r="X72" s="29">
        <v>498998307</v>
      </c>
      <c r="Z72" s="223">
        <v>457240570</v>
      </c>
      <c r="AA72" s="223">
        <v>335793792</v>
      </c>
      <c r="AB72" s="29">
        <v>160624568</v>
      </c>
      <c r="AC72" s="5">
        <v>560183581</v>
      </c>
      <c r="AD72" s="29">
        <v>438176490</v>
      </c>
      <c r="AE72" s="376">
        <v>295202558</v>
      </c>
      <c r="AF72" s="467">
        <v>183553368</v>
      </c>
    </row>
    <row r="73" spans="1:32" ht="18" customHeight="1">
      <c r="A73" s="473" t="s">
        <v>310</v>
      </c>
      <c r="B73" s="3" t="b">
        <v>1</v>
      </c>
      <c r="D73" s="13" t="s">
        <v>309</v>
      </c>
      <c r="E73" s="3" t="s">
        <v>258</v>
      </c>
      <c r="F73" s="23">
        <v>331</v>
      </c>
      <c r="G73" s="3" t="s">
        <v>310</v>
      </c>
      <c r="H73" s="5">
        <v>6700540</v>
      </c>
      <c r="I73" s="5">
        <v>0</v>
      </c>
      <c r="J73" s="5">
        <v>0</v>
      </c>
      <c r="K73" s="5">
        <v>0</v>
      </c>
      <c r="L73" s="14">
        <v>6700540</v>
      </c>
      <c r="N73" s="216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218">
        <v>0</v>
      </c>
      <c r="X73" s="29">
        <v>6700540</v>
      </c>
      <c r="Z73" s="223">
        <v>6700540</v>
      </c>
      <c r="AA73" s="223">
        <v>4426025</v>
      </c>
      <c r="AB73" s="29">
        <v>726466</v>
      </c>
      <c r="AC73" s="5">
        <v>15816486</v>
      </c>
      <c r="AD73" s="29">
        <v>6083829</v>
      </c>
      <c r="AE73" s="376">
        <v>4221136</v>
      </c>
      <c r="AF73" s="467">
        <v>2110570</v>
      </c>
    </row>
    <row r="74" spans="1:32" ht="18" customHeight="1">
      <c r="A74" s="473" t="s">
        <v>312</v>
      </c>
      <c r="B74" s="3" t="b">
        <v>1</v>
      </c>
      <c r="D74" s="13" t="s">
        <v>311</v>
      </c>
      <c r="E74" s="3" t="s">
        <v>258</v>
      </c>
      <c r="F74" s="23">
        <v>329</v>
      </c>
      <c r="G74" s="3" t="s">
        <v>312</v>
      </c>
      <c r="H74" s="5">
        <v>801618670</v>
      </c>
      <c r="I74" s="5">
        <v>0</v>
      </c>
      <c r="J74" s="5">
        <v>250317</v>
      </c>
      <c r="K74" s="5">
        <v>88988120</v>
      </c>
      <c r="L74" s="14">
        <v>890857107</v>
      </c>
      <c r="N74" s="216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218">
        <v>0</v>
      </c>
      <c r="X74" s="29">
        <v>890857107</v>
      </c>
      <c r="Z74" s="223">
        <v>810987117</v>
      </c>
      <c r="AA74" s="223">
        <v>554804157</v>
      </c>
      <c r="AB74" s="29">
        <v>247736288</v>
      </c>
      <c r="AC74" s="5">
        <v>1190766507</v>
      </c>
      <c r="AD74" s="29">
        <v>820021869</v>
      </c>
      <c r="AE74" s="376">
        <v>558149406</v>
      </c>
      <c r="AF74" s="467">
        <v>129742931</v>
      </c>
    </row>
    <row r="75" spans="1:32" ht="18" customHeight="1">
      <c r="A75" s="5"/>
      <c r="D75" s="11"/>
      <c r="E75" s="481"/>
      <c r="F75" s="478"/>
      <c r="G75" s="481" t="s">
        <v>313</v>
      </c>
      <c r="H75" s="260">
        <v>6519616308</v>
      </c>
      <c r="I75" s="260">
        <v>-272588831</v>
      </c>
      <c r="J75" s="260">
        <v>-257460877</v>
      </c>
      <c r="K75" s="260">
        <v>-265740606</v>
      </c>
      <c r="L75" s="256">
        <v>5723825994</v>
      </c>
      <c r="N75" s="340">
        <v>0</v>
      </c>
      <c r="O75" s="260">
        <v>0</v>
      </c>
      <c r="P75" s="260">
        <v>0</v>
      </c>
      <c r="Q75" s="260">
        <v>-16226007</v>
      </c>
      <c r="R75" s="260">
        <v>0</v>
      </c>
      <c r="S75" s="260">
        <v>-20000000</v>
      </c>
      <c r="T75" s="260">
        <v>0</v>
      </c>
      <c r="U75" s="260">
        <v>0</v>
      </c>
      <c r="V75" s="341">
        <v>-36226007</v>
      </c>
      <c r="X75" s="26">
        <v>5687599987</v>
      </c>
      <c r="Z75" s="255">
        <v>4713886523</v>
      </c>
      <c r="AA75" s="255">
        <v>2768397576</v>
      </c>
      <c r="AB75" s="26">
        <v>1057169849</v>
      </c>
      <c r="AC75" s="260">
        <v>-11888921989</v>
      </c>
      <c r="AD75" s="26">
        <v>-9621631444</v>
      </c>
      <c r="AE75" s="26">
        <v>-5669988814</v>
      </c>
      <c r="AF75" s="470">
        <v>-1701091704</v>
      </c>
    </row>
    <row r="76" spans="1:32" ht="18" customHeight="1">
      <c r="A76" s="5"/>
      <c r="D76" s="12"/>
      <c r="E76" s="482"/>
      <c r="F76" s="483"/>
      <c r="G76" s="482" t="s">
        <v>314</v>
      </c>
      <c r="H76" s="261">
        <v>3412327500</v>
      </c>
      <c r="I76" s="261">
        <v>1451183</v>
      </c>
      <c r="J76" s="261">
        <v>5859209</v>
      </c>
      <c r="K76" s="261">
        <v>15671654</v>
      </c>
      <c r="L76" s="333">
        <v>3435309546</v>
      </c>
      <c r="N76" s="342">
        <v>0</v>
      </c>
      <c r="O76" s="261">
        <v>0</v>
      </c>
      <c r="P76" s="261">
        <v>-35597242</v>
      </c>
      <c r="Q76" s="261">
        <v>0</v>
      </c>
      <c r="R76" s="261">
        <v>0</v>
      </c>
      <c r="S76" s="261">
        <v>0</v>
      </c>
      <c r="T76" s="261">
        <v>0</v>
      </c>
      <c r="U76" s="261">
        <v>0</v>
      </c>
      <c r="V76" s="343">
        <v>-35597242</v>
      </c>
      <c r="X76" s="27">
        <v>3399712304</v>
      </c>
      <c r="Z76" s="347">
        <v>3469721018</v>
      </c>
      <c r="AA76" s="347">
        <v>1487921929</v>
      </c>
      <c r="AB76" s="27">
        <v>1465657078</v>
      </c>
      <c r="AC76" s="261">
        <v>1036386899</v>
      </c>
      <c r="AD76" s="27">
        <v>953802663</v>
      </c>
      <c r="AE76" s="27">
        <v>1407995157</v>
      </c>
      <c r="AF76" s="471">
        <v>1748628886</v>
      </c>
    </row>
    <row r="77" spans="1:32" ht="18" customHeight="1">
      <c r="A77" s="5"/>
      <c r="D77" s="13" t="s">
        <v>315</v>
      </c>
      <c r="E77" s="3" t="s">
        <v>314</v>
      </c>
      <c r="F77" s="23">
        <v>401</v>
      </c>
      <c r="G77" s="3" t="s">
        <v>316</v>
      </c>
      <c r="H77" s="5">
        <v>299118298</v>
      </c>
      <c r="I77" s="5">
        <v>1451183</v>
      </c>
      <c r="J77" s="5">
        <v>0</v>
      </c>
      <c r="K77" s="5">
        <v>48953</v>
      </c>
      <c r="L77" s="14">
        <v>300618434</v>
      </c>
      <c r="N77" s="216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218">
        <v>0</v>
      </c>
      <c r="X77" s="29">
        <v>300618434</v>
      </c>
      <c r="Z77" s="223">
        <v>283612605</v>
      </c>
      <c r="AA77" s="223">
        <v>78791227</v>
      </c>
      <c r="AB77" s="29">
        <v>31229731</v>
      </c>
      <c r="AC77" s="5">
        <v>545896904</v>
      </c>
      <c r="AD77" s="29">
        <v>463606116</v>
      </c>
      <c r="AE77" s="376">
        <v>353801380</v>
      </c>
      <c r="AF77" s="467">
        <v>191380673</v>
      </c>
    </row>
    <row r="78" spans="1:32" ht="18" customHeight="1">
      <c r="A78" s="5"/>
      <c r="D78" s="13" t="s">
        <v>317</v>
      </c>
      <c r="E78" s="3" t="s">
        <v>314</v>
      </c>
      <c r="F78" s="23">
        <v>401</v>
      </c>
      <c r="G78" s="3" t="s">
        <v>318</v>
      </c>
      <c r="H78" s="5">
        <v>181641426</v>
      </c>
      <c r="I78" s="5">
        <v>0</v>
      </c>
      <c r="J78" s="5">
        <v>37953</v>
      </c>
      <c r="K78" s="5">
        <v>13600148</v>
      </c>
      <c r="L78" s="14">
        <v>195279527</v>
      </c>
      <c r="N78" s="216">
        <v>0</v>
      </c>
      <c r="O78" s="5">
        <v>0</v>
      </c>
      <c r="P78" s="5">
        <v>-35597242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218">
        <v>-35597242</v>
      </c>
      <c r="X78" s="29">
        <v>159682285</v>
      </c>
      <c r="Z78" s="223">
        <v>87687240</v>
      </c>
      <c r="AA78" s="223">
        <v>78508597</v>
      </c>
      <c r="AB78" s="29">
        <v>31449627</v>
      </c>
      <c r="AC78" s="5">
        <v>49582851</v>
      </c>
      <c r="AD78" s="29">
        <v>36257676</v>
      </c>
      <c r="AE78" s="376">
        <v>55186449</v>
      </c>
      <c r="AF78" s="467">
        <v>45325072</v>
      </c>
    </row>
    <row r="79" spans="1:32" ht="18" customHeight="1">
      <c r="A79" s="5"/>
      <c r="D79" s="13" t="s">
        <v>319</v>
      </c>
      <c r="E79" s="3" t="s">
        <v>314</v>
      </c>
      <c r="F79" s="23">
        <v>402</v>
      </c>
      <c r="G79" s="3" t="s">
        <v>320</v>
      </c>
      <c r="H79" s="5">
        <v>1401120000</v>
      </c>
      <c r="I79" s="5">
        <v>0</v>
      </c>
      <c r="J79" s="5">
        <v>0</v>
      </c>
      <c r="K79" s="5">
        <v>0</v>
      </c>
      <c r="L79" s="14">
        <v>1401120000</v>
      </c>
      <c r="N79" s="216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218">
        <v>0</v>
      </c>
      <c r="X79" s="29">
        <v>1401120000</v>
      </c>
      <c r="Z79" s="223">
        <v>655600000</v>
      </c>
      <c r="AA79" s="223">
        <v>0</v>
      </c>
      <c r="AB79" s="29">
        <v>0</v>
      </c>
      <c r="AC79" s="5">
        <v>0</v>
      </c>
      <c r="AD79" s="29">
        <v>0</v>
      </c>
      <c r="AE79" s="376">
        <v>0</v>
      </c>
      <c r="AF79" s="467">
        <v>0</v>
      </c>
    </row>
    <row r="80" spans="1:32" ht="18" customHeight="1">
      <c r="A80" s="5"/>
      <c r="D80" s="13" t="s">
        <v>321</v>
      </c>
      <c r="E80" s="3" t="s">
        <v>314</v>
      </c>
      <c r="F80" s="23">
        <v>402</v>
      </c>
      <c r="G80" s="3" t="s">
        <v>322</v>
      </c>
      <c r="H80" s="5">
        <v>179130520</v>
      </c>
      <c r="I80" s="5">
        <v>0</v>
      </c>
      <c r="J80" s="5">
        <v>5821256</v>
      </c>
      <c r="K80" s="5">
        <v>2022553</v>
      </c>
      <c r="L80" s="14">
        <v>186974329</v>
      </c>
      <c r="N80" s="216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218">
        <v>0</v>
      </c>
      <c r="X80" s="29">
        <v>186974329</v>
      </c>
      <c r="Z80" s="223">
        <v>171411160</v>
      </c>
      <c r="AA80" s="223">
        <v>74435482</v>
      </c>
      <c r="AB80" s="29">
        <v>32680965</v>
      </c>
      <c r="AC80" s="5">
        <v>279732347</v>
      </c>
      <c r="AD80" s="29">
        <v>200624250</v>
      </c>
      <c r="AE80" s="376">
        <v>202025919</v>
      </c>
      <c r="AF80" s="467">
        <v>92741792</v>
      </c>
    </row>
    <row r="81" spans="1:32" ht="18" customHeight="1">
      <c r="A81" s="5"/>
      <c r="D81" s="13" t="s">
        <v>323</v>
      </c>
      <c r="E81" s="3" t="s">
        <v>314</v>
      </c>
      <c r="F81" s="23">
        <v>402</v>
      </c>
      <c r="G81" s="3" t="s">
        <v>324</v>
      </c>
      <c r="H81" s="5">
        <v>172776857</v>
      </c>
      <c r="I81" s="5">
        <v>0</v>
      </c>
      <c r="J81" s="5">
        <v>0</v>
      </c>
      <c r="K81" s="5">
        <v>0</v>
      </c>
      <c r="L81" s="14">
        <v>172776857</v>
      </c>
      <c r="N81" s="216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218">
        <v>0</v>
      </c>
      <c r="X81" s="29">
        <v>172776857</v>
      </c>
      <c r="Z81" s="223">
        <v>136991402</v>
      </c>
      <c r="AA81" s="223">
        <v>62561617</v>
      </c>
      <c r="AB81" s="29">
        <v>11285102</v>
      </c>
      <c r="AC81" s="5">
        <v>112196721</v>
      </c>
      <c r="AD81" s="29">
        <v>108781532</v>
      </c>
      <c r="AE81" s="376">
        <v>83325137</v>
      </c>
      <c r="AF81" s="467">
        <v>21134887</v>
      </c>
    </row>
    <row r="82" spans="1:32" ht="18" customHeight="1">
      <c r="A82" s="5"/>
      <c r="D82" s="13" t="s">
        <v>325</v>
      </c>
      <c r="E82" s="3" t="s">
        <v>314</v>
      </c>
      <c r="F82" s="23">
        <v>403</v>
      </c>
      <c r="G82" s="3" t="s">
        <v>326</v>
      </c>
      <c r="H82" s="5">
        <v>1171741648</v>
      </c>
      <c r="I82" s="5">
        <v>0</v>
      </c>
      <c r="J82" s="5">
        <v>0</v>
      </c>
      <c r="K82" s="5">
        <v>0</v>
      </c>
      <c r="L82" s="14">
        <v>1171741648</v>
      </c>
      <c r="N82" s="216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218">
        <v>0</v>
      </c>
      <c r="X82" s="29">
        <v>1171741648</v>
      </c>
      <c r="Z82" s="223">
        <v>2131908328</v>
      </c>
      <c r="AA82" s="223">
        <v>1193376796</v>
      </c>
      <c r="AB82" s="29">
        <v>1358765545</v>
      </c>
      <c r="AC82" s="5">
        <v>-9390546</v>
      </c>
      <c r="AD82" s="29">
        <v>137282355</v>
      </c>
      <c r="AE82" s="376">
        <v>711020905</v>
      </c>
      <c r="AF82" s="467">
        <v>1396746133</v>
      </c>
    </row>
    <row r="83" spans="1:32" ht="18" customHeight="1">
      <c r="A83" s="5"/>
      <c r="D83" s="13" t="s">
        <v>327</v>
      </c>
      <c r="E83" s="3" t="s">
        <v>314</v>
      </c>
      <c r="F83" s="23">
        <v>403</v>
      </c>
      <c r="G83" s="3" t="s">
        <v>328</v>
      </c>
      <c r="H83" s="5">
        <v>6798751</v>
      </c>
      <c r="I83" s="5">
        <v>0</v>
      </c>
      <c r="J83" s="5">
        <v>0</v>
      </c>
      <c r="K83" s="5">
        <v>0</v>
      </c>
      <c r="L83" s="14">
        <v>6798751</v>
      </c>
      <c r="N83" s="216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218">
        <v>0</v>
      </c>
      <c r="X83" s="29">
        <v>6798751</v>
      </c>
      <c r="Z83" s="223">
        <v>2510283</v>
      </c>
      <c r="AA83" s="223">
        <v>248210</v>
      </c>
      <c r="AB83" s="29">
        <v>246108</v>
      </c>
      <c r="AC83" s="5">
        <v>58368622</v>
      </c>
      <c r="AD83" s="29">
        <v>7250734</v>
      </c>
      <c r="AE83" s="376">
        <v>2635367</v>
      </c>
      <c r="AF83" s="467">
        <v>1300329</v>
      </c>
    </row>
    <row r="84" spans="1:32" ht="18" customHeight="1">
      <c r="A84" s="5"/>
      <c r="D84" s="13" t="s">
        <v>329</v>
      </c>
      <c r="E84" s="3" t="s">
        <v>314</v>
      </c>
      <c r="F84" s="23">
        <v>404</v>
      </c>
      <c r="G84" s="3" t="s">
        <v>330</v>
      </c>
      <c r="H84" s="5">
        <v>0</v>
      </c>
      <c r="I84" s="5">
        <v>0</v>
      </c>
      <c r="J84" s="5">
        <v>0</v>
      </c>
      <c r="K84" s="5">
        <v>0</v>
      </c>
      <c r="L84" s="14">
        <v>0</v>
      </c>
      <c r="N84" s="216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218">
        <v>0</v>
      </c>
      <c r="X84" s="29">
        <v>0</v>
      </c>
      <c r="Z84" s="223">
        <v>0</v>
      </c>
      <c r="AA84" s="223">
        <v>0</v>
      </c>
      <c r="AB84" s="29">
        <v>0</v>
      </c>
      <c r="AC84" s="5">
        <v>0</v>
      </c>
      <c r="AD84" s="29">
        <v>0</v>
      </c>
      <c r="AE84" s="376">
        <v>0</v>
      </c>
      <c r="AF84" s="467">
        <v>0</v>
      </c>
    </row>
    <row r="85" spans="1:32" ht="18" customHeight="1">
      <c r="A85" s="5"/>
      <c r="D85" s="13" t="s">
        <v>331</v>
      </c>
      <c r="E85" s="3" t="s">
        <v>314</v>
      </c>
      <c r="F85" s="23">
        <v>405</v>
      </c>
      <c r="G85" s="3" t="s">
        <v>332</v>
      </c>
      <c r="H85" s="5">
        <v>0</v>
      </c>
      <c r="I85" s="5">
        <v>0</v>
      </c>
      <c r="J85" s="5">
        <v>0</v>
      </c>
      <c r="K85" s="5">
        <v>0</v>
      </c>
      <c r="L85" s="14">
        <v>0</v>
      </c>
      <c r="N85" s="216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218">
        <v>0</v>
      </c>
      <c r="X85" s="29">
        <v>0</v>
      </c>
      <c r="Z85" s="223">
        <v>0</v>
      </c>
      <c r="AA85" s="223">
        <v>0</v>
      </c>
      <c r="AB85" s="29">
        <v>0</v>
      </c>
      <c r="AC85" s="5">
        <v>0</v>
      </c>
      <c r="AD85" s="29">
        <v>0</v>
      </c>
      <c r="AE85" s="376">
        <v>0</v>
      </c>
      <c r="AF85" s="467">
        <v>0</v>
      </c>
    </row>
    <row r="86" spans="1:32" ht="18" customHeight="1">
      <c r="A86" s="5"/>
      <c r="D86" s="12"/>
      <c r="E86" s="482"/>
      <c r="F86" s="483"/>
      <c r="G86" s="482" t="s">
        <v>333</v>
      </c>
      <c r="H86" s="261">
        <v>8392806866</v>
      </c>
      <c r="I86" s="261">
        <v>35105487</v>
      </c>
      <c r="J86" s="261">
        <v>11356103</v>
      </c>
      <c r="K86" s="261">
        <v>50805326</v>
      </c>
      <c r="L86" s="333">
        <v>8490073782</v>
      </c>
      <c r="N86" s="342">
        <v>0</v>
      </c>
      <c r="O86" s="261">
        <v>0</v>
      </c>
      <c r="P86" s="261">
        <v>-35597242</v>
      </c>
      <c r="Q86" s="261">
        <v>0</v>
      </c>
      <c r="R86" s="261">
        <v>0</v>
      </c>
      <c r="S86" s="261">
        <v>0</v>
      </c>
      <c r="T86" s="261">
        <v>0</v>
      </c>
      <c r="U86" s="261">
        <v>0</v>
      </c>
      <c r="V86" s="343">
        <v>-35597242</v>
      </c>
      <c r="X86" s="27">
        <v>8454476540</v>
      </c>
      <c r="Z86" s="347">
        <v>8364900992</v>
      </c>
      <c r="AA86" s="347">
        <v>18947959777</v>
      </c>
      <c r="AB86" s="27">
        <v>241245268</v>
      </c>
      <c r="AC86" s="261">
        <v>3900339065</v>
      </c>
      <c r="AD86" s="27">
        <v>436783544</v>
      </c>
      <c r="AE86" s="27">
        <v>197830038</v>
      </c>
      <c r="AF86" s="471">
        <v>123547107</v>
      </c>
    </row>
    <row r="87" spans="1:32" ht="18" customHeight="1">
      <c r="A87" s="5"/>
      <c r="D87" s="13" t="s">
        <v>334</v>
      </c>
      <c r="E87" s="3" t="s">
        <v>333</v>
      </c>
      <c r="F87" s="23">
        <v>501</v>
      </c>
      <c r="G87" s="3" t="s">
        <v>335</v>
      </c>
      <c r="H87" s="5">
        <v>0</v>
      </c>
      <c r="I87" s="5">
        <v>0</v>
      </c>
      <c r="J87" s="5">
        <v>0</v>
      </c>
      <c r="K87" s="5">
        <v>0</v>
      </c>
      <c r="L87" s="14">
        <v>0</v>
      </c>
      <c r="N87" s="216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218">
        <v>0</v>
      </c>
      <c r="X87" s="29">
        <v>0</v>
      </c>
      <c r="Z87" s="223">
        <v>0</v>
      </c>
      <c r="AA87" s="223">
        <v>0</v>
      </c>
      <c r="AB87" s="29">
        <v>0</v>
      </c>
      <c r="AC87" s="5">
        <v>0</v>
      </c>
      <c r="AD87" s="29">
        <v>0</v>
      </c>
      <c r="AE87" s="376">
        <v>0</v>
      </c>
      <c r="AF87" s="467">
        <v>0</v>
      </c>
    </row>
    <row r="88" spans="1:32" ht="18" customHeight="1">
      <c r="A88" s="5"/>
      <c r="D88" s="13" t="s">
        <v>336</v>
      </c>
      <c r="E88" s="3" t="s">
        <v>333</v>
      </c>
      <c r="F88" s="23">
        <v>501</v>
      </c>
      <c r="G88" s="3" t="s">
        <v>337</v>
      </c>
      <c r="H88" s="5">
        <v>0</v>
      </c>
      <c r="I88" s="5">
        <v>32326028</v>
      </c>
      <c r="J88" s="5">
        <v>0</v>
      </c>
      <c r="K88" s="5">
        <v>3271214</v>
      </c>
      <c r="L88" s="14">
        <v>35597242</v>
      </c>
      <c r="N88" s="216">
        <v>0</v>
      </c>
      <c r="O88" s="5">
        <v>0</v>
      </c>
      <c r="P88" s="5">
        <v>-35597242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218">
        <v>-35597242</v>
      </c>
      <c r="X88" s="29">
        <v>0</v>
      </c>
      <c r="Z88" s="223">
        <v>0</v>
      </c>
      <c r="AA88" s="223">
        <v>0</v>
      </c>
      <c r="AB88" s="29">
        <v>0</v>
      </c>
      <c r="AC88" s="5">
        <v>0</v>
      </c>
      <c r="AD88" s="29">
        <v>341958</v>
      </c>
      <c r="AE88" s="376">
        <v>290808</v>
      </c>
      <c r="AF88" s="467">
        <v>145464</v>
      </c>
    </row>
    <row r="89" spans="1:32" ht="18" customHeight="1">
      <c r="A89" s="5"/>
      <c r="D89" s="13" t="s">
        <v>338</v>
      </c>
      <c r="E89" s="3" t="s">
        <v>333</v>
      </c>
      <c r="F89" s="23">
        <v>505</v>
      </c>
      <c r="G89" s="3" t="s">
        <v>339</v>
      </c>
      <c r="H89" s="5">
        <v>210157033</v>
      </c>
      <c r="I89" s="5">
        <v>2779459</v>
      </c>
      <c r="J89" s="5">
        <v>1060023</v>
      </c>
      <c r="K89" s="5">
        <v>40638232</v>
      </c>
      <c r="L89" s="14">
        <v>254634747</v>
      </c>
      <c r="N89" s="216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218">
        <v>0</v>
      </c>
      <c r="X89" s="29">
        <v>254634747</v>
      </c>
      <c r="Z89" s="223">
        <v>230445961</v>
      </c>
      <c r="AA89" s="223">
        <v>155924169</v>
      </c>
      <c r="AB89" s="29">
        <v>83985271</v>
      </c>
      <c r="AC89" s="5">
        <v>172075657</v>
      </c>
      <c r="AD89" s="29">
        <v>124938956</v>
      </c>
      <c r="AE89" s="376">
        <v>74217783</v>
      </c>
      <c r="AF89" s="467">
        <v>40708998</v>
      </c>
    </row>
    <row r="90" spans="1:32" ht="18" customHeight="1">
      <c r="A90" s="5"/>
      <c r="D90" s="31" t="s">
        <v>1544</v>
      </c>
      <c r="E90" s="3" t="s">
        <v>333</v>
      </c>
      <c r="F90" s="23">
        <v>501</v>
      </c>
      <c r="G90" s="3" t="s">
        <v>387</v>
      </c>
      <c r="H90" s="5">
        <v>0</v>
      </c>
      <c r="I90" s="5">
        <v>0</v>
      </c>
      <c r="J90" s="5">
        <v>0</v>
      </c>
      <c r="K90" s="5">
        <v>0</v>
      </c>
      <c r="L90" s="14">
        <v>0</v>
      </c>
      <c r="N90" s="216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218">
        <v>0</v>
      </c>
      <c r="X90" s="29">
        <v>0</v>
      </c>
      <c r="Z90" s="223">
        <v>0</v>
      </c>
      <c r="AA90" s="223">
        <v>0</v>
      </c>
      <c r="AB90" s="29">
        <v>0</v>
      </c>
      <c r="AC90" s="5">
        <v>0</v>
      </c>
      <c r="AD90" s="29">
        <v>0</v>
      </c>
      <c r="AE90" s="376">
        <v>0</v>
      </c>
      <c r="AF90" s="467">
        <v>0</v>
      </c>
    </row>
    <row r="91" spans="1:32" ht="18" customHeight="1">
      <c r="A91" s="5"/>
      <c r="D91" s="13" t="s">
        <v>340</v>
      </c>
      <c r="E91" s="3" t="s">
        <v>333</v>
      </c>
      <c r="F91" s="23">
        <v>502</v>
      </c>
      <c r="G91" s="3" t="s">
        <v>341</v>
      </c>
      <c r="H91" s="5">
        <v>54344969</v>
      </c>
      <c r="I91" s="5">
        <v>0</v>
      </c>
      <c r="J91" s="5">
        <v>10296080</v>
      </c>
      <c r="K91" s="5">
        <v>6895880</v>
      </c>
      <c r="L91" s="14">
        <v>71536929</v>
      </c>
      <c r="N91" s="216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218">
        <v>0</v>
      </c>
      <c r="X91" s="29">
        <v>71536929</v>
      </c>
      <c r="Z91" s="223">
        <v>66976250</v>
      </c>
      <c r="AA91" s="223">
        <v>62120392</v>
      </c>
      <c r="AB91" s="29">
        <v>39532259</v>
      </c>
      <c r="AC91" s="5">
        <v>449020504</v>
      </c>
      <c r="AD91" s="29">
        <v>125948871</v>
      </c>
      <c r="AE91" s="376">
        <v>58129472</v>
      </c>
      <c r="AF91" s="467">
        <v>15345338</v>
      </c>
    </row>
    <row r="92" spans="1:32" ht="18" customHeight="1">
      <c r="A92" s="5"/>
      <c r="D92" s="13" t="s">
        <v>342</v>
      </c>
      <c r="E92" s="3" t="s">
        <v>333</v>
      </c>
      <c r="F92" s="23">
        <v>502</v>
      </c>
      <c r="G92" s="3" t="s">
        <v>343</v>
      </c>
      <c r="H92" s="5">
        <v>70449580</v>
      </c>
      <c r="I92" s="5">
        <v>0</v>
      </c>
      <c r="J92" s="5">
        <v>0</v>
      </c>
      <c r="K92" s="5">
        <v>0</v>
      </c>
      <c r="L92" s="14">
        <v>70449580</v>
      </c>
      <c r="N92" s="216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218">
        <v>0</v>
      </c>
      <c r="X92" s="29">
        <v>70449580</v>
      </c>
      <c r="Z92" s="223">
        <v>67019751</v>
      </c>
      <c r="AA92" s="223">
        <v>58781734</v>
      </c>
      <c r="AB92" s="29">
        <v>49330912</v>
      </c>
      <c r="AC92" s="5">
        <v>112259037</v>
      </c>
      <c r="AD92" s="29">
        <v>40527456</v>
      </c>
      <c r="AE92" s="376">
        <v>22023337</v>
      </c>
      <c r="AF92" s="467">
        <v>11858852</v>
      </c>
    </row>
    <row r="93" spans="1:32" ht="18" customHeight="1">
      <c r="A93" s="5"/>
      <c r="D93" s="13" t="s">
        <v>344</v>
      </c>
      <c r="E93" s="3" t="s">
        <v>333</v>
      </c>
      <c r="F93" s="23">
        <v>502</v>
      </c>
      <c r="G93" s="3" t="s">
        <v>345</v>
      </c>
      <c r="H93" s="5">
        <v>0</v>
      </c>
      <c r="I93" s="5">
        <v>0</v>
      </c>
      <c r="J93" s="5">
        <v>0</v>
      </c>
      <c r="K93" s="5">
        <v>0</v>
      </c>
      <c r="L93" s="14">
        <v>0</v>
      </c>
      <c r="N93" s="216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218">
        <v>0</v>
      </c>
      <c r="X93" s="29">
        <v>0</v>
      </c>
      <c r="Z93" s="223">
        <v>0</v>
      </c>
      <c r="AA93" s="223">
        <v>546416</v>
      </c>
      <c r="AB93" s="29">
        <v>0</v>
      </c>
      <c r="AC93" s="5">
        <v>0</v>
      </c>
      <c r="AD93" s="29">
        <v>0</v>
      </c>
      <c r="AE93" s="376">
        <v>0</v>
      </c>
      <c r="AF93" s="467">
        <v>0</v>
      </c>
    </row>
    <row r="94" spans="1:32" ht="18" customHeight="1">
      <c r="A94" s="5"/>
      <c r="D94" s="13" t="s">
        <v>346</v>
      </c>
      <c r="E94" s="3" t="s">
        <v>333</v>
      </c>
      <c r="F94" s="23">
        <v>503</v>
      </c>
      <c r="G94" s="3" t="s">
        <v>347</v>
      </c>
      <c r="H94" s="5">
        <v>59592409</v>
      </c>
      <c r="I94" s="5">
        <v>0</v>
      </c>
      <c r="J94" s="5">
        <v>0</v>
      </c>
      <c r="K94" s="5">
        <v>0</v>
      </c>
      <c r="L94" s="14">
        <v>59592409</v>
      </c>
      <c r="N94" s="216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218">
        <v>0</v>
      </c>
      <c r="X94" s="29">
        <v>59592409</v>
      </c>
      <c r="Z94" s="223">
        <v>2092</v>
      </c>
      <c r="AA94" s="223">
        <v>63958516</v>
      </c>
      <c r="AB94" s="29">
        <v>53748118</v>
      </c>
      <c r="AC94" s="5">
        <v>2168042128</v>
      </c>
      <c r="AD94" s="29">
        <v>140274238</v>
      </c>
      <c r="AE94" s="376">
        <v>23576173</v>
      </c>
      <c r="AF94" s="467">
        <v>4442377</v>
      </c>
    </row>
    <row r="95" spans="1:32" ht="18" customHeight="1">
      <c r="A95" s="5"/>
      <c r="D95" s="13" t="s">
        <v>348</v>
      </c>
      <c r="E95" s="3" t="s">
        <v>333</v>
      </c>
      <c r="F95" s="23">
        <v>503</v>
      </c>
      <c r="G95" s="3" t="s">
        <v>349</v>
      </c>
      <c r="H95" s="5">
        <v>2967815</v>
      </c>
      <c r="I95" s="5">
        <v>0</v>
      </c>
      <c r="J95" s="5">
        <v>0</v>
      </c>
      <c r="K95" s="5">
        <v>0</v>
      </c>
      <c r="L95" s="14">
        <v>2967815</v>
      </c>
      <c r="N95" s="216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218">
        <v>0</v>
      </c>
      <c r="X95" s="29">
        <v>2967815</v>
      </c>
      <c r="Z95" s="223">
        <v>5161878</v>
      </c>
      <c r="AA95" s="223">
        <v>6515582</v>
      </c>
      <c r="AB95" s="29">
        <v>14648708</v>
      </c>
      <c r="AC95" s="5">
        <v>2582056</v>
      </c>
      <c r="AD95" s="29">
        <v>4752065</v>
      </c>
      <c r="AE95" s="376">
        <v>19592465</v>
      </c>
      <c r="AF95" s="467">
        <v>51046078</v>
      </c>
    </row>
    <row r="96" spans="1:32" ht="18" customHeight="1">
      <c r="A96" s="5"/>
      <c r="D96" s="13" t="s">
        <v>2024</v>
      </c>
      <c r="E96" s="3" t="s">
        <v>333</v>
      </c>
      <c r="F96" s="23">
        <v>504</v>
      </c>
      <c r="G96" s="3" t="s">
        <v>351</v>
      </c>
      <c r="H96" s="5">
        <v>0</v>
      </c>
      <c r="I96" s="5">
        <v>0</v>
      </c>
      <c r="J96" s="5">
        <v>0</v>
      </c>
      <c r="K96" s="5">
        <v>0</v>
      </c>
      <c r="L96" s="14">
        <v>0</v>
      </c>
      <c r="N96" s="216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218">
        <v>0</v>
      </c>
      <c r="X96" s="29">
        <v>0</v>
      </c>
      <c r="Z96" s="223">
        <v>0</v>
      </c>
      <c r="AA96" s="223">
        <v>0</v>
      </c>
      <c r="AB96" s="29">
        <v>0</v>
      </c>
      <c r="AC96" s="5">
        <v>996359683</v>
      </c>
      <c r="AD96" s="29">
        <v>0</v>
      </c>
      <c r="AE96" s="376">
        <v>0</v>
      </c>
      <c r="AF96" s="467">
        <v>0</v>
      </c>
    </row>
    <row r="97" spans="1:32" ht="18" customHeight="1">
      <c r="A97" s="5"/>
      <c r="D97" s="368">
        <v>734000</v>
      </c>
      <c r="E97" s="457" t="s">
        <v>333</v>
      </c>
      <c r="F97" s="23">
        <v>710</v>
      </c>
      <c r="G97" s="211" t="s">
        <v>2201</v>
      </c>
      <c r="H97" s="5">
        <v>7995295060</v>
      </c>
      <c r="I97" s="5">
        <v>0</v>
      </c>
      <c r="J97" s="5">
        <v>0</v>
      </c>
      <c r="K97" s="5">
        <v>0</v>
      </c>
      <c r="L97" s="14">
        <v>7995295060</v>
      </c>
      <c r="N97" s="216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218">
        <v>0</v>
      </c>
      <c r="X97" s="29">
        <v>7995295060</v>
      </c>
      <c r="Z97" s="223">
        <v>7995295060</v>
      </c>
      <c r="AA97" s="223">
        <v>18600112968</v>
      </c>
      <c r="AB97" s="29">
        <v>0</v>
      </c>
      <c r="AC97" s="5">
        <v>0</v>
      </c>
      <c r="AD97" s="29">
        <v>0</v>
      </c>
      <c r="AE97" s="376">
        <v>0</v>
      </c>
      <c r="AF97" s="467">
        <v>0</v>
      </c>
    </row>
    <row r="98" spans="1:32" ht="18" customHeight="1">
      <c r="A98" s="5"/>
      <c r="D98" s="31" t="s">
        <v>352</v>
      </c>
      <c r="E98" s="3" t="s">
        <v>333</v>
      </c>
      <c r="F98" s="23" t="s">
        <v>611</v>
      </c>
      <c r="G98" s="3" t="s">
        <v>353</v>
      </c>
      <c r="H98" s="5">
        <v>0</v>
      </c>
      <c r="I98" s="5">
        <v>0</v>
      </c>
      <c r="J98" s="5">
        <v>0</v>
      </c>
      <c r="K98" s="5">
        <v>0</v>
      </c>
      <c r="L98" s="14">
        <v>0</v>
      </c>
      <c r="N98" s="216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218">
        <v>0</v>
      </c>
      <c r="X98" s="29">
        <v>0</v>
      </c>
      <c r="Z98" s="223">
        <v>0</v>
      </c>
      <c r="AA98" s="223">
        <v>0</v>
      </c>
      <c r="AB98" s="29">
        <v>0</v>
      </c>
      <c r="AC98" s="5">
        <v>0</v>
      </c>
      <c r="AD98" s="29">
        <v>0</v>
      </c>
      <c r="AE98" s="376">
        <v>0</v>
      </c>
      <c r="AF98" s="467">
        <v>0</v>
      </c>
    </row>
    <row r="99" spans="1:32" ht="18" customHeight="1">
      <c r="A99" s="5"/>
      <c r="D99" s="12"/>
      <c r="E99" s="482"/>
      <c r="F99" s="483"/>
      <c r="G99" s="482" t="s">
        <v>354</v>
      </c>
      <c r="H99" s="261">
        <v>29487828</v>
      </c>
      <c r="I99" s="261">
        <v>2000039</v>
      </c>
      <c r="J99" s="261">
        <v>103919</v>
      </c>
      <c r="K99" s="261">
        <v>34537389</v>
      </c>
      <c r="L99" s="333">
        <v>66129175</v>
      </c>
      <c r="N99" s="342">
        <v>0</v>
      </c>
      <c r="O99" s="261">
        <v>0</v>
      </c>
      <c r="P99" s="261">
        <v>0</v>
      </c>
      <c r="Q99" s="261">
        <v>0</v>
      </c>
      <c r="R99" s="261">
        <v>0</v>
      </c>
      <c r="S99" s="261">
        <v>0</v>
      </c>
      <c r="T99" s="261">
        <v>0</v>
      </c>
      <c r="U99" s="261">
        <v>0</v>
      </c>
      <c r="V99" s="343">
        <v>0</v>
      </c>
      <c r="X99" s="27">
        <v>66129175</v>
      </c>
      <c r="Z99" s="347">
        <v>54977696</v>
      </c>
      <c r="AA99" s="347">
        <v>32428201</v>
      </c>
      <c r="AB99" s="27">
        <v>10949449</v>
      </c>
      <c r="AC99" s="261">
        <v>199414285</v>
      </c>
      <c r="AD99" s="27">
        <v>70088560</v>
      </c>
      <c r="AE99" s="27">
        <v>86852764</v>
      </c>
      <c r="AF99" s="471">
        <v>19298196</v>
      </c>
    </row>
    <row r="100" spans="1:32" ht="18" customHeight="1">
      <c r="A100" s="5"/>
      <c r="D100" s="13" t="s">
        <v>355</v>
      </c>
      <c r="E100" s="3" t="s">
        <v>354</v>
      </c>
      <c r="F100" s="23">
        <v>602</v>
      </c>
      <c r="G100" s="3" t="s">
        <v>678</v>
      </c>
      <c r="H100" s="5">
        <v>5241227</v>
      </c>
      <c r="I100" s="5">
        <v>0</v>
      </c>
      <c r="J100" s="5">
        <v>0</v>
      </c>
      <c r="K100" s="5">
        <v>0</v>
      </c>
      <c r="L100" s="14">
        <v>5241227</v>
      </c>
      <c r="N100" s="216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18">
        <v>0</v>
      </c>
      <c r="X100" s="29">
        <v>5241227</v>
      </c>
      <c r="Z100" s="223">
        <v>5241227</v>
      </c>
      <c r="AA100" s="223">
        <v>5241227</v>
      </c>
      <c r="AB100" s="29">
        <v>0</v>
      </c>
      <c r="AC100" s="5">
        <v>2240200</v>
      </c>
      <c r="AD100" s="29">
        <v>0</v>
      </c>
      <c r="AE100" s="376">
        <v>0</v>
      </c>
      <c r="AF100" s="467">
        <v>0</v>
      </c>
    </row>
    <row r="101" spans="1:32" ht="18" customHeight="1">
      <c r="A101" s="5"/>
      <c r="D101" s="13" t="s">
        <v>357</v>
      </c>
      <c r="E101" s="3" t="s">
        <v>354</v>
      </c>
      <c r="F101" s="23">
        <v>604</v>
      </c>
      <c r="G101" s="3" t="s">
        <v>679</v>
      </c>
      <c r="H101" s="5">
        <v>0</v>
      </c>
      <c r="I101" s="5">
        <v>0</v>
      </c>
      <c r="J101" s="5">
        <v>0</v>
      </c>
      <c r="K101" s="5">
        <v>0</v>
      </c>
      <c r="L101" s="14">
        <v>0</v>
      </c>
      <c r="N101" s="216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18">
        <v>0</v>
      </c>
      <c r="X101" s="29">
        <v>0</v>
      </c>
      <c r="Z101" s="223">
        <v>0</v>
      </c>
      <c r="AA101" s="223">
        <v>0</v>
      </c>
      <c r="AB101" s="29">
        <v>0</v>
      </c>
      <c r="AC101" s="5">
        <v>0</v>
      </c>
      <c r="AD101" s="29">
        <v>0</v>
      </c>
      <c r="AE101" s="376">
        <v>0</v>
      </c>
      <c r="AF101" s="467">
        <v>0</v>
      </c>
    </row>
    <row r="102" spans="1:32" ht="18" customHeight="1">
      <c r="A102" s="5"/>
      <c r="D102" s="13" t="s">
        <v>1706</v>
      </c>
      <c r="E102" s="3" t="s">
        <v>354</v>
      </c>
      <c r="F102" s="23" t="s">
        <v>611</v>
      </c>
      <c r="G102" s="3" t="s">
        <v>854</v>
      </c>
      <c r="H102" s="5">
        <v>0</v>
      </c>
      <c r="I102" s="5">
        <v>0</v>
      </c>
      <c r="J102" s="5">
        <v>0</v>
      </c>
      <c r="K102" s="5">
        <v>0</v>
      </c>
      <c r="L102" s="14">
        <v>0</v>
      </c>
      <c r="N102" s="216"/>
      <c r="O102" s="5">
        <v>0</v>
      </c>
      <c r="P102" s="5">
        <v>0</v>
      </c>
      <c r="Q102" s="5"/>
      <c r="R102" s="5">
        <v>0</v>
      </c>
      <c r="S102" s="5">
        <v>0</v>
      </c>
      <c r="T102" s="5">
        <v>0</v>
      </c>
      <c r="U102" s="5">
        <v>0</v>
      </c>
      <c r="V102" s="218">
        <v>0</v>
      </c>
      <c r="X102" s="29">
        <v>0</v>
      </c>
      <c r="Z102" s="223">
        <v>0</v>
      </c>
      <c r="AA102" s="223">
        <v>0</v>
      </c>
      <c r="AB102" s="29">
        <v>0</v>
      </c>
      <c r="AC102" s="5">
        <v>0</v>
      </c>
      <c r="AD102" s="29">
        <v>0</v>
      </c>
      <c r="AE102" s="376">
        <v>0</v>
      </c>
      <c r="AF102" s="467">
        <v>0</v>
      </c>
    </row>
    <row r="103" spans="1:32" ht="18" customHeight="1">
      <c r="A103" s="5"/>
      <c r="D103" s="13" t="s">
        <v>359</v>
      </c>
      <c r="E103" s="3" t="s">
        <v>354</v>
      </c>
      <c r="F103" s="23">
        <v>603</v>
      </c>
      <c r="G103" s="3" t="s">
        <v>680</v>
      </c>
      <c r="H103" s="5">
        <v>24246601</v>
      </c>
      <c r="I103" s="5">
        <v>2000039</v>
      </c>
      <c r="J103" s="5">
        <v>103919</v>
      </c>
      <c r="K103" s="484">
        <v>34537389</v>
      </c>
      <c r="L103" s="14">
        <v>60887948</v>
      </c>
      <c r="N103" s="216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18">
        <v>0</v>
      </c>
      <c r="X103" s="29">
        <v>60887948</v>
      </c>
      <c r="Z103" s="223">
        <v>49736469</v>
      </c>
      <c r="AA103" s="223">
        <v>27186974</v>
      </c>
      <c r="AB103" s="29">
        <v>10949449</v>
      </c>
      <c r="AC103" s="5">
        <v>197174085</v>
      </c>
      <c r="AD103" s="29">
        <v>70088560</v>
      </c>
      <c r="AE103" s="376">
        <v>86852764</v>
      </c>
      <c r="AF103" s="467">
        <v>19298196</v>
      </c>
    </row>
    <row r="104" spans="1:32" ht="18" customHeight="1">
      <c r="A104" s="5"/>
      <c r="D104" s="12"/>
      <c r="E104" s="482"/>
      <c r="F104" s="483"/>
      <c r="G104" s="482" t="s">
        <v>361</v>
      </c>
      <c r="H104" s="261">
        <v>524641977</v>
      </c>
      <c r="I104" s="261">
        <v>0</v>
      </c>
      <c r="J104" s="261">
        <v>0</v>
      </c>
      <c r="K104" s="261">
        <v>7542494</v>
      </c>
      <c r="L104" s="333">
        <v>532184471</v>
      </c>
      <c r="N104" s="342">
        <v>0</v>
      </c>
      <c r="O104" s="261">
        <v>0</v>
      </c>
      <c r="P104" s="261">
        <v>0</v>
      </c>
      <c r="Q104" s="261">
        <v>0</v>
      </c>
      <c r="R104" s="261">
        <v>0</v>
      </c>
      <c r="S104" s="261">
        <v>0</v>
      </c>
      <c r="T104" s="261">
        <v>0</v>
      </c>
      <c r="U104" s="261">
        <v>0</v>
      </c>
      <c r="V104" s="343">
        <v>0</v>
      </c>
      <c r="X104" s="27">
        <v>532184471</v>
      </c>
      <c r="Z104" s="347">
        <v>531823675</v>
      </c>
      <c r="AA104" s="347">
        <v>1282503</v>
      </c>
      <c r="AB104" s="27">
        <v>227347</v>
      </c>
      <c r="AC104" s="261">
        <v>10494735626</v>
      </c>
      <c r="AD104" s="27">
        <v>200693002</v>
      </c>
      <c r="AE104" s="27">
        <v>197313983</v>
      </c>
      <c r="AF104" s="471">
        <v>29457733</v>
      </c>
    </row>
    <row r="105" spans="1:32" ht="18" customHeight="1">
      <c r="A105" s="5"/>
      <c r="D105" s="13" t="s">
        <v>362</v>
      </c>
      <c r="E105" s="3" t="s">
        <v>361</v>
      </c>
      <c r="F105" s="23">
        <v>706</v>
      </c>
      <c r="G105" s="3" t="s">
        <v>485</v>
      </c>
      <c r="H105" s="5">
        <v>0</v>
      </c>
      <c r="I105" s="5">
        <v>0</v>
      </c>
      <c r="J105" s="5">
        <v>0</v>
      </c>
      <c r="K105" s="5">
        <v>0</v>
      </c>
      <c r="L105" s="14">
        <v>0</v>
      </c>
      <c r="N105" s="216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18">
        <v>0</v>
      </c>
      <c r="X105" s="29">
        <v>0</v>
      </c>
      <c r="Z105" s="223">
        <v>0</v>
      </c>
      <c r="AA105" s="223">
        <v>0</v>
      </c>
      <c r="AB105" s="29">
        <v>0</v>
      </c>
      <c r="AC105" s="5">
        <v>5548640215</v>
      </c>
      <c r="AD105" s="29">
        <v>0</v>
      </c>
      <c r="AE105" s="376">
        <v>0</v>
      </c>
      <c r="AF105" s="467">
        <v>0</v>
      </c>
    </row>
    <row r="106" spans="1:32" ht="18" customHeight="1">
      <c r="A106" s="5"/>
      <c r="D106" s="13" t="s">
        <v>364</v>
      </c>
      <c r="E106" s="3" t="s">
        <v>361</v>
      </c>
      <c r="F106" s="23">
        <v>701</v>
      </c>
      <c r="G106" s="3" t="s">
        <v>687</v>
      </c>
      <c r="H106" s="5">
        <v>0</v>
      </c>
      <c r="I106" s="5">
        <v>0</v>
      </c>
      <c r="J106" s="5">
        <v>0</v>
      </c>
      <c r="K106" s="5">
        <v>0</v>
      </c>
      <c r="L106" s="14">
        <v>0</v>
      </c>
      <c r="N106" s="216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18">
        <v>0</v>
      </c>
      <c r="X106" s="29">
        <v>0</v>
      </c>
      <c r="Z106" s="223">
        <v>0</v>
      </c>
      <c r="AA106" s="223">
        <v>0</v>
      </c>
      <c r="AB106" s="29">
        <v>0</v>
      </c>
      <c r="AC106" s="5">
        <v>1000</v>
      </c>
      <c r="AD106" s="29">
        <v>1000</v>
      </c>
      <c r="AE106" s="376">
        <v>1000</v>
      </c>
      <c r="AF106" s="467">
        <v>0</v>
      </c>
    </row>
    <row r="107" spans="1:32" ht="18" customHeight="1">
      <c r="A107" s="5"/>
      <c r="D107" s="13" t="s">
        <v>1546</v>
      </c>
      <c r="E107" s="3" t="s">
        <v>361</v>
      </c>
      <c r="F107" s="23">
        <v>705</v>
      </c>
      <c r="G107" s="3" t="s">
        <v>734</v>
      </c>
      <c r="H107" s="5">
        <v>344170</v>
      </c>
      <c r="I107" s="5">
        <v>0</v>
      </c>
      <c r="J107" s="5">
        <v>0</v>
      </c>
      <c r="K107" s="484">
        <v>6083386</v>
      </c>
      <c r="L107" s="14">
        <v>6427556</v>
      </c>
      <c r="N107" s="216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18">
        <v>0</v>
      </c>
      <c r="X107" s="29">
        <v>6427556</v>
      </c>
      <c r="Z107" s="223">
        <v>6081752</v>
      </c>
      <c r="AA107" s="223">
        <v>0</v>
      </c>
      <c r="AB107" s="29">
        <v>0</v>
      </c>
      <c r="AC107" s="5">
        <v>598158</v>
      </c>
      <c r="AD107" s="29">
        <v>1000</v>
      </c>
      <c r="AE107" s="376">
        <v>1000</v>
      </c>
      <c r="AF107" s="467">
        <v>1000</v>
      </c>
    </row>
    <row r="108" spans="1:32" ht="18" customHeight="1">
      <c r="A108" s="5"/>
      <c r="B108" s="3" t="s">
        <v>1534</v>
      </c>
      <c r="D108" s="13" t="s">
        <v>1673</v>
      </c>
      <c r="E108" s="3" t="s">
        <v>361</v>
      </c>
      <c r="F108" s="23">
        <v>702</v>
      </c>
      <c r="G108" s="3" t="s">
        <v>1675</v>
      </c>
      <c r="H108" s="5">
        <v>0</v>
      </c>
      <c r="I108" s="5">
        <v>0</v>
      </c>
      <c r="J108" s="5">
        <v>0</v>
      </c>
      <c r="K108" s="5">
        <v>0</v>
      </c>
      <c r="L108" s="14">
        <v>0</v>
      </c>
      <c r="N108" s="216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218">
        <v>0</v>
      </c>
      <c r="X108" s="29">
        <v>0</v>
      </c>
      <c r="Z108" s="223">
        <v>0</v>
      </c>
      <c r="AA108" s="223">
        <v>0</v>
      </c>
      <c r="AB108" s="29">
        <v>0</v>
      </c>
      <c r="AC108" s="5">
        <v>0</v>
      </c>
      <c r="AD108" s="29">
        <v>0</v>
      </c>
      <c r="AE108" s="376">
        <v>0</v>
      </c>
      <c r="AF108" s="467">
        <v>0</v>
      </c>
    </row>
    <row r="109" spans="1:32" ht="18" customHeight="1">
      <c r="A109" s="5"/>
      <c r="D109" s="13" t="s">
        <v>366</v>
      </c>
      <c r="E109" s="3" t="s">
        <v>361</v>
      </c>
      <c r="F109" s="23">
        <v>333</v>
      </c>
      <c r="G109" s="3" t="s">
        <v>1356</v>
      </c>
      <c r="H109" s="5">
        <v>0</v>
      </c>
      <c r="I109" s="5">
        <v>0</v>
      </c>
      <c r="J109" s="5">
        <v>0</v>
      </c>
      <c r="K109" s="5">
        <v>0</v>
      </c>
      <c r="L109" s="14">
        <v>0</v>
      </c>
      <c r="N109" s="216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218">
        <v>0</v>
      </c>
      <c r="X109" s="29">
        <v>0</v>
      </c>
      <c r="Z109" s="223">
        <v>0</v>
      </c>
      <c r="AA109" s="223">
        <v>0</v>
      </c>
      <c r="AB109" s="29">
        <v>0</v>
      </c>
      <c r="AC109" s="5">
        <v>0</v>
      </c>
      <c r="AD109" s="29">
        <v>0</v>
      </c>
      <c r="AE109" s="376">
        <v>0</v>
      </c>
      <c r="AF109" s="467">
        <v>0</v>
      </c>
    </row>
    <row r="110" spans="1:32" ht="18" customHeight="1">
      <c r="A110" s="5"/>
      <c r="D110" s="13" t="s">
        <v>368</v>
      </c>
      <c r="E110" s="3" t="s">
        <v>361</v>
      </c>
      <c r="F110" s="23">
        <v>704</v>
      </c>
      <c r="G110" s="3" t="s">
        <v>688</v>
      </c>
      <c r="H110" s="5">
        <v>1293633</v>
      </c>
      <c r="I110" s="5">
        <v>0</v>
      </c>
      <c r="J110" s="5">
        <v>0</v>
      </c>
      <c r="K110" s="5">
        <v>0</v>
      </c>
      <c r="L110" s="14">
        <v>1293633</v>
      </c>
      <c r="N110" s="216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218">
        <v>0</v>
      </c>
      <c r="X110" s="29">
        <v>1293633</v>
      </c>
      <c r="Z110" s="223">
        <v>1279033</v>
      </c>
      <c r="AA110" s="223">
        <v>245153</v>
      </c>
      <c r="AB110" s="29">
        <v>227347</v>
      </c>
      <c r="AC110" s="5">
        <v>742228141</v>
      </c>
      <c r="AD110" s="29">
        <v>197404250</v>
      </c>
      <c r="AE110" s="376">
        <v>197311983</v>
      </c>
      <c r="AF110" s="467">
        <v>29456733</v>
      </c>
    </row>
    <row r="111" spans="1:32" ht="18" customHeight="1">
      <c r="A111" s="5"/>
      <c r="B111" s="3" t="s">
        <v>1534</v>
      </c>
      <c r="D111" s="13">
        <v>732100</v>
      </c>
      <c r="E111" s="3" t="s">
        <v>361</v>
      </c>
      <c r="F111" s="23">
        <v>708</v>
      </c>
      <c r="G111" s="3" t="s">
        <v>1549</v>
      </c>
      <c r="H111" s="5">
        <v>0</v>
      </c>
      <c r="I111" s="5">
        <v>0</v>
      </c>
      <c r="J111" s="5">
        <v>0</v>
      </c>
      <c r="K111" s="5">
        <v>1459108</v>
      </c>
      <c r="L111" s="14">
        <v>1459108</v>
      </c>
      <c r="N111" s="216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218">
        <v>0</v>
      </c>
      <c r="X111" s="29">
        <v>1459108</v>
      </c>
      <c r="Z111" s="223">
        <v>1458716</v>
      </c>
      <c r="AA111" s="223">
        <v>1037350</v>
      </c>
      <c r="AB111" s="29">
        <v>0</v>
      </c>
      <c r="AC111" s="5">
        <v>3268112</v>
      </c>
      <c r="AD111" s="29">
        <v>3286752</v>
      </c>
      <c r="AE111" s="376">
        <v>0</v>
      </c>
      <c r="AF111" s="467">
        <v>0</v>
      </c>
    </row>
    <row r="112" spans="1:32" ht="18" customHeight="1">
      <c r="A112" s="5"/>
      <c r="D112" s="13" t="s">
        <v>1751</v>
      </c>
      <c r="E112" s="3" t="s">
        <v>361</v>
      </c>
      <c r="F112" s="23">
        <v>703</v>
      </c>
      <c r="G112" s="3" t="s">
        <v>762</v>
      </c>
      <c r="H112" s="5">
        <v>523004174</v>
      </c>
      <c r="I112" s="5">
        <v>0</v>
      </c>
      <c r="J112" s="5">
        <v>0</v>
      </c>
      <c r="K112" s="5">
        <v>0</v>
      </c>
      <c r="L112" s="14">
        <v>523004174</v>
      </c>
      <c r="N112" s="216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18">
        <v>0</v>
      </c>
      <c r="X112" s="29">
        <v>523004174</v>
      </c>
      <c r="Z112" s="223">
        <v>523004174</v>
      </c>
      <c r="AA112" s="223">
        <v>0</v>
      </c>
      <c r="AB112" s="29">
        <v>0</v>
      </c>
      <c r="AC112" s="5">
        <v>4200000000</v>
      </c>
      <c r="AD112" s="29">
        <v>0</v>
      </c>
      <c r="AE112" s="376">
        <v>0</v>
      </c>
      <c r="AF112" s="467">
        <v>0</v>
      </c>
    </row>
    <row r="113" spans="1:32" ht="18" customHeight="1">
      <c r="A113" s="5"/>
      <c r="D113" s="31" t="s">
        <v>482</v>
      </c>
      <c r="E113" s="3" t="s">
        <v>361</v>
      </c>
      <c r="F113" s="23">
        <v>709</v>
      </c>
      <c r="G113" s="3" t="s">
        <v>481</v>
      </c>
      <c r="H113" s="5">
        <v>0</v>
      </c>
      <c r="I113" s="5">
        <v>0</v>
      </c>
      <c r="J113" s="5">
        <v>0</v>
      </c>
      <c r="K113" s="5">
        <v>0</v>
      </c>
      <c r="L113" s="14">
        <v>0</v>
      </c>
      <c r="N113" s="216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218">
        <v>0</v>
      </c>
      <c r="X113" s="29">
        <v>0</v>
      </c>
      <c r="Z113" s="223">
        <v>0</v>
      </c>
      <c r="AA113" s="223">
        <v>0</v>
      </c>
      <c r="AB113" s="29">
        <v>0</v>
      </c>
      <c r="AC113" s="5">
        <v>0</v>
      </c>
      <c r="AD113" s="29">
        <v>0</v>
      </c>
      <c r="AE113" s="376">
        <v>0</v>
      </c>
      <c r="AF113" s="467">
        <v>0</v>
      </c>
    </row>
    <row r="114" spans="1:32" ht="18" customHeight="1">
      <c r="A114" s="5"/>
      <c r="D114" s="12"/>
      <c r="E114" s="482"/>
      <c r="F114" s="483"/>
      <c r="G114" s="482" t="s">
        <v>370</v>
      </c>
      <c r="H114" s="261">
        <v>0</v>
      </c>
      <c r="I114" s="261">
        <v>0</v>
      </c>
      <c r="J114" s="261">
        <v>0</v>
      </c>
      <c r="K114" s="261">
        <v>0</v>
      </c>
      <c r="L114" s="333">
        <v>0</v>
      </c>
      <c r="N114" s="342">
        <v>0</v>
      </c>
      <c r="O114" s="261">
        <v>0</v>
      </c>
      <c r="P114" s="261">
        <v>0</v>
      </c>
      <c r="Q114" s="261">
        <v>0</v>
      </c>
      <c r="R114" s="261">
        <v>0</v>
      </c>
      <c r="S114" s="261">
        <v>0</v>
      </c>
      <c r="T114" s="261">
        <v>0</v>
      </c>
      <c r="U114" s="261">
        <v>0</v>
      </c>
      <c r="V114" s="343">
        <v>0</v>
      </c>
      <c r="X114" s="27">
        <v>0</v>
      </c>
      <c r="Z114" s="347">
        <v>0</v>
      </c>
      <c r="AA114" s="347">
        <v>0</v>
      </c>
      <c r="AB114" s="27">
        <v>0</v>
      </c>
      <c r="AC114" s="261">
        <v>0</v>
      </c>
      <c r="AD114" s="27">
        <v>0</v>
      </c>
      <c r="AE114" s="27">
        <v>0</v>
      </c>
      <c r="AF114" s="471">
        <v>0</v>
      </c>
    </row>
    <row r="115" spans="1:32" ht="18" customHeight="1">
      <c r="A115" s="5"/>
      <c r="D115" s="13" t="s">
        <v>371</v>
      </c>
      <c r="E115" s="3" t="s">
        <v>1783</v>
      </c>
      <c r="G115" s="3" t="s">
        <v>372</v>
      </c>
      <c r="H115" s="5">
        <v>0</v>
      </c>
      <c r="I115" s="5">
        <v>0</v>
      </c>
      <c r="J115" s="5">
        <v>0</v>
      </c>
      <c r="K115" s="5">
        <v>0</v>
      </c>
      <c r="L115" s="14">
        <v>0</v>
      </c>
      <c r="N115" s="216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18">
        <v>0</v>
      </c>
      <c r="X115" s="29">
        <v>0</v>
      </c>
      <c r="Z115" s="223">
        <v>0</v>
      </c>
      <c r="AA115" s="223">
        <v>0</v>
      </c>
      <c r="AB115" s="29">
        <v>0</v>
      </c>
      <c r="AC115" s="5">
        <v>0</v>
      </c>
      <c r="AD115" s="29">
        <v>0</v>
      </c>
      <c r="AE115" s="376">
        <v>0</v>
      </c>
      <c r="AF115" s="467">
        <v>0</v>
      </c>
    </row>
    <row r="116" spans="1:32" ht="18" customHeight="1">
      <c r="A116" s="5"/>
      <c r="D116" s="13" t="s">
        <v>373</v>
      </c>
      <c r="E116" s="3" t="s">
        <v>1783</v>
      </c>
      <c r="F116" s="23">
        <v>907</v>
      </c>
      <c r="G116" s="3" t="s">
        <v>374</v>
      </c>
      <c r="H116" s="5">
        <v>0</v>
      </c>
      <c r="I116" s="5">
        <v>0</v>
      </c>
      <c r="J116" s="5">
        <v>0</v>
      </c>
      <c r="K116" s="5">
        <v>0</v>
      </c>
      <c r="L116" s="14">
        <v>0</v>
      </c>
      <c r="N116" s="216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18">
        <v>0</v>
      </c>
      <c r="X116" s="29">
        <v>0</v>
      </c>
      <c r="Z116" s="223">
        <v>0</v>
      </c>
      <c r="AA116" s="223">
        <v>0</v>
      </c>
      <c r="AB116" s="29">
        <v>0</v>
      </c>
      <c r="AC116" s="5">
        <v>0</v>
      </c>
      <c r="AD116" s="29">
        <v>0</v>
      </c>
      <c r="AE116" s="376">
        <v>0</v>
      </c>
      <c r="AF116" s="467">
        <v>0</v>
      </c>
    </row>
    <row r="117" spans="1:32" ht="18" customHeight="1">
      <c r="A117" s="5"/>
      <c r="D117" s="13" t="s">
        <v>375</v>
      </c>
      <c r="E117" s="3" t="s">
        <v>1783</v>
      </c>
      <c r="G117" s="3" t="s">
        <v>376</v>
      </c>
      <c r="H117" s="5">
        <v>0</v>
      </c>
      <c r="I117" s="5">
        <v>0</v>
      </c>
      <c r="J117" s="5">
        <v>0</v>
      </c>
      <c r="K117" s="5">
        <v>0</v>
      </c>
      <c r="L117" s="14">
        <v>0</v>
      </c>
      <c r="N117" s="216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18">
        <v>0</v>
      </c>
      <c r="X117" s="29">
        <v>0</v>
      </c>
      <c r="Z117" s="223">
        <v>0</v>
      </c>
      <c r="AA117" s="223">
        <v>0</v>
      </c>
      <c r="AB117" s="29">
        <v>0</v>
      </c>
      <c r="AC117" s="5">
        <v>0</v>
      </c>
      <c r="AD117" s="29">
        <v>0</v>
      </c>
      <c r="AE117" s="376">
        <v>0</v>
      </c>
      <c r="AF117" s="467">
        <v>0</v>
      </c>
    </row>
    <row r="118" spans="1:32" ht="18" customHeight="1">
      <c r="A118" s="5"/>
      <c r="D118" s="12"/>
      <c r="E118" s="482"/>
      <c r="F118" s="483"/>
      <c r="G118" s="482" t="s">
        <v>377</v>
      </c>
      <c r="H118" s="261">
        <v>0</v>
      </c>
      <c r="I118" s="261">
        <v>0</v>
      </c>
      <c r="J118" s="261">
        <v>0</v>
      </c>
      <c r="K118" s="261">
        <v>0</v>
      </c>
      <c r="L118" s="333">
        <v>0</v>
      </c>
      <c r="N118" s="342">
        <v>0</v>
      </c>
      <c r="O118" s="261">
        <v>0</v>
      </c>
      <c r="P118" s="261">
        <v>0</v>
      </c>
      <c r="Q118" s="261">
        <v>0</v>
      </c>
      <c r="R118" s="261">
        <v>0</v>
      </c>
      <c r="S118" s="261">
        <v>0</v>
      </c>
      <c r="T118" s="261">
        <v>0</v>
      </c>
      <c r="U118" s="261">
        <v>0</v>
      </c>
      <c r="V118" s="343">
        <v>0</v>
      </c>
      <c r="X118" s="27">
        <v>0</v>
      </c>
      <c r="Z118" s="347">
        <v>0</v>
      </c>
      <c r="AA118" s="347">
        <v>0</v>
      </c>
      <c r="AB118" s="27">
        <v>0</v>
      </c>
      <c r="AC118" s="261">
        <v>0</v>
      </c>
      <c r="AD118" s="27">
        <v>0</v>
      </c>
      <c r="AE118" s="27">
        <v>0</v>
      </c>
      <c r="AF118" s="471">
        <v>0</v>
      </c>
    </row>
    <row r="119" spans="1:32" ht="18" customHeight="1">
      <c r="A119" s="5"/>
      <c r="D119" s="13" t="s">
        <v>378</v>
      </c>
      <c r="E119" s="3" t="s">
        <v>1783</v>
      </c>
      <c r="G119" s="3" t="s">
        <v>377</v>
      </c>
      <c r="H119" s="5">
        <v>0</v>
      </c>
      <c r="I119" s="5">
        <v>0</v>
      </c>
      <c r="J119" s="5">
        <v>0</v>
      </c>
      <c r="K119" s="5">
        <v>0</v>
      </c>
      <c r="L119" s="14">
        <v>0</v>
      </c>
      <c r="N119" s="216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18">
        <v>0</v>
      </c>
      <c r="X119" s="29">
        <v>0</v>
      </c>
      <c r="Z119" s="223">
        <v>0</v>
      </c>
      <c r="AA119" s="223">
        <v>0</v>
      </c>
      <c r="AB119" s="29">
        <v>0</v>
      </c>
      <c r="AC119" s="5">
        <v>0</v>
      </c>
      <c r="AD119" s="29">
        <v>0</v>
      </c>
      <c r="AE119" s="376">
        <v>0</v>
      </c>
      <c r="AF119" s="467">
        <v>0</v>
      </c>
    </row>
    <row r="120" spans="1:32" ht="18" customHeight="1">
      <c r="A120" s="5"/>
      <c r="D120" s="13">
        <v>714000</v>
      </c>
      <c r="E120" s="3" t="s">
        <v>1783</v>
      </c>
      <c r="G120" s="3" t="s">
        <v>1696</v>
      </c>
      <c r="H120" s="5">
        <v>0</v>
      </c>
      <c r="I120" s="5">
        <v>0</v>
      </c>
      <c r="J120" s="5">
        <v>0</v>
      </c>
      <c r="K120" s="5">
        <v>0</v>
      </c>
      <c r="L120" s="14">
        <v>0</v>
      </c>
      <c r="N120" s="216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18">
        <v>0</v>
      </c>
      <c r="X120" s="29">
        <v>0</v>
      </c>
      <c r="Z120" s="223">
        <v>0</v>
      </c>
      <c r="AA120" s="223">
        <v>0</v>
      </c>
      <c r="AB120" s="29">
        <v>0</v>
      </c>
      <c r="AC120" s="5">
        <v>0</v>
      </c>
      <c r="AD120" s="29">
        <v>0</v>
      </c>
      <c r="AE120" s="376">
        <v>0</v>
      </c>
      <c r="AF120" s="467">
        <v>0</v>
      </c>
    </row>
    <row r="121" spans="1:32" ht="18" customHeight="1">
      <c r="A121" s="5"/>
      <c r="D121" s="11"/>
      <c r="E121" s="481"/>
      <c r="F121" s="478"/>
      <c r="G121" s="481" t="s">
        <v>379</v>
      </c>
      <c r="H121" s="260">
        <v>1043982793</v>
      </c>
      <c r="I121" s="260">
        <v>-304243096</v>
      </c>
      <c r="J121" s="260">
        <v>-262853852</v>
      </c>
      <c r="K121" s="260">
        <v>-273879383</v>
      </c>
      <c r="L121" s="256">
        <v>203006462</v>
      </c>
      <c r="N121" s="340">
        <v>0</v>
      </c>
      <c r="O121" s="260">
        <v>0</v>
      </c>
      <c r="P121" s="260">
        <v>0</v>
      </c>
      <c r="Q121" s="260">
        <v>-16226007</v>
      </c>
      <c r="R121" s="260">
        <v>0</v>
      </c>
      <c r="S121" s="260">
        <v>-20000000</v>
      </c>
      <c r="T121" s="260">
        <v>0</v>
      </c>
      <c r="U121" s="260">
        <v>0</v>
      </c>
      <c r="V121" s="341">
        <v>-36226007</v>
      </c>
      <c r="X121" s="26">
        <v>166780455</v>
      </c>
      <c r="Z121" s="255">
        <v>-658139430</v>
      </c>
      <c r="AA121" s="255">
        <v>-14660494574</v>
      </c>
      <c r="AB121" s="26">
        <v>2292303761</v>
      </c>
      <c r="AC121" s="260">
        <v>-25048195496</v>
      </c>
      <c r="AD121" s="26">
        <v>-9235216767</v>
      </c>
      <c r="AE121" s="26">
        <v>-4570284914</v>
      </c>
      <c r="AF121" s="470">
        <v>-86169462</v>
      </c>
    </row>
    <row r="122" spans="1:32" ht="18" customHeight="1">
      <c r="A122" s="5"/>
      <c r="D122" s="12"/>
      <c r="E122" s="482"/>
      <c r="F122" s="483"/>
      <c r="G122" s="482" t="s">
        <v>380</v>
      </c>
      <c r="H122" s="261">
        <v>480535403</v>
      </c>
      <c r="I122" s="261">
        <v>0</v>
      </c>
      <c r="J122" s="261">
        <v>0</v>
      </c>
      <c r="K122" s="261">
        <v>0</v>
      </c>
      <c r="L122" s="333">
        <v>480535403</v>
      </c>
      <c r="N122" s="342">
        <v>0</v>
      </c>
      <c r="O122" s="261">
        <v>0</v>
      </c>
      <c r="P122" s="261">
        <v>0</v>
      </c>
      <c r="Q122" s="261">
        <v>0</v>
      </c>
      <c r="R122" s="261">
        <v>0</v>
      </c>
      <c r="S122" s="261">
        <v>0</v>
      </c>
      <c r="T122" s="261">
        <v>0</v>
      </c>
      <c r="U122" s="261">
        <v>0</v>
      </c>
      <c r="V122" s="343">
        <v>0</v>
      </c>
      <c r="X122" s="27">
        <v>480535403</v>
      </c>
      <c r="Z122" s="347">
        <v>464597147</v>
      </c>
      <c r="AA122" s="347">
        <v>241042872</v>
      </c>
      <c r="AB122" s="27">
        <v>116907703</v>
      </c>
      <c r="AC122" s="261">
        <v>-1980322895</v>
      </c>
      <c r="AD122" s="27">
        <v>-190300445</v>
      </c>
      <c r="AE122" s="27">
        <v>-126707914</v>
      </c>
      <c r="AF122" s="471">
        <v>-62271284</v>
      </c>
    </row>
    <row r="123" spans="1:32" ht="18" customHeight="1">
      <c r="A123" s="5"/>
      <c r="D123" s="13">
        <v>811100</v>
      </c>
      <c r="E123" s="3" t="s">
        <v>380</v>
      </c>
      <c r="F123" s="23">
        <v>801</v>
      </c>
      <c r="G123" s="3" t="s">
        <v>380</v>
      </c>
      <c r="H123" s="5">
        <v>480535403</v>
      </c>
      <c r="I123" s="5">
        <v>0</v>
      </c>
      <c r="J123" s="5">
        <v>0</v>
      </c>
      <c r="K123" s="5">
        <v>0</v>
      </c>
      <c r="L123" s="14">
        <v>480535403</v>
      </c>
      <c r="N123" s="216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18">
        <v>0</v>
      </c>
      <c r="X123" s="29">
        <v>480535403</v>
      </c>
      <c r="Z123" s="223">
        <v>464597147</v>
      </c>
      <c r="AA123" s="223">
        <v>241042872</v>
      </c>
      <c r="AB123" s="29">
        <v>116907703</v>
      </c>
      <c r="AC123" s="5">
        <v>-1980322895</v>
      </c>
      <c r="AD123" s="29">
        <v>-190300445</v>
      </c>
      <c r="AE123" s="29">
        <v>-126707914</v>
      </c>
      <c r="AF123" s="467">
        <v>-62271284</v>
      </c>
    </row>
    <row r="124" spans="1:32" ht="18" customHeight="1">
      <c r="A124" s="5"/>
      <c r="D124" s="11"/>
      <c r="E124" s="481"/>
      <c r="F124" s="478"/>
      <c r="G124" s="481" t="s">
        <v>382</v>
      </c>
      <c r="H124" s="260">
        <v>563447390</v>
      </c>
      <c r="I124" s="260">
        <v>-304243096</v>
      </c>
      <c r="J124" s="260">
        <v>-262853852</v>
      </c>
      <c r="K124" s="260">
        <v>-273879383</v>
      </c>
      <c r="L124" s="256">
        <v>-277528941</v>
      </c>
      <c r="N124" s="340">
        <v>0</v>
      </c>
      <c r="O124" s="260">
        <v>0</v>
      </c>
      <c r="P124" s="260">
        <v>0</v>
      </c>
      <c r="Q124" s="260">
        <v>-16226007</v>
      </c>
      <c r="R124" s="260">
        <v>0</v>
      </c>
      <c r="S124" s="260">
        <v>-20000000</v>
      </c>
      <c r="T124" s="260">
        <v>0</v>
      </c>
      <c r="U124" s="260">
        <v>0</v>
      </c>
      <c r="V124" s="341">
        <v>-36226007</v>
      </c>
      <c r="X124" s="26">
        <v>-313754948</v>
      </c>
      <c r="Z124" s="255">
        <v>-1122736577</v>
      </c>
      <c r="AA124" s="255">
        <v>-14901537446</v>
      </c>
      <c r="AB124" s="26">
        <v>2175396058</v>
      </c>
      <c r="AC124" s="260">
        <v>-23067872601</v>
      </c>
      <c r="AD124" s="26">
        <v>-9044916322</v>
      </c>
      <c r="AE124" s="26">
        <v>-4443577000</v>
      </c>
      <c r="AF124" s="470">
        <v>-23898178</v>
      </c>
    </row>
    <row r="125" spans="1:32" ht="18" customHeight="1">
      <c r="A125" s="5"/>
      <c r="D125" s="13" t="s">
        <v>383</v>
      </c>
      <c r="E125" s="3" t="s">
        <v>11</v>
      </c>
      <c r="G125" s="3" t="s">
        <v>11</v>
      </c>
      <c r="H125" s="5">
        <v>563447390</v>
      </c>
      <c r="I125" s="5">
        <v>-304243096</v>
      </c>
      <c r="J125" s="5">
        <v>-262853852</v>
      </c>
      <c r="K125" s="5">
        <v>-273879383</v>
      </c>
      <c r="L125" s="14">
        <v>-277528941</v>
      </c>
      <c r="N125" s="216">
        <v>0</v>
      </c>
      <c r="O125" s="5">
        <v>0</v>
      </c>
      <c r="P125" s="5">
        <v>0</v>
      </c>
      <c r="Q125" s="5">
        <v>-16226007</v>
      </c>
      <c r="R125" s="5">
        <v>0</v>
      </c>
      <c r="S125" s="5">
        <v>-20000000</v>
      </c>
      <c r="T125" s="5">
        <v>0</v>
      </c>
      <c r="U125" s="5">
        <v>0</v>
      </c>
      <c r="V125" s="218">
        <v>-36226007</v>
      </c>
      <c r="X125" s="29">
        <v>-313754948</v>
      </c>
      <c r="Z125" s="223">
        <v>-1122736577</v>
      </c>
      <c r="AA125" s="223">
        <v>-14901537446</v>
      </c>
      <c r="AB125" s="29">
        <v>2175396058</v>
      </c>
      <c r="AC125" s="5">
        <v>-23067872601</v>
      </c>
      <c r="AD125" s="29">
        <v>-9044916322</v>
      </c>
      <c r="AE125" s="29">
        <v>-4443577000</v>
      </c>
      <c r="AF125" s="467">
        <v>-23898178</v>
      </c>
    </row>
    <row r="126" spans="1:32" ht="18" customHeight="1" thickBot="1">
      <c r="A126" s="5"/>
      <c r="D126" s="344" t="s">
        <v>384</v>
      </c>
      <c r="E126" s="17" t="s">
        <v>210</v>
      </c>
      <c r="F126" s="334"/>
      <c r="G126" s="17" t="s">
        <v>210</v>
      </c>
      <c r="H126" s="15">
        <v>0</v>
      </c>
      <c r="I126" s="15">
        <v>0</v>
      </c>
      <c r="J126" s="15">
        <v>0</v>
      </c>
      <c r="K126" s="485">
        <v>0</v>
      </c>
      <c r="L126" s="16">
        <v>0</v>
      </c>
      <c r="N126" s="277">
        <v>0</v>
      </c>
      <c r="O126" s="485">
        <v>0</v>
      </c>
      <c r="P126" s="485">
        <v>0</v>
      </c>
      <c r="Q126" s="485">
        <v>0</v>
      </c>
      <c r="R126" s="485">
        <v>0</v>
      </c>
      <c r="S126" s="485">
        <v>0</v>
      </c>
      <c r="T126" s="485">
        <v>0</v>
      </c>
      <c r="U126" s="485">
        <v>0</v>
      </c>
      <c r="V126" s="224">
        <v>0</v>
      </c>
      <c r="X126" s="345">
        <v>0</v>
      </c>
      <c r="Z126" s="257">
        <v>0</v>
      </c>
      <c r="AA126" s="257">
        <v>0</v>
      </c>
      <c r="AB126" s="345"/>
      <c r="AC126" s="15">
        <v>0</v>
      </c>
      <c r="AD126" s="345">
        <v>0</v>
      </c>
      <c r="AE126" s="377">
        <v>0</v>
      </c>
      <c r="AF126" s="468">
        <v>0</v>
      </c>
    </row>
    <row r="127" spans="1:32" s="24" customFormat="1" ht="18" customHeight="1">
      <c r="F127" s="346"/>
      <c r="H127" s="25" t="b">
        <v>1</v>
      </c>
      <c r="I127" s="24" t="b">
        <v>1</v>
      </c>
      <c r="J127" s="24" t="b">
        <v>1</v>
      </c>
      <c r="K127" s="25" t="b">
        <v>1</v>
      </c>
      <c r="L127" s="25"/>
      <c r="N127" s="25">
        <v>0</v>
      </c>
      <c r="O127" s="25"/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/>
      <c r="V127" s="25"/>
      <c r="X127" s="25"/>
      <c r="Z127" s="205"/>
      <c r="AA127" s="205"/>
      <c r="AB127" s="205"/>
      <c r="AD127" s="25"/>
      <c r="AE127" s="373"/>
      <c r="AF127" s="205"/>
    </row>
    <row r="128" spans="1:32" ht="18" customHeight="1">
      <c r="L128" s="486"/>
      <c r="N128" s="5"/>
      <c r="O128" s="5"/>
      <c r="R128" s="217"/>
      <c r="V128" s="5"/>
      <c r="X128" s="5"/>
      <c r="AD128" s="5"/>
      <c r="AE128" s="205"/>
    </row>
    <row r="129" spans="6:30" s="373" customFormat="1" ht="18" customHeight="1">
      <c r="F129" s="23"/>
      <c r="G129" s="3"/>
      <c r="H129" s="5"/>
      <c r="I129" s="5"/>
      <c r="J129" s="3"/>
      <c r="K129" s="3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5"/>
      <c r="Y129" s="3"/>
      <c r="AC129" s="3"/>
      <c r="AD129" s="5"/>
    </row>
    <row r="130" spans="6:30" s="373" customFormat="1" ht="18" customHeight="1">
      <c r="F130" s="2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73">
        <v>1122736577</v>
      </c>
      <c r="AA130" s="373">
        <v>14587782498</v>
      </c>
      <c r="AC130" s="3"/>
      <c r="AD130" s="3"/>
    </row>
    <row r="131" spans="6:30" s="373" customFormat="1" ht="18" customHeight="1">
      <c r="F131" s="23"/>
      <c r="G131" s="3"/>
      <c r="H131" s="487"/>
      <c r="I131" s="48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C131" s="3"/>
      <c r="AD131" s="3"/>
    </row>
    <row r="132" spans="6:30" s="373" customFormat="1" ht="18" customHeight="1">
      <c r="F132" s="23"/>
      <c r="G132" s="3"/>
      <c r="H132" s="5"/>
      <c r="I132" s="5"/>
      <c r="J132" s="3"/>
      <c r="K132" s="3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C132" s="3"/>
      <c r="AD132" s="3"/>
    </row>
    <row r="133" spans="6:30" s="373" customFormat="1" ht="18" customHeight="1">
      <c r="F133" s="23"/>
      <c r="G133" s="3"/>
      <c r="H133" s="3"/>
      <c r="I133" s="3"/>
      <c r="J133" s="3"/>
      <c r="K133" s="3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C133" s="3"/>
      <c r="AD133" s="3"/>
    </row>
  </sheetData>
  <autoFilter ref="D5:L127"/>
  <phoneticPr fontId="2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AQ136"/>
  <sheetViews>
    <sheetView showGridLines="0" zoomScale="80" zoomScaleNormal="80" workbookViewId="0">
      <pane xSplit="7" ySplit="5" topLeftCell="H6" activePane="bottomRight" state="frozen"/>
      <selection activeCell="I248" sqref="I248"/>
      <selection pane="topRight" activeCell="I248" sqref="I248"/>
      <selection pane="bottomLeft" activeCell="I248" sqref="I248"/>
      <selection pane="bottomRight" activeCell="X127" sqref="X127"/>
    </sheetView>
  </sheetViews>
  <sheetFormatPr defaultColWidth="8.75" defaultRowHeight="18" customHeight="1" outlineLevelCol="1"/>
  <cols>
    <col min="1" max="1" width="17.75" style="1364" customWidth="1"/>
    <col min="2" max="2" width="6.125" style="1364" bestFit="1" customWidth="1"/>
    <col min="3" max="3" width="2.375" style="1364" customWidth="1"/>
    <col min="4" max="4" width="14.375" style="1364" bestFit="1" customWidth="1"/>
    <col min="5" max="5" width="28" style="1364" customWidth="1"/>
    <col min="6" max="6" width="14.125" style="1366" customWidth="1"/>
    <col min="7" max="7" width="30.625" style="1364" customWidth="1"/>
    <col min="8" max="9" width="18.125" style="1364" customWidth="1" outlineLevel="1"/>
    <col min="10" max="10" width="19.625" style="1364" customWidth="1" outlineLevel="1"/>
    <col min="11" max="11" width="19" style="1364" bestFit="1" customWidth="1" outlineLevel="1"/>
    <col min="12" max="12" width="17.625" style="1364" customWidth="1"/>
    <col min="13" max="13" width="2.75" style="1364" customWidth="1"/>
    <col min="14" max="21" width="18.625" style="1364" hidden="1" customWidth="1" outlineLevel="1"/>
    <col min="22" max="22" width="18.625" style="1364" customWidth="1" collapsed="1"/>
    <col min="23" max="23" width="2.375" style="1364" customWidth="1"/>
    <col min="24" max="24" width="16.625" style="1364" customWidth="1"/>
    <col min="25" max="25" width="2.375" style="1364" customWidth="1"/>
    <col min="26" max="28" width="16.625" style="1364" customWidth="1"/>
    <col min="29" max="29" width="2.375" style="1364" customWidth="1"/>
    <col min="30" max="39" width="16.625" style="966" customWidth="1"/>
    <col min="40" max="40" width="16.625" style="1364" customWidth="1"/>
    <col min="41" max="41" width="16.625" style="770" customWidth="1"/>
    <col min="42" max="43" width="16.625" style="966" customWidth="1"/>
    <col min="44" max="16384" width="8.75" style="1364"/>
  </cols>
  <sheetData>
    <row r="1" spans="1:43" ht="18" customHeight="1">
      <c r="H1" s="509"/>
      <c r="I1" s="509"/>
      <c r="L1" s="966"/>
      <c r="X1" s="509"/>
      <c r="Z1" s="509"/>
      <c r="AA1" s="509"/>
      <c r="AB1" s="509"/>
    </row>
    <row r="2" spans="1:43" ht="18" customHeight="1">
      <c r="G2" s="1658"/>
      <c r="H2" s="509"/>
      <c r="I2" s="509"/>
      <c r="J2" s="509"/>
      <c r="K2" s="509"/>
      <c r="L2" s="509"/>
      <c r="X2" s="509"/>
      <c r="Z2" s="509"/>
      <c r="AA2" s="1952"/>
      <c r="AB2" s="509"/>
    </row>
    <row r="3" spans="1:43" s="1366" customFormat="1" ht="18" customHeight="1">
      <c r="G3" s="1805"/>
      <c r="H3" s="1605"/>
      <c r="I3" s="1605"/>
      <c r="J3" s="1605"/>
      <c r="K3" s="1605"/>
      <c r="L3" s="1605"/>
      <c r="V3" s="562"/>
      <c r="X3" s="1579" t="s">
        <v>538</v>
      </c>
      <c r="Z3" s="1579"/>
      <c r="AA3" s="1579"/>
      <c r="AB3" s="1579"/>
      <c r="AD3" s="1606"/>
      <c r="AE3" s="1606"/>
      <c r="AF3" s="1606"/>
      <c r="AG3" s="1606"/>
      <c r="AH3" s="1606"/>
      <c r="AI3" s="1606"/>
      <c r="AJ3" s="1606"/>
      <c r="AK3" s="1606"/>
      <c r="AL3" s="1606"/>
      <c r="AM3" s="1606"/>
      <c r="AO3" s="565"/>
      <c r="AP3" s="1606"/>
      <c r="AQ3" s="1606"/>
    </row>
    <row r="4" spans="1:43" s="1579" customFormat="1" ht="18" customHeight="1" thickBot="1">
      <c r="H4" s="1605" t="str">
        <f>T_BS!H3</f>
        <v>V1.0</v>
      </c>
      <c r="I4" s="1605" t="str">
        <f>T_BS!I3</f>
        <v>V1.1</v>
      </c>
      <c r="J4" s="1605" t="str">
        <f>T_BS!J3</f>
        <v>V1.0</v>
      </c>
      <c r="K4" s="1605" t="str">
        <f>T_BS!K3</f>
        <v>V1.0</v>
      </c>
      <c r="R4" s="1607"/>
      <c r="X4" s="1579" t="str">
        <f>T_BS!X3</f>
        <v>2022.10.31</v>
      </c>
      <c r="AD4" s="1608"/>
      <c r="AE4" s="1608"/>
      <c r="AF4" s="1608"/>
      <c r="AG4" s="1608"/>
      <c r="AH4" s="1608"/>
      <c r="AI4" s="1608"/>
      <c r="AJ4" s="1608"/>
      <c r="AK4" s="1608"/>
      <c r="AL4" s="1608"/>
      <c r="AM4" s="1608"/>
      <c r="AO4" s="1609"/>
      <c r="AP4" s="1608"/>
      <c r="AQ4" s="1608"/>
    </row>
    <row r="5" spans="1:43" s="1516" customFormat="1" ht="33" customHeight="1">
      <c r="D5" s="1517" t="s">
        <v>16</v>
      </c>
      <c r="E5" s="1518" t="s">
        <v>17</v>
      </c>
      <c r="F5" s="1518" t="s">
        <v>18</v>
      </c>
      <c r="G5" s="1518" t="s">
        <v>19</v>
      </c>
      <c r="H5" s="497" t="s">
        <v>15</v>
      </c>
      <c r="I5" s="497" t="s">
        <v>2079</v>
      </c>
      <c r="J5" s="497" t="s">
        <v>2588</v>
      </c>
      <c r="K5" s="497" t="s">
        <v>2832</v>
      </c>
      <c r="L5" s="517" t="s">
        <v>227</v>
      </c>
      <c r="N5" s="1521" t="s">
        <v>391</v>
      </c>
      <c r="O5" s="1522" t="s">
        <v>402</v>
      </c>
      <c r="P5" s="1522" t="s">
        <v>403</v>
      </c>
      <c r="Q5" s="1522" t="s">
        <v>409</v>
      </c>
      <c r="R5" s="1522" t="s">
        <v>410</v>
      </c>
      <c r="S5" s="1522" t="s">
        <v>487</v>
      </c>
      <c r="T5" s="1522" t="s">
        <v>490</v>
      </c>
      <c r="U5" s="1522" t="s">
        <v>491</v>
      </c>
      <c r="V5" s="1523" t="s">
        <v>489</v>
      </c>
      <c r="X5" s="1610" t="s">
        <v>2892</v>
      </c>
      <c r="Z5" s="1610" t="s">
        <v>2894</v>
      </c>
      <c r="AA5" s="1610" t="s">
        <v>2895</v>
      </c>
      <c r="AB5" s="1610" t="s">
        <v>2833</v>
      </c>
      <c r="AD5" s="1611" t="s">
        <v>2897</v>
      </c>
      <c r="AE5" s="1611" t="s">
        <v>2835</v>
      </c>
      <c r="AF5" s="1611" t="s">
        <v>2831</v>
      </c>
      <c r="AG5" s="1611" t="s">
        <v>2814</v>
      </c>
      <c r="AH5" s="1611" t="s">
        <v>2577</v>
      </c>
      <c r="AI5" s="1612" t="s">
        <v>2408</v>
      </c>
      <c r="AJ5" s="1612" t="s">
        <v>2325</v>
      </c>
      <c r="AK5" s="1612" t="str">
        <f>T_BS!AI5</f>
        <v>FY2021.Q3</v>
      </c>
      <c r="AL5" s="1612" t="str">
        <f>T_BS!AJ5</f>
        <v>FY2021.Q2</v>
      </c>
      <c r="AM5" s="1612" t="str">
        <f>T_BS!AK5</f>
        <v>FY2021.Q1</v>
      </c>
      <c r="AN5" s="1518" t="s">
        <v>2297</v>
      </c>
      <c r="AO5" s="1612" t="s">
        <v>2298</v>
      </c>
      <c r="AP5" s="1612" t="s">
        <v>2206</v>
      </c>
      <c r="AQ5" s="1582" t="s">
        <v>2299</v>
      </c>
    </row>
    <row r="6" spans="1:43" ht="18" customHeight="1">
      <c r="A6" s="509"/>
      <c r="D6" s="1588"/>
      <c r="E6" s="1613"/>
      <c r="F6" s="1613"/>
      <c r="G6" s="1591" t="s">
        <v>228</v>
      </c>
      <c r="H6" s="1614">
        <f>SUM(H7:H25)</f>
        <v>210466833497</v>
      </c>
      <c r="I6" s="1615">
        <f>SUM(I7:I25)</f>
        <v>1828444532</v>
      </c>
      <c r="J6" s="1615">
        <f>SUM(J7:J25)</f>
        <v>490228984</v>
      </c>
      <c r="K6" s="1615">
        <f>SUM(K7:K25)</f>
        <v>12971535429</v>
      </c>
      <c r="L6" s="1616">
        <f>SUM(L7:L25)</f>
        <v>225757042442</v>
      </c>
      <c r="N6" s="1617">
        <f t="shared" ref="N6:V6" si="0">SUM(N7:N25)</f>
        <v>0</v>
      </c>
      <c r="O6" s="1615">
        <f t="shared" si="0"/>
        <v>0</v>
      </c>
      <c r="P6" s="1615">
        <f t="shared" si="0"/>
        <v>-3204549171</v>
      </c>
      <c r="Q6" s="1615">
        <f t="shared" si="0"/>
        <v>0</v>
      </c>
      <c r="R6" s="1615">
        <f t="shared" si="0"/>
        <v>0</v>
      </c>
      <c r="S6" s="1615">
        <f t="shared" si="0"/>
        <v>0</v>
      </c>
      <c r="T6" s="1615">
        <f t="shared" si="0"/>
        <v>0</v>
      </c>
      <c r="U6" s="1615">
        <f t="shared" si="0"/>
        <v>0</v>
      </c>
      <c r="V6" s="1618">
        <f t="shared" si="0"/>
        <v>-3204549171</v>
      </c>
      <c r="X6" s="1619">
        <f>SUM(X7:X25)</f>
        <v>222552493271</v>
      </c>
      <c r="Z6" s="1619">
        <f>SUM(Z7:Z25)</f>
        <v>22517761095</v>
      </c>
      <c r="AA6" s="1619">
        <f>SUM(AA7:AA25)</f>
        <v>22502265514</v>
      </c>
      <c r="AB6" s="1619">
        <f>SUM(AB7:AB25)</f>
        <v>15495581</v>
      </c>
      <c r="AD6" s="1620">
        <v>200034732176</v>
      </c>
      <c r="AE6" s="1620">
        <v>177532466662</v>
      </c>
      <c r="AF6" s="1620">
        <v>151144348048</v>
      </c>
      <c r="AG6" s="1620">
        <v>126103721487</v>
      </c>
      <c r="AH6" s="1620">
        <v>58165919693</v>
      </c>
      <c r="AI6" s="1620">
        <v>244189264502</v>
      </c>
      <c r="AJ6" s="1620">
        <v>197973585490</v>
      </c>
      <c r="AK6" s="1620">
        <v>177966232980</v>
      </c>
      <c r="AL6" s="1620">
        <v>117973208961</v>
      </c>
      <c r="AM6" s="1619">
        <f>SUM(AM7:AM25)</f>
        <v>57684351029</v>
      </c>
      <c r="AN6" s="1615">
        <f>SUM(AN7:AN25)</f>
        <v>226329072223</v>
      </c>
      <c r="AO6" s="1619">
        <f>SUM(AO7:AO25)</f>
        <v>162636464186</v>
      </c>
      <c r="AP6" s="1619">
        <f>SUM(AP7:AP25)</f>
        <v>107602421722</v>
      </c>
      <c r="AQ6" s="1621">
        <f>SUM(AQ7:AQ25)</f>
        <v>50575766432</v>
      </c>
    </row>
    <row r="7" spans="1:43" ht="18" customHeight="1">
      <c r="A7" s="509"/>
      <c r="D7" s="1598">
        <v>410100</v>
      </c>
      <c r="E7" s="1364" t="s">
        <v>228</v>
      </c>
      <c r="F7" s="1366">
        <v>101</v>
      </c>
      <c r="G7" s="1364" t="s">
        <v>612</v>
      </c>
      <c r="H7" s="498">
        <v>33048418007</v>
      </c>
      <c r="I7" s="498">
        <v>0</v>
      </c>
      <c r="J7" s="710">
        <v>65224230</v>
      </c>
      <c r="K7" s="710">
        <v>0</v>
      </c>
      <c r="L7" s="510">
        <f t="shared" ref="L7:L25" si="1">SUM(H7:K7)</f>
        <v>33113642237</v>
      </c>
      <c r="N7" s="1473">
        <f>-ROUND(SUMIF('1.0'!$D:$D,T_IS!D7,'1.0'!$V:$V),0)</f>
        <v>0</v>
      </c>
      <c r="O7" s="509">
        <f>-ROUND(SUMIF('2.0'!$D:$D,T_IS!D7,'2.0'!$V:$V),0)</f>
        <v>0</v>
      </c>
      <c r="P7" s="509">
        <f>-ROUND(SUMIF('3.0'!$D:$D,T_IS!D7,'3.0'!$H:$H),0)</f>
        <v>0</v>
      </c>
      <c r="Q7" s="509">
        <f>-ROUND(SUMIF('4.0'!$D:$D,T_IS!D7,'4.0'!$V:$V),0)</f>
        <v>0</v>
      </c>
      <c r="R7" s="509">
        <f>-ROUND(SUMIF('5.0'!$D:$D,T_IS!D7,'5.0'!$V:$V),0)</f>
        <v>0</v>
      </c>
      <c r="S7" s="509">
        <f>-ROUND(SUMIF('6.0'!$D:$D,T_IS!D7,'6.0'!$V:$V),0)</f>
        <v>-3487498</v>
      </c>
      <c r="T7" s="509">
        <f>-ROUND(SUMIF('7.0'!$D:$D,T_IS!D7,'7.0'!$V:$V),0)</f>
        <v>0</v>
      </c>
      <c r="U7" s="509">
        <f>-ROUND(SUMIF('8.0'!$D:$D,T_IS!F7,'8.0'!$H:$H),0)</f>
        <v>0</v>
      </c>
      <c r="V7" s="1475">
        <f t="shared" ref="V7:V25" si="2">SUM(N7:U7)</f>
        <v>-3487498</v>
      </c>
      <c r="X7" s="1622">
        <f t="shared" ref="X7:X25" si="3">V7+L7</f>
        <v>33110154739</v>
      </c>
      <c r="Z7" s="1622">
        <f>X7-AD7</f>
        <v>2121995570</v>
      </c>
      <c r="AA7" s="1622">
        <f>AD7-AE7</f>
        <v>2263290984</v>
      </c>
      <c r="AB7" s="1622">
        <f>Z7-AA7</f>
        <v>-141295414</v>
      </c>
      <c r="AD7" s="550">
        <v>30988159169</v>
      </c>
      <c r="AE7" s="550">
        <v>28724868185</v>
      </c>
      <c r="AF7" s="550">
        <v>23975081878</v>
      </c>
      <c r="AG7" s="550">
        <v>18202450868</v>
      </c>
      <c r="AH7" s="550">
        <v>9331305351</v>
      </c>
      <c r="AI7" s="550">
        <v>29186209572</v>
      </c>
      <c r="AJ7" s="550">
        <v>22512545727</v>
      </c>
      <c r="AK7" s="550">
        <v>20617921776</v>
      </c>
      <c r="AL7" s="550">
        <v>14235080078</v>
      </c>
      <c r="AM7" s="1622">
        <v>7931187087</v>
      </c>
      <c r="AN7" s="509">
        <v>25747818985</v>
      </c>
      <c r="AO7" s="1622">
        <v>16403967656</v>
      </c>
      <c r="AP7" s="1623">
        <v>9722799104</v>
      </c>
      <c r="AQ7" s="1624">
        <v>3982145814</v>
      </c>
    </row>
    <row r="8" spans="1:43" ht="18" customHeight="1">
      <c r="A8" s="509"/>
      <c r="D8" s="1598">
        <v>410120</v>
      </c>
      <c r="E8" s="1364" t="s">
        <v>228</v>
      </c>
      <c r="F8" s="1366">
        <v>101</v>
      </c>
      <c r="G8" s="1364" t="s">
        <v>613</v>
      </c>
      <c r="H8" s="498">
        <v>-186612003</v>
      </c>
      <c r="I8" s="498">
        <v>0</v>
      </c>
      <c r="J8" s="710">
        <v>0</v>
      </c>
      <c r="K8" s="710">
        <v>0</v>
      </c>
      <c r="L8" s="510">
        <f t="shared" si="1"/>
        <v>-186612003</v>
      </c>
      <c r="N8" s="1473">
        <f>-ROUND(SUMIF('1.0'!$D:$D,T_IS!D8,'1.0'!$V:$V),0)</f>
        <v>0</v>
      </c>
      <c r="O8" s="509">
        <f>-ROUND(SUMIF('2.0'!$D:$D,T_IS!D8,'2.0'!$V:$V),0)</f>
        <v>0</v>
      </c>
      <c r="P8" s="509">
        <f>-ROUND(SUMIF('3.0'!$D:$D,T_IS!D8,'3.0'!$H:$H),0)</f>
        <v>0</v>
      </c>
      <c r="Q8" s="509">
        <f>-ROUND(SUMIF('4.0'!$D:$D,T_IS!D8,'4.0'!$V:$V),0)</f>
        <v>0</v>
      </c>
      <c r="R8" s="509">
        <f>-ROUND(SUMIF('5.0'!$D:$D,T_IS!D8,'5.0'!$V:$V),0)</f>
        <v>0</v>
      </c>
      <c r="S8" s="509">
        <f>-ROUND(SUMIF('6.0'!$D:$D,T_IS!D8,'6.0'!$V:$V),0)</f>
        <v>0</v>
      </c>
      <c r="T8" s="509">
        <f>-ROUND(SUMIF('7.0'!$D:$D,T_IS!D8,'7.0'!$V:$V),0)</f>
        <v>0</v>
      </c>
      <c r="U8" s="509">
        <f>-ROUND(SUMIF('8.0'!$D:$D,T_IS!F8,'8.0'!$H:$H),0)</f>
        <v>0</v>
      </c>
      <c r="V8" s="1475">
        <f t="shared" si="2"/>
        <v>0</v>
      </c>
      <c r="X8" s="1622">
        <f t="shared" si="3"/>
        <v>-186612003</v>
      </c>
      <c r="Z8" s="1622">
        <f t="shared" ref="Z8:Z25" si="4">X8-AD8</f>
        <v>-1563900</v>
      </c>
      <c r="AA8" s="1622">
        <f t="shared" ref="AA8:AA25" si="5">AD8-AE8</f>
        <v>-154982963</v>
      </c>
      <c r="AB8" s="1622">
        <f t="shared" ref="AB8:AB25" si="6">Z8-AA8</f>
        <v>153419063</v>
      </c>
      <c r="AD8" s="550">
        <v>-185048103</v>
      </c>
      <c r="AE8" s="550">
        <v>-30065140</v>
      </c>
      <c r="AF8" s="550">
        <v>-25795540</v>
      </c>
      <c r="AG8" s="550">
        <v>-22639640</v>
      </c>
      <c r="AH8" s="550">
        <v>-8660500</v>
      </c>
      <c r="AI8" s="550">
        <v>-18149805</v>
      </c>
      <c r="AJ8" s="550">
        <v>-18149805</v>
      </c>
      <c r="AK8" s="550">
        <v>-18149805</v>
      </c>
      <c r="AL8" s="550">
        <v>-15801350</v>
      </c>
      <c r="AM8" s="1622">
        <v>-7018725</v>
      </c>
      <c r="AN8" s="509">
        <v>-21621398</v>
      </c>
      <c r="AO8" s="1622">
        <v>-17956314</v>
      </c>
      <c r="AP8" s="1818">
        <v>-12493122</v>
      </c>
      <c r="AQ8" s="1819">
        <v>-4236960</v>
      </c>
    </row>
    <row r="9" spans="1:43" ht="18" customHeight="1">
      <c r="A9" s="509"/>
      <c r="D9" s="1598">
        <v>410130</v>
      </c>
      <c r="E9" s="1364" t="s">
        <v>228</v>
      </c>
      <c r="F9" s="1366">
        <v>105</v>
      </c>
      <c r="G9" s="1364" t="s">
        <v>614</v>
      </c>
      <c r="H9" s="498">
        <v>2422852342</v>
      </c>
      <c r="I9" s="498">
        <v>0</v>
      </c>
      <c r="J9" s="710">
        <v>11580898</v>
      </c>
      <c r="K9" s="710">
        <v>12879614189</v>
      </c>
      <c r="L9" s="510">
        <f t="shared" si="1"/>
        <v>15314047429</v>
      </c>
      <c r="N9" s="1473">
        <f>-ROUND(SUMIF('1.0'!$D:$D,T_IS!D9,'1.0'!$V:$V),0)</f>
        <v>0</v>
      </c>
      <c r="O9" s="509">
        <f>-ROUND(SUMIF('2.0'!$D:$D,T_IS!D9,'2.0'!$V:$V),0)</f>
        <v>0</v>
      </c>
      <c r="P9" s="509">
        <f>-ROUND(SUMIF('3.0'!$D:$D,T_IS!D9,'3.0'!$H:$H),0)</f>
        <v>-1117698369</v>
      </c>
      <c r="Q9" s="509">
        <f>-ROUND(SUMIF('4.0'!$D:$D,T_IS!D9,'4.0'!$V:$V),0)</f>
        <v>0</v>
      </c>
      <c r="R9" s="509">
        <f>-ROUND(SUMIF('5.0'!$D:$D,T_IS!D9,'5.0'!$V:$V),0)</f>
        <v>0</v>
      </c>
      <c r="S9" s="509">
        <f>-ROUND(SUMIF('6.0'!$D:$D,T_IS!D9,'6.0'!$V:$V),0)</f>
        <v>0</v>
      </c>
      <c r="T9" s="509">
        <f>-ROUND(SUMIF('7.0'!$D:$D,T_IS!D9,'7.0'!$V:$V),0)</f>
        <v>0</v>
      </c>
      <c r="U9" s="509">
        <f>-ROUND(SUMIF('8.0'!$D:$D,T_IS!F9,'8.0'!$H:$H),0)</f>
        <v>0</v>
      </c>
      <c r="V9" s="1475">
        <f t="shared" si="2"/>
        <v>-1117698369</v>
      </c>
      <c r="X9" s="1622">
        <f t="shared" si="3"/>
        <v>14196349060</v>
      </c>
      <c r="Z9" s="1622">
        <f t="shared" si="4"/>
        <v>803634728</v>
      </c>
      <c r="AA9" s="1622">
        <f t="shared" si="5"/>
        <v>1245614406</v>
      </c>
      <c r="AB9" s="1622">
        <f t="shared" si="6"/>
        <v>-441979678</v>
      </c>
      <c r="AD9" s="550">
        <v>13392714332</v>
      </c>
      <c r="AE9" s="550">
        <v>12147099926</v>
      </c>
      <c r="AF9" s="550">
        <v>6717842971</v>
      </c>
      <c r="AG9" s="550">
        <v>5886953112</v>
      </c>
      <c r="AH9" s="550">
        <v>1263215718</v>
      </c>
      <c r="AI9" s="550">
        <v>4490106613</v>
      </c>
      <c r="AJ9" s="550">
        <v>4144767335</v>
      </c>
      <c r="AK9" s="550">
        <v>3684987281</v>
      </c>
      <c r="AL9" s="550">
        <v>2551516872</v>
      </c>
      <c r="AM9" s="1622">
        <v>795584555</v>
      </c>
      <c r="AN9" s="509">
        <v>5965069792</v>
      </c>
      <c r="AO9" s="1622">
        <v>5150077146</v>
      </c>
      <c r="AP9" s="1623">
        <v>3972489239</v>
      </c>
      <c r="AQ9" s="1624">
        <v>1395531155</v>
      </c>
    </row>
    <row r="10" spans="1:43" ht="18" customHeight="1">
      <c r="A10" s="509"/>
      <c r="D10" s="1598">
        <v>410140</v>
      </c>
      <c r="E10" s="1364" t="s">
        <v>228</v>
      </c>
      <c r="F10" s="1366">
        <v>105</v>
      </c>
      <c r="G10" s="1364" t="s">
        <v>615</v>
      </c>
      <c r="H10" s="498">
        <v>0</v>
      </c>
      <c r="I10" s="498">
        <v>0</v>
      </c>
      <c r="J10" s="710">
        <v>0</v>
      </c>
      <c r="K10" s="710">
        <v>0</v>
      </c>
      <c r="L10" s="510">
        <f t="shared" si="1"/>
        <v>0</v>
      </c>
      <c r="N10" s="1473">
        <f>-ROUND(SUMIF('1.0'!$D:$D,T_IS!D10,'1.0'!$V:$V),0)</f>
        <v>0</v>
      </c>
      <c r="O10" s="509">
        <f>-ROUND(SUMIF('2.0'!$D:$D,T_IS!D10,'2.0'!$V:$V),0)</f>
        <v>0</v>
      </c>
      <c r="P10" s="509">
        <f>-ROUND(SUMIF('3.0'!$D:$D,T_IS!D10,'3.0'!$H:$H),0)</f>
        <v>0</v>
      </c>
      <c r="Q10" s="509">
        <f>-ROUND(SUMIF('4.0'!$D:$D,T_IS!D10,'4.0'!$V:$V),0)</f>
        <v>0</v>
      </c>
      <c r="R10" s="509">
        <f>-ROUND(SUMIF('5.0'!$D:$D,T_IS!D10,'5.0'!$V:$V),0)</f>
        <v>0</v>
      </c>
      <c r="S10" s="509">
        <f>-ROUND(SUMIF('6.0'!$D:$D,T_IS!D10,'6.0'!$V:$V),0)</f>
        <v>0</v>
      </c>
      <c r="T10" s="509">
        <f>-ROUND(SUMIF('7.0'!$D:$D,T_IS!D10,'7.0'!$V:$V),0)</f>
        <v>0</v>
      </c>
      <c r="U10" s="509">
        <f>-ROUND(SUMIF('8.0'!$D:$D,T_IS!F10,'8.0'!$H:$H),0)</f>
        <v>0</v>
      </c>
      <c r="V10" s="1475">
        <f t="shared" si="2"/>
        <v>0</v>
      </c>
      <c r="X10" s="1622">
        <f t="shared" si="3"/>
        <v>0</v>
      </c>
      <c r="Z10" s="1622">
        <f t="shared" si="4"/>
        <v>0</v>
      </c>
      <c r="AA10" s="1622">
        <f t="shared" si="5"/>
        <v>0</v>
      </c>
      <c r="AB10" s="1622">
        <f t="shared" si="6"/>
        <v>0</v>
      </c>
      <c r="AD10" s="550">
        <v>0</v>
      </c>
      <c r="AE10" s="550">
        <v>0</v>
      </c>
      <c r="AF10" s="550">
        <v>0</v>
      </c>
      <c r="AG10" s="550">
        <v>0</v>
      </c>
      <c r="AH10" s="550">
        <v>0</v>
      </c>
      <c r="AI10" s="550">
        <v>0</v>
      </c>
      <c r="AJ10" s="550">
        <v>0</v>
      </c>
      <c r="AK10" s="550">
        <v>0</v>
      </c>
      <c r="AL10" s="550">
        <v>0</v>
      </c>
      <c r="AM10" s="1622">
        <v>0</v>
      </c>
      <c r="AN10" s="509">
        <v>-18771583</v>
      </c>
      <c r="AO10" s="1622">
        <v>-18771583</v>
      </c>
      <c r="AP10" s="1818">
        <v>-18771583</v>
      </c>
      <c r="AQ10" s="1624">
        <v>0</v>
      </c>
    </row>
    <row r="11" spans="1:43" ht="18" customHeight="1">
      <c r="A11" s="509"/>
      <c r="C11" s="1416"/>
      <c r="D11" s="1598">
        <v>410250</v>
      </c>
      <c r="E11" s="1364" t="s">
        <v>228</v>
      </c>
      <c r="F11" s="1366">
        <v>105</v>
      </c>
      <c r="G11" s="1364" t="s">
        <v>1900</v>
      </c>
      <c r="H11" s="498">
        <v>-17491271</v>
      </c>
      <c r="I11" s="498">
        <v>0</v>
      </c>
      <c r="J11" s="710">
        <v>0</v>
      </c>
      <c r="K11" s="710">
        <v>0</v>
      </c>
      <c r="L11" s="510">
        <f t="shared" si="1"/>
        <v>-17491271</v>
      </c>
      <c r="N11" s="1473">
        <f>-ROUND(SUMIF('1.0'!$D:$D,T_IS!D11,'1.0'!$V:$V),0)</f>
        <v>0</v>
      </c>
      <c r="O11" s="509">
        <f>-ROUND(SUMIF('2.0'!$D:$D,T_IS!D11,'2.0'!$V:$V),0)</f>
        <v>0</v>
      </c>
      <c r="P11" s="509">
        <f>-ROUND(SUMIF('3.0'!$D:$D,T_IS!D11,'3.0'!$H:$H),0)</f>
        <v>0</v>
      </c>
      <c r="Q11" s="509">
        <f>-ROUND(SUMIF('4.0'!$D:$D,T_IS!D11,'4.0'!$V:$V),0)</f>
        <v>0</v>
      </c>
      <c r="R11" s="509">
        <f>-ROUND(SUMIF('5.0'!$D:$D,T_IS!D11,'5.0'!$V:$V),0)</f>
        <v>0</v>
      </c>
      <c r="S11" s="509">
        <f>-ROUND(SUMIF('6.0'!$D:$D,T_IS!D11,'6.0'!$V:$V),0)</f>
        <v>0</v>
      </c>
      <c r="T11" s="509">
        <f>-ROUND(SUMIF('7.0'!$D:$D,T_IS!D11,'7.0'!$V:$V),0)</f>
        <v>0</v>
      </c>
      <c r="U11" s="509">
        <f>-ROUND(SUMIF('8.0'!$D:$D,T_IS!F11,'8.0'!$H:$H),0)</f>
        <v>0</v>
      </c>
      <c r="V11" s="1475">
        <f t="shared" si="2"/>
        <v>0</v>
      </c>
      <c r="X11" s="1622">
        <f t="shared" si="3"/>
        <v>-17491271</v>
      </c>
      <c r="Z11" s="1622">
        <f t="shared" si="4"/>
        <v>-6195883</v>
      </c>
      <c r="AA11" s="1622">
        <f t="shared" si="5"/>
        <v>-127665</v>
      </c>
      <c r="AB11" s="1622">
        <f t="shared" si="6"/>
        <v>-6068218</v>
      </c>
      <c r="AD11" s="550">
        <v>-11295388</v>
      </c>
      <c r="AE11" s="550">
        <v>-11167723</v>
      </c>
      <c r="AF11" s="550">
        <v>-10273846</v>
      </c>
      <c r="AG11" s="550">
        <v>-10250382</v>
      </c>
      <c r="AH11" s="550">
        <v>-3419963</v>
      </c>
      <c r="AI11" s="550">
        <v>-1892367</v>
      </c>
      <c r="AJ11" s="550">
        <v>-1856758</v>
      </c>
      <c r="AK11" s="550">
        <v>-1856758</v>
      </c>
      <c r="AL11" s="550">
        <v>-1472626</v>
      </c>
      <c r="AM11" s="1622">
        <v>-537489</v>
      </c>
      <c r="AN11" s="509">
        <v>-5636045</v>
      </c>
      <c r="AO11" s="1622">
        <v>-4076194</v>
      </c>
      <c r="AP11" s="1818">
        <v>-1392647</v>
      </c>
      <c r="AQ11" s="1624">
        <v>0</v>
      </c>
    </row>
    <row r="12" spans="1:43" ht="18" customHeight="1">
      <c r="A12" s="509"/>
      <c r="D12" s="1598" t="s">
        <v>1763</v>
      </c>
      <c r="E12" s="1364" t="s">
        <v>228</v>
      </c>
      <c r="F12" s="1366">
        <v>105</v>
      </c>
      <c r="G12" s="1364" t="s">
        <v>1764</v>
      </c>
      <c r="H12" s="498">
        <v>0</v>
      </c>
      <c r="I12" s="498">
        <v>0</v>
      </c>
      <c r="J12" s="710">
        <v>0</v>
      </c>
      <c r="K12" s="710">
        <v>0</v>
      </c>
      <c r="L12" s="510">
        <f t="shared" si="1"/>
        <v>0</v>
      </c>
      <c r="N12" s="1473">
        <f>-ROUND(SUMIF('1.0'!$D:$D,T_IS!D12,'1.0'!$V:$V),0)</f>
        <v>0</v>
      </c>
      <c r="O12" s="509">
        <f>-ROUND(SUMIF('2.0'!$D:$D,T_IS!D12,'2.0'!$V:$V),0)</f>
        <v>0</v>
      </c>
      <c r="P12" s="509">
        <f>-ROUND(SUMIF('3.0'!$D:$D,T_IS!D12,'3.0'!$H:$H),0)</f>
        <v>0</v>
      </c>
      <c r="Q12" s="509">
        <f>-ROUND(SUMIF('4.0'!$D:$D,T_IS!D12,'4.0'!$V:$V),0)</f>
        <v>0</v>
      </c>
      <c r="R12" s="509">
        <f>-ROUND(SUMIF('5.0'!$D:$D,T_IS!D12,'5.0'!$V:$V),0)</f>
        <v>0</v>
      </c>
      <c r="S12" s="509">
        <f>-ROUND(SUMIF('6.0'!$D:$D,T_IS!D12,'6.0'!$V:$V),0)</f>
        <v>0</v>
      </c>
      <c r="T12" s="509">
        <f>-ROUND(SUMIF('7.0'!$D:$D,T_IS!D12,'7.0'!$V:$V),0)</f>
        <v>0</v>
      </c>
      <c r="U12" s="509">
        <f>-ROUND(SUMIF('8.0'!$D:$D,T_IS!F12,'8.0'!$H:$H),0)</f>
        <v>0</v>
      </c>
      <c r="V12" s="1475">
        <f t="shared" si="2"/>
        <v>0</v>
      </c>
      <c r="X12" s="1622">
        <f t="shared" si="3"/>
        <v>0</v>
      </c>
      <c r="Z12" s="1622">
        <f t="shared" si="4"/>
        <v>0</v>
      </c>
      <c r="AA12" s="1622">
        <f t="shared" si="5"/>
        <v>0</v>
      </c>
      <c r="AB12" s="1622">
        <f t="shared" si="6"/>
        <v>0</v>
      </c>
      <c r="AD12" s="550">
        <v>0</v>
      </c>
      <c r="AE12" s="550">
        <v>0</v>
      </c>
      <c r="AF12" s="550">
        <v>0</v>
      </c>
      <c r="AG12" s="550">
        <v>0</v>
      </c>
      <c r="AH12" s="550">
        <v>0</v>
      </c>
      <c r="AI12" s="550">
        <v>0</v>
      </c>
      <c r="AJ12" s="550">
        <v>0</v>
      </c>
      <c r="AK12" s="550">
        <v>0</v>
      </c>
      <c r="AL12" s="550">
        <v>0</v>
      </c>
      <c r="AM12" s="1622">
        <v>0</v>
      </c>
      <c r="AN12" s="509">
        <v>0</v>
      </c>
      <c r="AO12" s="1622">
        <v>0</v>
      </c>
      <c r="AP12" s="1623">
        <v>0</v>
      </c>
      <c r="AQ12" s="1624">
        <v>0</v>
      </c>
    </row>
    <row r="13" spans="1:43" ht="18" customHeight="1">
      <c r="A13" s="509"/>
      <c r="D13" s="1598">
        <v>410200</v>
      </c>
      <c r="E13" s="1364" t="s">
        <v>228</v>
      </c>
      <c r="F13" s="1366">
        <v>102</v>
      </c>
      <c r="G13" s="1364" t="s">
        <v>616</v>
      </c>
      <c r="H13" s="498">
        <v>1125711598</v>
      </c>
      <c r="I13" s="498">
        <v>0</v>
      </c>
      <c r="J13" s="710">
        <v>0</v>
      </c>
      <c r="K13" s="710">
        <v>0</v>
      </c>
      <c r="L13" s="510">
        <f t="shared" si="1"/>
        <v>1125711598</v>
      </c>
      <c r="N13" s="1473">
        <f>-ROUND(SUMIF('1.0'!$D:$D,T_IS!D13,'1.0'!$V:$V),0)</f>
        <v>0</v>
      </c>
      <c r="O13" s="509">
        <f>-ROUND(SUMIF('2.0'!$D:$D,T_IS!D13,'2.0'!$V:$V),0)</f>
        <v>0</v>
      </c>
      <c r="P13" s="509">
        <f>-ROUND(SUMIF('3.0'!$D:$D,T_IS!D13,'3.0'!$H:$H),0)</f>
        <v>0</v>
      </c>
      <c r="Q13" s="509">
        <f>-ROUND(SUMIF('4.0'!$D:$D,T_IS!D13,'4.0'!$V:$V),0)</f>
        <v>0</v>
      </c>
      <c r="R13" s="509">
        <f>-ROUND(SUMIF('5.0'!$D:$D,T_IS!D13,'5.0'!$V:$V),0)</f>
        <v>0</v>
      </c>
      <c r="S13" s="509">
        <f>-ROUND(SUMIF('6.0'!$D:$D,T_IS!D13,'6.0'!$V:$V),0)</f>
        <v>3487498</v>
      </c>
      <c r="T13" s="509">
        <f>-ROUND(SUMIF('7.0'!$D:$D,T_IS!D13,'7.0'!$V:$V),0)</f>
        <v>0</v>
      </c>
      <c r="U13" s="509">
        <f>-ROUND(SUMIF('8.0'!$D:$D,T_IS!F13,'8.0'!$H:$H),0)</f>
        <v>0</v>
      </c>
      <c r="V13" s="1475">
        <f t="shared" si="2"/>
        <v>3487498</v>
      </c>
      <c r="X13" s="1622">
        <f t="shared" si="3"/>
        <v>1129199096</v>
      </c>
      <c r="Z13" s="1622">
        <f t="shared" si="4"/>
        <v>212967816</v>
      </c>
      <c r="AA13" s="1622">
        <f t="shared" si="5"/>
        <v>85412189</v>
      </c>
      <c r="AB13" s="1622">
        <f t="shared" si="6"/>
        <v>127555627</v>
      </c>
      <c r="AD13" s="550">
        <v>916231280</v>
      </c>
      <c r="AE13" s="550">
        <v>830819091</v>
      </c>
      <c r="AF13" s="550">
        <v>813097126</v>
      </c>
      <c r="AG13" s="550">
        <v>776106822</v>
      </c>
      <c r="AH13" s="550">
        <v>227104873</v>
      </c>
      <c r="AI13" s="550">
        <v>2022047250</v>
      </c>
      <c r="AJ13" s="550">
        <v>1827068140</v>
      </c>
      <c r="AK13" s="550">
        <v>1414497910</v>
      </c>
      <c r="AL13" s="550">
        <v>720337769</v>
      </c>
      <c r="AM13" s="1622">
        <v>298817967</v>
      </c>
      <c r="AN13" s="509">
        <v>5300479614</v>
      </c>
      <c r="AO13" s="1622">
        <v>4912041742</v>
      </c>
      <c r="AP13" s="1623">
        <v>3683010180</v>
      </c>
      <c r="AQ13" s="1624">
        <v>2375227116</v>
      </c>
    </row>
    <row r="14" spans="1:43" ht="18" customHeight="1">
      <c r="A14" s="509"/>
      <c r="D14" s="1598">
        <v>410220</v>
      </c>
      <c r="E14" s="1364" t="s">
        <v>228</v>
      </c>
      <c r="F14" s="1366">
        <v>102</v>
      </c>
      <c r="G14" s="1364" t="s">
        <v>617</v>
      </c>
      <c r="H14" s="498">
        <v>-1928000</v>
      </c>
      <c r="I14" s="498">
        <v>0</v>
      </c>
      <c r="J14" s="710">
        <v>0</v>
      </c>
      <c r="K14" s="710">
        <v>0</v>
      </c>
      <c r="L14" s="510">
        <f t="shared" si="1"/>
        <v>-1928000</v>
      </c>
      <c r="N14" s="1473">
        <f>-ROUND(SUMIF('1.0'!$D:$D,T_IS!D14,'1.0'!$V:$V),0)</f>
        <v>0</v>
      </c>
      <c r="O14" s="509">
        <f>-ROUND(SUMIF('2.0'!$D:$D,T_IS!D14,'2.0'!$V:$V),0)</f>
        <v>0</v>
      </c>
      <c r="P14" s="509">
        <f>-ROUND(SUMIF('3.0'!$D:$D,T_IS!D14,'3.0'!$H:$H),0)</f>
        <v>0</v>
      </c>
      <c r="Q14" s="509">
        <f>-ROUND(SUMIF('4.0'!$D:$D,T_IS!D14,'4.0'!$V:$V),0)</f>
        <v>0</v>
      </c>
      <c r="R14" s="509">
        <f>-ROUND(SUMIF('5.0'!$D:$D,T_IS!D14,'5.0'!$V:$V),0)</f>
        <v>0</v>
      </c>
      <c r="S14" s="509">
        <f>-ROUND(SUMIF('6.0'!$D:$D,T_IS!D14,'6.0'!$V:$V),0)</f>
        <v>0</v>
      </c>
      <c r="T14" s="509">
        <f>-ROUND(SUMIF('7.0'!$D:$D,T_IS!D14,'7.0'!$V:$V),0)</f>
        <v>0</v>
      </c>
      <c r="U14" s="509">
        <f>-ROUND(SUMIF('8.0'!$D:$D,T_IS!F14,'8.0'!$H:$H),0)</f>
        <v>0</v>
      </c>
      <c r="V14" s="1475">
        <f t="shared" si="2"/>
        <v>0</v>
      </c>
      <c r="X14" s="1622">
        <f t="shared" si="3"/>
        <v>-1928000</v>
      </c>
      <c r="Z14" s="1622">
        <f t="shared" si="4"/>
        <v>-1539000</v>
      </c>
      <c r="AA14" s="1622">
        <f t="shared" si="5"/>
        <v>0</v>
      </c>
      <c r="AB14" s="1622">
        <f t="shared" si="6"/>
        <v>-1539000</v>
      </c>
      <c r="AD14" s="550">
        <v>-389000</v>
      </c>
      <c r="AE14" s="550">
        <v>-389000</v>
      </c>
      <c r="AF14" s="550">
        <v>0</v>
      </c>
      <c r="AG14" s="550">
        <v>0</v>
      </c>
      <c r="AH14" s="550">
        <v>0</v>
      </c>
      <c r="AI14" s="550">
        <v>-635000</v>
      </c>
      <c r="AJ14" s="550">
        <v>-635000</v>
      </c>
      <c r="AK14" s="550">
        <v>-635000</v>
      </c>
      <c r="AL14" s="550">
        <v>0</v>
      </c>
      <c r="AM14" s="1622">
        <v>0</v>
      </c>
      <c r="AN14" s="509">
        <v>-2402000</v>
      </c>
      <c r="AO14" s="1622">
        <v>-2402000</v>
      </c>
      <c r="AP14" s="1818">
        <v>-2402000</v>
      </c>
      <c r="AQ14" s="1819">
        <v>-2402000</v>
      </c>
    </row>
    <row r="15" spans="1:43" ht="18" customHeight="1">
      <c r="A15" s="509"/>
      <c r="D15" s="1598" t="s">
        <v>1542</v>
      </c>
      <c r="E15" s="1364" t="s">
        <v>228</v>
      </c>
      <c r="F15" s="1366">
        <v>102</v>
      </c>
      <c r="G15" s="1364" t="s">
        <v>1543</v>
      </c>
      <c r="H15" s="498">
        <v>-19882908</v>
      </c>
      <c r="I15" s="498">
        <v>0</v>
      </c>
      <c r="J15" s="710">
        <v>0</v>
      </c>
      <c r="K15" s="710">
        <v>0</v>
      </c>
      <c r="L15" s="510">
        <f t="shared" si="1"/>
        <v>-19882908</v>
      </c>
      <c r="N15" s="1473">
        <f>-ROUND(SUMIF('1.0'!$D:$D,T_IS!D15,'1.0'!$V:$V),0)</f>
        <v>0</v>
      </c>
      <c r="O15" s="509">
        <f>-ROUND(SUMIF('2.0'!$D:$D,T_IS!D15,'2.0'!$V:$V),0)</f>
        <v>0</v>
      </c>
      <c r="P15" s="509">
        <f>-ROUND(SUMIF('3.0'!$D:$D,T_IS!D15,'3.0'!$H:$H),0)</f>
        <v>0</v>
      </c>
      <c r="Q15" s="509"/>
      <c r="R15" s="509">
        <f>-ROUND(SUMIF('5.0'!$D:$D,T_IS!D15,'5.0'!$V:$V),0)</f>
        <v>0</v>
      </c>
      <c r="S15" s="509"/>
      <c r="T15" s="509">
        <f>-ROUND(SUMIF('7.0'!$D:$D,T_IS!D15,'7.0'!$V:$V),0)</f>
        <v>0</v>
      </c>
      <c r="U15" s="509"/>
      <c r="V15" s="1475">
        <f t="shared" si="2"/>
        <v>0</v>
      </c>
      <c r="X15" s="1622">
        <f t="shared" si="3"/>
        <v>-19882908</v>
      </c>
      <c r="Z15" s="1622">
        <f t="shared" si="4"/>
        <v>0</v>
      </c>
      <c r="AA15" s="1622">
        <f t="shared" si="5"/>
        <v>0</v>
      </c>
      <c r="AB15" s="1622">
        <f t="shared" si="6"/>
        <v>0</v>
      </c>
      <c r="AD15" s="550">
        <v>-19882908</v>
      </c>
      <c r="AE15" s="550">
        <v>-19882908</v>
      </c>
      <c r="AF15" s="550">
        <v>-19882908</v>
      </c>
      <c r="AG15" s="550">
        <v>-19882908</v>
      </c>
      <c r="AH15" s="550">
        <v>0</v>
      </c>
      <c r="AI15" s="550">
        <v>-7087617</v>
      </c>
      <c r="AJ15" s="550">
        <v>37035055</v>
      </c>
      <c r="AK15" s="550">
        <v>37035055</v>
      </c>
      <c r="AL15" s="550">
        <v>37035055</v>
      </c>
      <c r="AM15" s="1622">
        <v>0</v>
      </c>
      <c r="AN15" s="509">
        <v>-119669243</v>
      </c>
      <c r="AO15" s="1622">
        <v>-154254245</v>
      </c>
      <c r="AP15" s="1818">
        <v>-154254245</v>
      </c>
      <c r="AQ15" s="1624">
        <v>0</v>
      </c>
    </row>
    <row r="16" spans="1:43" ht="18" customHeight="1">
      <c r="A16" s="509"/>
      <c r="D16" s="1598">
        <v>410230</v>
      </c>
      <c r="E16" s="1364" t="s">
        <v>228</v>
      </c>
      <c r="F16" s="1366">
        <v>106</v>
      </c>
      <c r="G16" s="1364" t="s">
        <v>618</v>
      </c>
      <c r="H16" s="498">
        <v>0</v>
      </c>
      <c r="I16" s="498">
        <v>0</v>
      </c>
      <c r="J16" s="710">
        <v>0</v>
      </c>
      <c r="K16" s="710">
        <v>0</v>
      </c>
      <c r="L16" s="510">
        <f t="shared" si="1"/>
        <v>0</v>
      </c>
      <c r="N16" s="1473">
        <f>-ROUND(SUMIF('1.0'!$D:$D,T_IS!D16,'1.0'!$V:$V),0)</f>
        <v>0</v>
      </c>
      <c r="O16" s="509">
        <f>-ROUND(SUMIF('2.0'!$D:$D,T_IS!D16,'2.0'!$V:$V),0)</f>
        <v>0</v>
      </c>
      <c r="P16" s="509">
        <f>-ROUND(SUMIF('3.0'!$D:$D,T_IS!D16,'3.0'!$H:$H),0)</f>
        <v>0</v>
      </c>
      <c r="Q16" s="509">
        <f>-ROUND(SUMIF('4.0'!$D:$D,T_IS!D16,'4.0'!$V:$V),0)</f>
        <v>0</v>
      </c>
      <c r="R16" s="509">
        <f>-ROUND(SUMIF('5.0'!$D:$D,T_IS!D16,'5.0'!$V:$V),0)</f>
        <v>0</v>
      </c>
      <c r="S16" s="509">
        <f>-ROUND(SUMIF('6.0'!$D:$D,T_IS!D16,'6.0'!$V:$V),0)</f>
        <v>0</v>
      </c>
      <c r="T16" s="509">
        <f>-ROUND(SUMIF('7.0'!$D:$D,T_IS!D16,'7.0'!$V:$V),0)</f>
        <v>0</v>
      </c>
      <c r="U16" s="509">
        <f>-ROUND(SUMIF('8.0'!$D:$D,T_IS!F16,'8.0'!$H:$H),0)</f>
        <v>0</v>
      </c>
      <c r="V16" s="1475">
        <f t="shared" si="2"/>
        <v>0</v>
      </c>
      <c r="X16" s="1622">
        <f t="shared" si="3"/>
        <v>0</v>
      </c>
      <c r="Z16" s="1622">
        <f t="shared" si="4"/>
        <v>0</v>
      </c>
      <c r="AA16" s="1622">
        <f t="shared" si="5"/>
        <v>0</v>
      </c>
      <c r="AB16" s="1622">
        <f t="shared" si="6"/>
        <v>0</v>
      </c>
      <c r="AD16" s="550">
        <v>0</v>
      </c>
      <c r="AE16" s="550">
        <v>0</v>
      </c>
      <c r="AF16" s="550">
        <v>0</v>
      </c>
      <c r="AG16" s="550">
        <v>0</v>
      </c>
      <c r="AH16" s="550">
        <v>0</v>
      </c>
      <c r="AI16" s="550">
        <v>-243176228</v>
      </c>
      <c r="AJ16" s="550">
        <v>-243176228</v>
      </c>
      <c r="AK16" s="550">
        <v>-176501105</v>
      </c>
      <c r="AL16" s="550">
        <v>-108547669</v>
      </c>
      <c r="AM16" s="1622">
        <v>-64980052</v>
      </c>
      <c r="AN16" s="509">
        <v>-252852656</v>
      </c>
      <c r="AO16" s="1622">
        <v>-209274128</v>
      </c>
      <c r="AP16" s="1818">
        <v>-137813060</v>
      </c>
      <c r="AQ16" s="1819">
        <v>-81191072</v>
      </c>
    </row>
    <row r="17" spans="1:43" ht="18" customHeight="1">
      <c r="A17" s="509"/>
      <c r="D17" s="1598">
        <v>410240</v>
      </c>
      <c r="E17" s="1364" t="s">
        <v>228</v>
      </c>
      <c r="F17" s="1366">
        <v>106</v>
      </c>
      <c r="G17" s="1364" t="s">
        <v>619</v>
      </c>
      <c r="H17" s="498">
        <v>16022130417</v>
      </c>
      <c r="I17" s="498">
        <v>0</v>
      </c>
      <c r="J17" s="710">
        <v>0</v>
      </c>
      <c r="K17" s="710">
        <v>0</v>
      </c>
      <c r="L17" s="510">
        <f t="shared" si="1"/>
        <v>16022130417</v>
      </c>
      <c r="N17" s="1473">
        <f>-ROUND(SUMIF('1.0'!$D:$D,T_IS!D17,'1.0'!$V:$V),0)</f>
        <v>0</v>
      </c>
      <c r="O17" s="509">
        <f>-ROUND(SUMIF('2.0'!$D:$D,T_IS!D17,'2.0'!$V:$V),0)</f>
        <v>0</v>
      </c>
      <c r="P17" s="509">
        <f>-ROUND(SUMIF('3.0'!$D:$D,T_IS!D17,'3.0'!$H:$H),0)</f>
        <v>-2628025</v>
      </c>
      <c r="Q17" s="509">
        <f>-ROUND(SUMIF('4.0'!$D:$D,T_IS!D17,'4.0'!$V:$V),0)</f>
        <v>0</v>
      </c>
      <c r="R17" s="509">
        <f>-ROUND(SUMIF('5.0'!$D:$D,T_IS!D17,'5.0'!$V:$V),0)</f>
        <v>0</v>
      </c>
      <c r="S17" s="509">
        <f>-ROUND(SUMIF('6.0'!$D:$D,T_IS!D17,'6.0'!$V:$V),0)</f>
        <v>0</v>
      </c>
      <c r="T17" s="509">
        <f>-ROUND(SUMIF('7.0'!$D:$D,T_IS!D17,'7.0'!$V:$V),0)</f>
        <v>0</v>
      </c>
      <c r="U17" s="509">
        <f>-ROUND(SUMIF('8.0'!$D:$D,T_IS!F17,'8.0'!$H:$H),0)</f>
        <v>0</v>
      </c>
      <c r="V17" s="1475">
        <f t="shared" si="2"/>
        <v>-2628025</v>
      </c>
      <c r="X17" s="1622">
        <f t="shared" si="3"/>
        <v>16019502392</v>
      </c>
      <c r="Z17" s="1622">
        <f t="shared" si="4"/>
        <v>2580408524</v>
      </c>
      <c r="AA17" s="1622">
        <f t="shared" si="5"/>
        <v>3166719401</v>
      </c>
      <c r="AB17" s="1622">
        <f t="shared" si="6"/>
        <v>-586310877</v>
      </c>
      <c r="AD17" s="550">
        <v>13439093868</v>
      </c>
      <c r="AE17" s="550">
        <v>10272374467</v>
      </c>
      <c r="AF17" s="550">
        <v>9665240237</v>
      </c>
      <c r="AG17" s="550">
        <v>8730968386</v>
      </c>
      <c r="AH17" s="550">
        <v>3325175111</v>
      </c>
      <c r="AI17" s="550">
        <v>15848454078</v>
      </c>
      <c r="AJ17" s="550">
        <v>13014992387</v>
      </c>
      <c r="AK17" s="550">
        <v>10970627237</v>
      </c>
      <c r="AL17" s="550">
        <v>7333980545</v>
      </c>
      <c r="AM17" s="1622">
        <v>3586452331</v>
      </c>
      <c r="AN17" s="509">
        <v>15953956142</v>
      </c>
      <c r="AO17" s="1622">
        <v>12131447985</v>
      </c>
      <c r="AP17" s="1623">
        <v>8643354358</v>
      </c>
      <c r="AQ17" s="1624">
        <v>3928003417</v>
      </c>
    </row>
    <row r="18" spans="1:43" ht="18" customHeight="1">
      <c r="A18" s="509"/>
      <c r="D18" s="1598">
        <v>410241</v>
      </c>
      <c r="E18" s="1364" t="s">
        <v>228</v>
      </c>
      <c r="F18" s="1366">
        <v>106</v>
      </c>
      <c r="G18" s="1364" t="s">
        <v>620</v>
      </c>
      <c r="H18" s="498">
        <v>-4527837</v>
      </c>
      <c r="I18" s="498">
        <v>0</v>
      </c>
      <c r="J18" s="710">
        <v>0</v>
      </c>
      <c r="K18" s="710">
        <v>0</v>
      </c>
      <c r="L18" s="510">
        <f t="shared" si="1"/>
        <v>-4527837</v>
      </c>
      <c r="N18" s="1473">
        <f>-ROUND(SUMIF('1.0'!$D:$D,T_IS!D18,'1.0'!$V:$V),0)</f>
        <v>0</v>
      </c>
      <c r="O18" s="509">
        <f>-ROUND(SUMIF('2.0'!$D:$D,T_IS!D18,'2.0'!$V:$V),0)</f>
        <v>0</v>
      </c>
      <c r="P18" s="509">
        <f>-ROUND(SUMIF('3.0'!$D:$D,T_IS!D18,'3.0'!$H:$H),0)</f>
        <v>0</v>
      </c>
      <c r="Q18" s="509">
        <f>-ROUND(SUMIF('4.0'!$D:$D,T_IS!D18,'4.0'!$V:$V),0)</f>
        <v>0</v>
      </c>
      <c r="R18" s="509">
        <f>-ROUND(SUMIF('5.0'!$D:$D,T_IS!D18,'5.0'!$V:$V),0)</f>
        <v>0</v>
      </c>
      <c r="S18" s="509">
        <f>-ROUND(SUMIF('6.0'!$D:$D,T_IS!D18,'6.0'!$V:$V),0)</f>
        <v>0</v>
      </c>
      <c r="T18" s="509">
        <f>-ROUND(SUMIF('7.0'!$D:$D,T_IS!D18,'7.0'!$V:$V),0)</f>
        <v>0</v>
      </c>
      <c r="U18" s="509">
        <f>-ROUND(SUMIF('8.0'!$D:$D,T_IS!F18,'8.0'!$H:$H),0)</f>
        <v>0</v>
      </c>
      <c r="V18" s="1475">
        <f t="shared" si="2"/>
        <v>0</v>
      </c>
      <c r="X18" s="1622">
        <f t="shared" si="3"/>
        <v>-4527837</v>
      </c>
      <c r="Z18" s="1622">
        <f t="shared" si="4"/>
        <v>0</v>
      </c>
      <c r="AA18" s="1622">
        <f t="shared" si="5"/>
        <v>0</v>
      </c>
      <c r="AB18" s="1622">
        <f t="shared" si="6"/>
        <v>0</v>
      </c>
      <c r="AD18" s="550">
        <v>-4527837</v>
      </c>
      <c r="AE18" s="550">
        <v>-4527837</v>
      </c>
      <c r="AF18" s="550">
        <v>-232722</v>
      </c>
      <c r="AG18" s="550">
        <v>-232722</v>
      </c>
      <c r="AH18" s="550">
        <v>0</v>
      </c>
      <c r="AI18" s="550">
        <v>-2038700</v>
      </c>
      <c r="AJ18" s="550">
        <v>-2038700</v>
      </c>
      <c r="AK18" s="550">
        <v>-2038700</v>
      </c>
      <c r="AL18" s="550">
        <v>-2038700</v>
      </c>
      <c r="AM18" s="1622">
        <v>-1620600</v>
      </c>
      <c r="AN18" s="509">
        <v>-418907882</v>
      </c>
      <c r="AO18" s="1622">
        <v>-245082967</v>
      </c>
      <c r="AP18" s="1818">
        <v>-244543642</v>
      </c>
      <c r="AQ18" s="1819">
        <v>-177438173</v>
      </c>
    </row>
    <row r="19" spans="1:43" ht="18" customHeight="1">
      <c r="A19" s="509"/>
      <c r="D19" s="1598">
        <v>410610</v>
      </c>
      <c r="E19" s="1364" t="s">
        <v>228</v>
      </c>
      <c r="F19" s="1366">
        <v>103</v>
      </c>
      <c r="G19" s="1364" t="s">
        <v>231</v>
      </c>
      <c r="H19" s="498">
        <v>42124432907</v>
      </c>
      <c r="I19" s="498">
        <v>0</v>
      </c>
      <c r="J19" s="710">
        <v>0</v>
      </c>
      <c r="K19" s="710">
        <v>0</v>
      </c>
      <c r="L19" s="510">
        <f t="shared" si="1"/>
        <v>42124432907</v>
      </c>
      <c r="N19" s="1473">
        <f>-ROUND(SUMIF('1.0'!$D:$D,T_IS!D19,'1.0'!$V:$V),0)</f>
        <v>0</v>
      </c>
      <c r="O19" s="509">
        <f>-ROUND(SUMIF('2.0'!$D:$D,T_IS!D19,'2.0'!$V:$V),0)</f>
        <v>0</v>
      </c>
      <c r="P19" s="509">
        <f>-ROUND(SUMIF('3.0'!$D:$D,T_IS!D19,'3.0'!$H:$H),0)</f>
        <v>0</v>
      </c>
      <c r="Q19" s="509">
        <f>-ROUND(SUMIF('4.0'!$D:$D,T_IS!D19,'4.0'!$V:$V),0)</f>
        <v>0</v>
      </c>
      <c r="R19" s="509">
        <f>-ROUND(SUMIF('5.0'!$D:$D,T_IS!D19,'5.0'!$V:$V),0)</f>
        <v>0</v>
      </c>
      <c r="S19" s="509">
        <f>-ROUND(SUMIF('6.0'!$D:$D,T_IS!D19,'6.0'!$V:$V),0)</f>
        <v>0</v>
      </c>
      <c r="T19" s="509">
        <f>-ROUND(SUMIF('7.0'!$D:$D,T_IS!D19,'7.0'!$V:$V),0)</f>
        <v>0</v>
      </c>
      <c r="U19" s="509">
        <f>-ROUND(SUMIF('8.0'!$D:$D,T_IS!F19,'8.0'!$H:$H),0)</f>
        <v>0</v>
      </c>
      <c r="V19" s="1475">
        <f t="shared" si="2"/>
        <v>0</v>
      </c>
      <c r="X19" s="1622">
        <f t="shared" si="3"/>
        <v>42124432907</v>
      </c>
      <c r="Z19" s="1622">
        <f t="shared" si="4"/>
        <v>5316548303</v>
      </c>
      <c r="AA19" s="1622">
        <f t="shared" si="5"/>
        <v>4507341080</v>
      </c>
      <c r="AB19" s="1622">
        <f t="shared" si="6"/>
        <v>809207223</v>
      </c>
      <c r="AD19" s="550">
        <v>36807884604</v>
      </c>
      <c r="AE19" s="550">
        <v>32300543524</v>
      </c>
      <c r="AF19" s="550">
        <v>27408402743</v>
      </c>
      <c r="AG19" s="550">
        <v>21601129978</v>
      </c>
      <c r="AH19" s="550">
        <v>8571976077</v>
      </c>
      <c r="AI19" s="550">
        <v>40213000086</v>
      </c>
      <c r="AJ19" s="550">
        <v>34352180107</v>
      </c>
      <c r="AK19" s="550">
        <v>31225713686</v>
      </c>
      <c r="AL19" s="550">
        <v>20634981857</v>
      </c>
      <c r="AM19" s="1622">
        <v>11594263363</v>
      </c>
      <c r="AN19" s="509">
        <v>55164035937</v>
      </c>
      <c r="AO19" s="1622">
        <v>41328985405</v>
      </c>
      <c r="AP19" s="1623">
        <v>28605751325</v>
      </c>
      <c r="AQ19" s="1624">
        <v>13482951360</v>
      </c>
    </row>
    <row r="20" spans="1:43" ht="18" customHeight="1">
      <c r="A20" s="509"/>
      <c r="D20" s="1598">
        <v>410620</v>
      </c>
      <c r="E20" s="1364" t="s">
        <v>228</v>
      </c>
      <c r="F20" s="1366">
        <v>103</v>
      </c>
      <c r="G20" s="1364" t="s">
        <v>232</v>
      </c>
      <c r="H20" s="498">
        <v>10945633143</v>
      </c>
      <c r="I20" s="498">
        <v>0</v>
      </c>
      <c r="J20" s="710">
        <v>0</v>
      </c>
      <c r="K20" s="710">
        <v>0</v>
      </c>
      <c r="L20" s="510">
        <f t="shared" si="1"/>
        <v>10945633143</v>
      </c>
      <c r="N20" s="1473">
        <f>-ROUND(SUMIF('1.0'!$D:$D,T_IS!D20,'1.0'!$V:$V),0)</f>
        <v>0</v>
      </c>
      <c r="O20" s="509">
        <f>-ROUND(SUMIF('2.0'!$D:$D,T_IS!D20,'2.0'!$V:$V),0)</f>
        <v>0</v>
      </c>
      <c r="P20" s="509">
        <f>-ROUND(SUMIF('3.0'!$D:$D,T_IS!D20,'3.0'!$H:$H),0)</f>
        <v>0</v>
      </c>
      <c r="Q20" s="509">
        <f>-ROUND(SUMIF('4.0'!$D:$D,T_IS!D20,'4.0'!$V:$V),0)</f>
        <v>0</v>
      </c>
      <c r="R20" s="509">
        <f>-ROUND(SUMIF('5.0'!$D:$D,T_IS!D20,'5.0'!$V:$V),0)</f>
        <v>0</v>
      </c>
      <c r="S20" s="509">
        <f>-ROUND(SUMIF('6.0'!$D:$D,T_IS!D20,'6.0'!$V:$V),0)</f>
        <v>0</v>
      </c>
      <c r="T20" s="509">
        <f>-ROUND(SUMIF('7.0'!$D:$D,T_IS!D20,'7.0'!$V:$V),0)</f>
        <v>0</v>
      </c>
      <c r="U20" s="509">
        <f>-ROUND(SUMIF('8.0'!$D:$D,T_IS!F20,'8.0'!$H:$H),0)</f>
        <v>0</v>
      </c>
      <c r="V20" s="1475">
        <f t="shared" si="2"/>
        <v>0</v>
      </c>
      <c r="X20" s="1622">
        <f t="shared" si="3"/>
        <v>10945633143</v>
      </c>
      <c r="Z20" s="1622">
        <f t="shared" si="4"/>
        <v>1274162426</v>
      </c>
      <c r="AA20" s="1622">
        <f t="shared" si="5"/>
        <v>1263029075</v>
      </c>
      <c r="AB20" s="1622">
        <f t="shared" si="6"/>
        <v>11133351</v>
      </c>
      <c r="AD20" s="550">
        <v>9671470717</v>
      </c>
      <c r="AE20" s="550">
        <v>8408441642</v>
      </c>
      <c r="AF20" s="550">
        <v>7628555937</v>
      </c>
      <c r="AG20" s="550">
        <v>6405088431</v>
      </c>
      <c r="AH20" s="550">
        <v>2644209346</v>
      </c>
      <c r="AI20" s="550">
        <v>12629981629</v>
      </c>
      <c r="AJ20" s="550">
        <v>10768569690</v>
      </c>
      <c r="AK20" s="550">
        <v>9901822787</v>
      </c>
      <c r="AL20" s="550">
        <v>7071351089</v>
      </c>
      <c r="AM20" s="1622">
        <v>2588755754</v>
      </c>
      <c r="AN20" s="509">
        <v>10567744810</v>
      </c>
      <c r="AO20" s="1622">
        <v>6647132786</v>
      </c>
      <c r="AP20" s="1623">
        <v>5025935915</v>
      </c>
      <c r="AQ20" s="1624">
        <v>2234898577</v>
      </c>
    </row>
    <row r="21" spans="1:43" ht="18" customHeight="1">
      <c r="A21" s="509"/>
      <c r="D21" s="1598">
        <v>410630</v>
      </c>
      <c r="E21" s="1364" t="s">
        <v>228</v>
      </c>
      <c r="F21" s="1366">
        <v>103</v>
      </c>
      <c r="G21" s="1364" t="s">
        <v>233</v>
      </c>
      <c r="H21" s="498">
        <v>97088705053</v>
      </c>
      <c r="I21" s="498">
        <v>0</v>
      </c>
      <c r="J21" s="710">
        <v>0</v>
      </c>
      <c r="K21" s="710">
        <v>0</v>
      </c>
      <c r="L21" s="510">
        <f t="shared" si="1"/>
        <v>97088705053</v>
      </c>
      <c r="N21" s="1473">
        <f>-ROUND(SUMIF('1.0'!$D:$D,T_IS!D21,'1.0'!$V:$V),0)</f>
        <v>0</v>
      </c>
      <c r="O21" s="509">
        <f>-ROUND(SUMIF('2.0'!$D:$D,T_IS!D21,'2.0'!$V:$V),0)</f>
        <v>0</v>
      </c>
      <c r="P21" s="509">
        <f>-ROUND(SUMIF('3.0'!$D:$D,T_IS!D21,'3.0'!$H:$H),0)</f>
        <v>0</v>
      </c>
      <c r="Q21" s="509">
        <f>-ROUND(SUMIF('4.0'!$D:$D,T_IS!D21,'4.0'!$V:$V),0)</f>
        <v>0</v>
      </c>
      <c r="R21" s="509">
        <f>-ROUND(SUMIF('5.0'!$D:$D,T_IS!D21,'5.0'!$V:$V),0)</f>
        <v>0</v>
      </c>
      <c r="S21" s="509">
        <f>-ROUND(SUMIF('6.0'!$D:$D,T_IS!D21,'6.0'!$V:$V),0)</f>
        <v>0</v>
      </c>
      <c r="T21" s="509">
        <f>-ROUND(SUMIF('7.0'!$D:$D,T_IS!D21,'7.0'!$V:$V),0)</f>
        <v>0</v>
      </c>
      <c r="U21" s="509">
        <f>-ROUND(SUMIF('8.0'!$D:$D,T_IS!F21,'8.0'!$H:$H),0)</f>
        <v>0</v>
      </c>
      <c r="V21" s="1475">
        <f t="shared" si="2"/>
        <v>0</v>
      </c>
      <c r="X21" s="1622">
        <f t="shared" si="3"/>
        <v>97088705053</v>
      </c>
      <c r="Z21" s="1622">
        <f t="shared" si="4"/>
        <v>9600972011</v>
      </c>
      <c r="AA21" s="1622">
        <f t="shared" si="5"/>
        <v>9426893456</v>
      </c>
      <c r="AB21" s="1622">
        <f t="shared" si="6"/>
        <v>174078555</v>
      </c>
      <c r="AD21" s="550">
        <v>87487733042</v>
      </c>
      <c r="AE21" s="550">
        <v>78060839586</v>
      </c>
      <c r="AF21" s="550">
        <v>68661363594</v>
      </c>
      <c r="AG21" s="550">
        <v>59184774105</v>
      </c>
      <c r="AH21" s="550">
        <v>31189431228</v>
      </c>
      <c r="AI21" s="550">
        <v>126627357763</v>
      </c>
      <c r="AJ21" s="550">
        <v>101466218976</v>
      </c>
      <c r="AK21" s="550">
        <v>90609459282</v>
      </c>
      <c r="AL21" s="550">
        <v>59122191074</v>
      </c>
      <c r="AM21" s="1622">
        <v>29036482559</v>
      </c>
      <c r="AN21" s="509">
        <v>103264033490</v>
      </c>
      <c r="AO21" s="1622">
        <v>73506280757</v>
      </c>
      <c r="AP21" s="1623">
        <v>46836965075</v>
      </c>
      <c r="AQ21" s="1624">
        <v>22232739982</v>
      </c>
    </row>
    <row r="22" spans="1:43" ht="18" customHeight="1">
      <c r="A22" s="509"/>
      <c r="D22" s="1598">
        <v>410640</v>
      </c>
      <c r="E22" s="1364" t="s">
        <v>228</v>
      </c>
      <c r="F22" s="1366">
        <v>103</v>
      </c>
      <c r="G22" s="1364" t="s">
        <v>234</v>
      </c>
      <c r="H22" s="498">
        <v>0</v>
      </c>
      <c r="I22" s="498">
        <v>0</v>
      </c>
      <c r="J22" s="710">
        <v>0</v>
      </c>
      <c r="K22" s="710">
        <v>0</v>
      </c>
      <c r="L22" s="510">
        <f t="shared" si="1"/>
        <v>0</v>
      </c>
      <c r="N22" s="1473">
        <f>-ROUND(SUMIF('1.0'!$D:$D,T_IS!D22,'1.0'!$V:$V),0)</f>
        <v>0</v>
      </c>
      <c r="O22" s="509">
        <f>-ROUND(SUMIF('2.0'!$D:$D,T_IS!D22,'2.0'!$V:$V),0)</f>
        <v>0</v>
      </c>
      <c r="P22" s="509">
        <f>-ROUND(SUMIF('3.0'!$D:$D,T_IS!D22,'3.0'!$H:$H),0)</f>
        <v>0</v>
      </c>
      <c r="Q22" s="509">
        <f>-ROUND(SUMIF('4.0'!$D:$D,T_IS!D22,'4.0'!$V:$V),0)</f>
        <v>0</v>
      </c>
      <c r="R22" s="509">
        <f>-ROUND(SUMIF('5.0'!$D:$D,T_IS!D22,'5.0'!$V:$V),0)</f>
        <v>0</v>
      </c>
      <c r="S22" s="509">
        <f>-ROUND(SUMIF('6.0'!$D:$D,T_IS!D22,'6.0'!$V:$V),0)</f>
        <v>0</v>
      </c>
      <c r="T22" s="509">
        <f>-ROUND(SUMIF('7.0'!$D:$D,T_IS!D22,'7.0'!$V:$V),0)</f>
        <v>0</v>
      </c>
      <c r="U22" s="509">
        <f>-ROUND(SUMIF('8.0'!$D:$D,T_IS!F22,'8.0'!$H:$H),0)</f>
        <v>0</v>
      </c>
      <c r="V22" s="1475">
        <f t="shared" si="2"/>
        <v>0</v>
      </c>
      <c r="X22" s="1622">
        <f t="shared" si="3"/>
        <v>0</v>
      </c>
      <c r="Z22" s="1622">
        <f t="shared" si="4"/>
        <v>0</v>
      </c>
      <c r="AA22" s="1622">
        <f t="shared" si="5"/>
        <v>0</v>
      </c>
      <c r="AB22" s="1622">
        <f t="shared" si="6"/>
        <v>0</v>
      </c>
      <c r="AD22" s="550">
        <v>0</v>
      </c>
      <c r="AE22" s="550">
        <v>0</v>
      </c>
      <c r="AF22" s="550">
        <v>0</v>
      </c>
      <c r="AG22" s="550">
        <v>0</v>
      </c>
      <c r="AH22" s="550">
        <v>0</v>
      </c>
      <c r="AI22" s="550">
        <v>0</v>
      </c>
      <c r="AJ22" s="550">
        <v>0</v>
      </c>
      <c r="AK22" s="550">
        <v>0</v>
      </c>
      <c r="AL22" s="550">
        <v>0</v>
      </c>
      <c r="AM22" s="1622">
        <v>0</v>
      </c>
      <c r="AN22" s="509">
        <v>-2474371</v>
      </c>
      <c r="AO22" s="1622">
        <v>-2474371</v>
      </c>
      <c r="AP22" s="1818">
        <v>-2474371</v>
      </c>
      <c r="AQ22" s="1819">
        <v>-2474371</v>
      </c>
    </row>
    <row r="23" spans="1:43" ht="18" customHeight="1">
      <c r="A23" s="509"/>
      <c r="D23" s="1598">
        <v>410650</v>
      </c>
      <c r="E23" s="1364" t="s">
        <v>228</v>
      </c>
      <c r="F23" s="1366">
        <v>103</v>
      </c>
      <c r="G23" s="1364" t="s">
        <v>235</v>
      </c>
      <c r="H23" s="498">
        <v>4933148875</v>
      </c>
      <c r="I23" s="498">
        <v>0</v>
      </c>
      <c r="J23" s="710">
        <v>0</v>
      </c>
      <c r="K23" s="710">
        <v>0</v>
      </c>
      <c r="L23" s="510">
        <f t="shared" si="1"/>
        <v>4933148875</v>
      </c>
      <c r="N23" s="1473">
        <f>-ROUND(SUMIF('1.0'!$D:$D,T_IS!D23,'1.0'!$V:$V),0)</f>
        <v>0</v>
      </c>
      <c r="O23" s="509">
        <f>-ROUND(SUMIF('2.0'!$D:$D,T_IS!D23,'2.0'!$V:$V),0)</f>
        <v>0</v>
      </c>
      <c r="P23" s="509">
        <f>-ROUND(SUMIF('3.0'!$D:$D,T_IS!D23,'3.0'!$H:$H),0)</f>
        <v>0</v>
      </c>
      <c r="Q23" s="509">
        <f>-ROUND(SUMIF('4.0'!$D:$D,T_IS!D23,'4.0'!$V:$V),0)</f>
        <v>0</v>
      </c>
      <c r="R23" s="509">
        <f>-ROUND(SUMIF('5.0'!$D:$D,T_IS!D23,'5.0'!$V:$V),0)</f>
        <v>0</v>
      </c>
      <c r="S23" s="509">
        <f>-ROUND(SUMIF('6.0'!$D:$D,T_IS!D23,'6.0'!$V:$V),0)</f>
        <v>0</v>
      </c>
      <c r="T23" s="509">
        <f>-ROUND(SUMIF('7.0'!$D:$D,T_IS!D23,'7.0'!$V:$V),0)</f>
        <v>0</v>
      </c>
      <c r="U23" s="509">
        <f>-ROUND(SUMIF('8.0'!$D:$D,T_IS!F23,'8.0'!$H:$H),0)</f>
        <v>0</v>
      </c>
      <c r="V23" s="1475">
        <f t="shared" si="2"/>
        <v>0</v>
      </c>
      <c r="X23" s="1622">
        <f t="shared" si="3"/>
        <v>4933148875</v>
      </c>
      <c r="Z23" s="1622">
        <f t="shared" si="4"/>
        <v>284495246</v>
      </c>
      <c r="AA23" s="1622">
        <f t="shared" si="5"/>
        <v>321711705</v>
      </c>
      <c r="AB23" s="1622">
        <f t="shared" si="6"/>
        <v>-37216459</v>
      </c>
      <c r="AD23" s="550">
        <v>4648653629</v>
      </c>
      <c r="AE23" s="550">
        <v>4326941924</v>
      </c>
      <c r="AF23" s="550">
        <v>4198866492</v>
      </c>
      <c r="AG23" s="550">
        <v>3692906577</v>
      </c>
      <c r="AH23" s="550">
        <v>1099603793</v>
      </c>
      <c r="AI23" s="550">
        <v>8806759273</v>
      </c>
      <c r="AJ23" s="550">
        <v>6254373527</v>
      </c>
      <c r="AK23" s="550">
        <v>6210981685</v>
      </c>
      <c r="AL23" s="550">
        <v>4335009989</v>
      </c>
      <c r="AM23" s="1622">
        <v>751781313</v>
      </c>
      <c r="AN23" s="509">
        <v>4186277157</v>
      </c>
      <c r="AO23" s="1622">
        <v>2859598012</v>
      </c>
      <c r="AP23" s="1623">
        <v>1393558735</v>
      </c>
      <c r="AQ23" s="1624">
        <v>1045227331</v>
      </c>
    </row>
    <row r="24" spans="1:43" ht="18" customHeight="1">
      <c r="A24" s="509"/>
      <c r="D24" s="1598">
        <v>410660</v>
      </c>
      <c r="E24" s="1364" t="s">
        <v>228</v>
      </c>
      <c r="F24" s="1366">
        <v>103</v>
      </c>
      <c r="G24" s="1364" t="s">
        <v>236</v>
      </c>
      <c r="H24" s="498">
        <v>141400000</v>
      </c>
      <c r="I24" s="498">
        <v>0</v>
      </c>
      <c r="J24" s="710">
        <v>0</v>
      </c>
      <c r="K24" s="710">
        <v>0</v>
      </c>
      <c r="L24" s="510">
        <f t="shared" si="1"/>
        <v>141400000</v>
      </c>
      <c r="N24" s="1473">
        <f>-ROUND(SUMIF('1.0'!$D:$D,T_IS!D24,'1.0'!$V:$V),0)</f>
        <v>0</v>
      </c>
      <c r="O24" s="509">
        <f>-ROUND(SUMIF('2.0'!$D:$D,T_IS!D24,'2.0'!$V:$V),0)</f>
        <v>0</v>
      </c>
      <c r="P24" s="509">
        <f>-ROUND(SUMIF('3.0'!$D:$D,T_IS!D24,'3.0'!$H:$H),0)</f>
        <v>0</v>
      </c>
      <c r="Q24" s="509">
        <f>-ROUND(SUMIF('4.0'!$D:$D,T_IS!D24,'4.0'!$V:$V),0)</f>
        <v>0</v>
      </c>
      <c r="R24" s="509">
        <f>-ROUND(SUMIF('5.0'!$D:$D,T_IS!D24,'5.0'!$V:$V),0)</f>
        <v>0</v>
      </c>
      <c r="S24" s="509">
        <f>-ROUND(SUMIF('6.0'!$D:$D,T_IS!D24,'6.0'!$V:$V),0)</f>
        <v>0</v>
      </c>
      <c r="T24" s="509">
        <f>-ROUND(SUMIF('7.0'!$D:$D,T_IS!D24,'7.0'!$V:$V),0)</f>
        <v>0</v>
      </c>
      <c r="U24" s="509">
        <f>-ROUND(SUMIF('8.0'!$D:$D,T_IS!F24,'8.0'!$H:$H),0)</f>
        <v>0</v>
      </c>
      <c r="V24" s="1475">
        <f t="shared" si="2"/>
        <v>0</v>
      </c>
      <c r="X24" s="1622">
        <f t="shared" si="3"/>
        <v>141400000</v>
      </c>
      <c r="Z24" s="1622">
        <f t="shared" si="4"/>
        <v>0</v>
      </c>
      <c r="AA24" s="1622">
        <f t="shared" si="5"/>
        <v>0</v>
      </c>
      <c r="AB24" s="1622">
        <f t="shared" si="6"/>
        <v>0</v>
      </c>
      <c r="AD24" s="550">
        <v>141400000</v>
      </c>
      <c r="AE24" s="550">
        <v>141400000</v>
      </c>
      <c r="AF24" s="550">
        <v>141400000</v>
      </c>
      <c r="AG24" s="550">
        <v>22400000</v>
      </c>
      <c r="AH24" s="550">
        <v>22400000</v>
      </c>
      <c r="AI24" s="550">
        <v>0</v>
      </c>
      <c r="AJ24" s="550">
        <v>0</v>
      </c>
      <c r="AK24" s="550">
        <v>0</v>
      </c>
      <c r="AL24" s="550">
        <v>0</v>
      </c>
      <c r="AM24" s="1622">
        <v>0</v>
      </c>
      <c r="AN24" s="509">
        <v>0</v>
      </c>
      <c r="AO24" s="1622">
        <v>0</v>
      </c>
      <c r="AP24" s="1623">
        <v>0</v>
      </c>
      <c r="AQ24" s="1624">
        <v>0</v>
      </c>
    </row>
    <row r="25" spans="1:43" ht="18" customHeight="1">
      <c r="A25" s="509"/>
      <c r="D25" s="1598">
        <v>410899</v>
      </c>
      <c r="E25" s="1364" t="s">
        <v>228</v>
      </c>
      <c r="F25" s="1366">
        <v>103</v>
      </c>
      <c r="G25" s="1364" t="s">
        <v>237</v>
      </c>
      <c r="H25" s="498">
        <v>2844843174</v>
      </c>
      <c r="I25" s="498">
        <v>1828444532</v>
      </c>
      <c r="J25" s="710">
        <v>413423856</v>
      </c>
      <c r="K25" s="710">
        <v>91921240</v>
      </c>
      <c r="L25" s="510">
        <f t="shared" si="1"/>
        <v>5178632802</v>
      </c>
      <c r="N25" s="1473">
        <f>-ROUND(SUMIF('1.0'!$D:$D,T_IS!D25,'1.0'!$V:$V),0)</f>
        <v>0</v>
      </c>
      <c r="O25" s="509">
        <f>-ROUND(SUMIF('2.0'!$D:$D,T_IS!D25,'2.0'!$V:$V),0)</f>
        <v>0</v>
      </c>
      <c r="P25" s="509">
        <f>-ROUND(SUMIF('3.0'!$D:$D,T_IS!D25,'3.0'!$H:$H),0)</f>
        <v>-2084222777</v>
      </c>
      <c r="Q25" s="509">
        <f>-ROUND(SUMIF('4.0'!$D:$D,T_IS!D25,'4.0'!$V:$V),0)</f>
        <v>0</v>
      </c>
      <c r="R25" s="509">
        <f>-ROUND(SUMIF('5.0'!$D:$D,T_IS!D25,'5.0'!$V:$V),0)</f>
        <v>0</v>
      </c>
      <c r="S25" s="509">
        <f>-ROUND(SUMIF('6.0'!$D:$D,T_IS!D25,'6.0'!$V:$V),0)</f>
        <v>0</v>
      </c>
      <c r="T25" s="509">
        <f>-ROUND(SUMIF('7.0'!$D:$D,T_IS!D25,'7.0'!$V:$V),0)</f>
        <v>0</v>
      </c>
      <c r="U25" s="509">
        <f>-ROUND(SUMIF('8.0'!$D:$D,T_IS!F25,'8.0'!$H:$H),0)</f>
        <v>0</v>
      </c>
      <c r="V25" s="1475">
        <f t="shared" si="2"/>
        <v>-2084222777</v>
      </c>
      <c r="X25" s="1622">
        <f t="shared" si="3"/>
        <v>3094410025</v>
      </c>
      <c r="Z25" s="1622">
        <f t="shared" si="4"/>
        <v>331875254</v>
      </c>
      <c r="AA25" s="1622">
        <f t="shared" si="5"/>
        <v>377363846</v>
      </c>
      <c r="AB25" s="1622">
        <f t="shared" si="6"/>
        <v>-45488592</v>
      </c>
      <c r="AD25" s="550">
        <v>2762534771</v>
      </c>
      <c r="AE25" s="550">
        <v>2385170925</v>
      </c>
      <c r="AF25" s="550">
        <v>1990682086</v>
      </c>
      <c r="AG25" s="550">
        <v>1653948860</v>
      </c>
      <c r="AH25" s="550">
        <v>503578659</v>
      </c>
      <c r="AI25" s="550">
        <v>4638327955</v>
      </c>
      <c r="AJ25" s="550">
        <v>3861691037</v>
      </c>
      <c r="AK25" s="550">
        <v>3492367649</v>
      </c>
      <c r="AL25" s="550">
        <v>2059584978</v>
      </c>
      <c r="AM25" s="1622">
        <v>1175182966</v>
      </c>
      <c r="AN25" s="509">
        <v>1021991474</v>
      </c>
      <c r="AO25" s="1622">
        <v>351224499</v>
      </c>
      <c r="AP25" s="1623">
        <v>292702461</v>
      </c>
      <c r="AQ25" s="1624">
        <v>166784256</v>
      </c>
    </row>
    <row r="26" spans="1:43" ht="18" customHeight="1">
      <c r="A26" s="509"/>
      <c r="D26" s="1588"/>
      <c r="E26" s="1589"/>
      <c r="F26" s="1613"/>
      <c r="G26" s="1589" t="s">
        <v>238</v>
      </c>
      <c r="H26" s="1625">
        <f>SUM(H27:H35)</f>
        <v>161853325844</v>
      </c>
      <c r="I26" s="503">
        <f>SUM(I27:I35)</f>
        <v>1385190946</v>
      </c>
      <c r="J26" s="503">
        <f>SUM(J27:J35)</f>
        <v>83687688</v>
      </c>
      <c r="K26" s="503">
        <f>SUM(K27:K35)</f>
        <v>10236976645</v>
      </c>
      <c r="L26" s="504">
        <f>SUM(L27:L35)</f>
        <v>173559181123</v>
      </c>
      <c r="N26" s="1626">
        <f t="shared" ref="N26:V26" si="7">SUM(N27:N35)</f>
        <v>0</v>
      </c>
      <c r="O26" s="503">
        <f t="shared" si="7"/>
        <v>0</v>
      </c>
      <c r="P26" s="503">
        <f t="shared" si="7"/>
        <v>-1117698369</v>
      </c>
      <c r="Q26" s="503">
        <f t="shared" si="7"/>
        <v>7121669</v>
      </c>
      <c r="R26" s="503">
        <f t="shared" si="7"/>
        <v>0</v>
      </c>
      <c r="S26" s="503">
        <f t="shared" si="7"/>
        <v>0</v>
      </c>
      <c r="T26" s="503">
        <f t="shared" si="7"/>
        <v>0</v>
      </c>
      <c r="U26" s="503">
        <f t="shared" si="7"/>
        <v>0</v>
      </c>
      <c r="V26" s="1627">
        <f t="shared" si="7"/>
        <v>-1110576700</v>
      </c>
      <c r="X26" s="1628">
        <f>SUM(X27:X35)</f>
        <v>172448604423</v>
      </c>
      <c r="Z26" s="1628">
        <f>SUM(Z27:Z35)</f>
        <v>17065600941</v>
      </c>
      <c r="AA26" s="1628">
        <f>SUM(AA27:AA35)</f>
        <v>17139043982</v>
      </c>
      <c r="AB26" s="1628">
        <f>SUM(AB27:AB35)</f>
        <v>-73443041</v>
      </c>
      <c r="AD26" s="1629">
        <v>155383003482</v>
      </c>
      <c r="AE26" s="1629">
        <v>138243959500</v>
      </c>
      <c r="AF26" s="1629">
        <v>117115396668</v>
      </c>
      <c r="AG26" s="1629">
        <v>97495684899</v>
      </c>
      <c r="AH26" s="1629">
        <v>44657346855</v>
      </c>
      <c r="AI26" s="1629">
        <v>184688310354</v>
      </c>
      <c r="AJ26" s="1629">
        <v>151564056479</v>
      </c>
      <c r="AK26" s="1629">
        <v>136737922106</v>
      </c>
      <c r="AL26" s="1629">
        <v>91374419912</v>
      </c>
      <c r="AM26" s="1628">
        <f>SUM(AM27:AM35)</f>
        <v>44994036091</v>
      </c>
      <c r="AN26" s="503">
        <f>SUM(AN27:AN35)</f>
        <v>181205387327</v>
      </c>
      <c r="AO26" s="1628">
        <f>SUM(AO27:AO35)</f>
        <v>130389155182</v>
      </c>
      <c r="AP26" s="1628">
        <f>SUM(AP27:AP35)</f>
        <v>85703512987</v>
      </c>
      <c r="AQ26" s="504">
        <f>SUM(AQ27:AQ35)</f>
        <v>39300752333</v>
      </c>
    </row>
    <row r="27" spans="1:43" ht="18" customHeight="1">
      <c r="A27" s="509"/>
      <c r="D27" s="1598" t="s">
        <v>239</v>
      </c>
      <c r="E27" s="1364" t="s">
        <v>238</v>
      </c>
      <c r="F27" s="1366">
        <v>201</v>
      </c>
      <c r="G27" s="1364" t="s">
        <v>240</v>
      </c>
      <c r="H27" s="498">
        <v>29741070421</v>
      </c>
      <c r="I27" s="498">
        <v>0</v>
      </c>
      <c r="J27" s="710">
        <v>83687688</v>
      </c>
      <c r="K27" s="710">
        <v>10236976645</v>
      </c>
      <c r="L27" s="510">
        <f t="shared" ref="L27:L35" si="8">SUM(H27:K27)</f>
        <v>40061734754</v>
      </c>
      <c r="N27" s="1473">
        <f>ROUND(SUMIF('1.0'!$D:$D,T_IS!D27,'1.0'!$V:$V),0)</f>
        <v>0</v>
      </c>
      <c r="O27" s="509">
        <f>-ROUND(SUMIF('2.0'!$D:$D,T_IS!D27,'2.0'!$V:$V),0)</f>
        <v>0</v>
      </c>
      <c r="P27" s="509">
        <f>ROUND(SUMIF('3.0'!$D:$D,T_IS!D27,'3.0'!$H:$H),0)</f>
        <v>-1117698369</v>
      </c>
      <c r="Q27" s="509">
        <f>ROUND(SUMIF('4.0'!$D:$D,T_IS!D27,'4.0'!$V:$V),0)</f>
        <v>14317585</v>
      </c>
      <c r="R27" s="509">
        <f>ROUND(SUMIF('5.0'!$D:$D,T_IS!D27,'5.0'!$V:$V),0)</f>
        <v>0</v>
      </c>
      <c r="S27" s="509">
        <f>ROUND(SUMIF('6.0'!$D:$D,T_IS!D27,'6.0'!$V:$V),0)</f>
        <v>-1729864</v>
      </c>
      <c r="T27" s="509">
        <f>ROUND(SUMIF('7.0'!$D:$D,T_IS!D27,'7.0'!$V:$V),0)</f>
        <v>0</v>
      </c>
      <c r="U27" s="509">
        <f>ROUND(SUMIF('8.0'!$D:$D,T_IS!F27,'8.0'!$H:$H),0)</f>
        <v>0</v>
      </c>
      <c r="V27" s="1475">
        <f t="shared" ref="V27:V35" si="9">SUM(N27:U27)</f>
        <v>-1105110648</v>
      </c>
      <c r="X27" s="1622">
        <f t="shared" ref="X27:X35" si="10">V27+L27</f>
        <v>38956624106</v>
      </c>
      <c r="Z27" s="1622">
        <f t="shared" ref="Z27:Z35" si="11">X27-AD27</f>
        <v>2401457615</v>
      </c>
      <c r="AA27" s="1622">
        <f t="shared" ref="AA27:AA35" si="12">AD27-AE27</f>
        <v>2986305877</v>
      </c>
      <c r="AB27" s="1622">
        <f t="shared" ref="AB27:AB35" si="13">Z27-AA27</f>
        <v>-584848262</v>
      </c>
      <c r="AD27" s="550">
        <v>36555166491</v>
      </c>
      <c r="AE27" s="550">
        <v>33568860614</v>
      </c>
      <c r="AF27" s="550">
        <v>25362430439</v>
      </c>
      <c r="AG27" s="550">
        <v>20021523368</v>
      </c>
      <c r="AH27" s="550">
        <v>9105901119</v>
      </c>
      <c r="AI27" s="550">
        <v>28088117014</v>
      </c>
      <c r="AJ27" s="550">
        <v>22187472273</v>
      </c>
      <c r="AK27" s="550">
        <v>19530607660</v>
      </c>
      <c r="AL27" s="550">
        <v>13448770713</v>
      </c>
      <c r="AM27" s="1622">
        <v>6858201701</v>
      </c>
      <c r="AN27" s="509">
        <v>26833967325</v>
      </c>
      <c r="AO27" s="1622">
        <v>17557500163</v>
      </c>
      <c r="AP27" s="1623">
        <v>11196910989</v>
      </c>
      <c r="AQ27" s="1624">
        <v>4254257020</v>
      </c>
    </row>
    <row r="28" spans="1:43" ht="18" customHeight="1">
      <c r="A28" s="509"/>
      <c r="D28" s="1598" t="s">
        <v>241</v>
      </c>
      <c r="E28" s="1364" t="s">
        <v>238</v>
      </c>
      <c r="F28" s="1366">
        <v>202</v>
      </c>
      <c r="G28" s="1364" t="s">
        <v>242</v>
      </c>
      <c r="H28" s="498">
        <v>10545463393</v>
      </c>
      <c r="I28" s="498">
        <v>0</v>
      </c>
      <c r="J28" s="710">
        <v>0</v>
      </c>
      <c r="K28" s="710">
        <v>0</v>
      </c>
      <c r="L28" s="510">
        <f t="shared" si="8"/>
        <v>10545463393</v>
      </c>
      <c r="N28" s="1473">
        <f>ROUND(SUMIF('1.0'!$D:$D,T_IS!D28,'1.0'!$V:$V),0)</f>
        <v>0</v>
      </c>
      <c r="O28" s="509">
        <f>-ROUND(SUMIF('2.0'!$D:$D,T_IS!D28,'2.0'!$V:$V),0)</f>
        <v>0</v>
      </c>
      <c r="P28" s="509">
        <f>ROUND(SUMIF('3.0'!$D:$D,T_IS!D28,'3.0'!$H:$H),0)</f>
        <v>0</v>
      </c>
      <c r="Q28" s="509">
        <f>ROUND(SUMIF('4.0'!$D:$D,T_IS!D28,'4.0'!$V:$V),0)</f>
        <v>-7195916</v>
      </c>
      <c r="R28" s="509">
        <f>ROUND(SUMIF('5.0'!$D:$D,T_IS!D28,'5.0'!$V:$V),0)</f>
        <v>0</v>
      </c>
      <c r="S28" s="509">
        <f>ROUND(SUMIF('6.0'!$D:$D,T_IS!D28,'6.0'!$V:$V),0)</f>
        <v>1729864</v>
      </c>
      <c r="T28" s="509">
        <f>ROUND(SUMIF('7.0'!$D:$D,T_IS!D28,'7.0'!$V:$V),0)</f>
        <v>0</v>
      </c>
      <c r="U28" s="509">
        <f>ROUND(SUMIF('8.0'!$D:$D,T_IS!F28,'8.0'!$H:$H),0)</f>
        <v>0</v>
      </c>
      <c r="V28" s="1475">
        <f t="shared" si="9"/>
        <v>-5466052</v>
      </c>
      <c r="X28" s="1622">
        <f t="shared" si="10"/>
        <v>10539997341</v>
      </c>
      <c r="Z28" s="1622">
        <f t="shared" si="11"/>
        <v>1246055813</v>
      </c>
      <c r="AA28" s="1622">
        <f t="shared" si="12"/>
        <v>1872451520</v>
      </c>
      <c r="AB28" s="1622">
        <f t="shared" si="13"/>
        <v>-626395707</v>
      </c>
      <c r="AD28" s="550">
        <v>9293941528</v>
      </c>
      <c r="AE28" s="550">
        <v>7421490008</v>
      </c>
      <c r="AF28" s="550">
        <v>6984367517</v>
      </c>
      <c r="AG28" s="550">
        <v>6319808076</v>
      </c>
      <c r="AH28" s="550">
        <v>2704920287</v>
      </c>
      <c r="AI28" s="550">
        <v>10227362198</v>
      </c>
      <c r="AJ28" s="550">
        <v>8585165940</v>
      </c>
      <c r="AK28" s="550">
        <v>7706454931</v>
      </c>
      <c r="AL28" s="550">
        <v>5030917195</v>
      </c>
      <c r="AM28" s="1622">
        <v>2129978210</v>
      </c>
      <c r="AN28" s="509">
        <v>13476781012</v>
      </c>
      <c r="AO28" s="1622">
        <v>9675428377</v>
      </c>
      <c r="AP28" s="1623">
        <v>6895368186</v>
      </c>
      <c r="AQ28" s="1624">
        <v>3389832111</v>
      </c>
    </row>
    <row r="29" spans="1:43" ht="18" customHeight="1">
      <c r="A29" s="509"/>
      <c r="D29" s="1630">
        <v>420510</v>
      </c>
      <c r="E29" s="1364" t="s">
        <v>238</v>
      </c>
      <c r="F29" s="1366">
        <v>204</v>
      </c>
      <c r="G29" s="1364" t="s">
        <v>244</v>
      </c>
      <c r="H29" s="498">
        <v>43716951520</v>
      </c>
      <c r="I29" s="498">
        <v>0</v>
      </c>
      <c r="J29" s="710">
        <v>0</v>
      </c>
      <c r="K29" s="710">
        <v>0</v>
      </c>
      <c r="L29" s="510">
        <f t="shared" si="8"/>
        <v>43716951520</v>
      </c>
      <c r="N29" s="1473">
        <f>ROUND(SUMIF('1.0'!$D:$D,T_IS!D29,'1.0'!$V:$V),0)</f>
        <v>0</v>
      </c>
      <c r="O29" s="509">
        <f>-ROUND(SUMIF('2.0'!$D:$D,T_IS!D29,'2.0'!$V:$V),0)</f>
        <v>0</v>
      </c>
      <c r="P29" s="509">
        <f>ROUND(SUMIF('3.0'!$D:$D,T_IS!D29,'3.0'!$H:$H),0)</f>
        <v>0</v>
      </c>
      <c r="Q29" s="509">
        <f>ROUND(SUMIF('4.0'!$D:$D,T_IS!D29,'4.0'!$V:$V),0)</f>
        <v>0</v>
      </c>
      <c r="R29" s="509">
        <f>ROUND(SUMIF('5.0'!$D:$D,T_IS!D29,'5.0'!$V:$V),0)</f>
        <v>0</v>
      </c>
      <c r="S29" s="509">
        <f>ROUND(SUMIF('6.0'!$D:$D,T_IS!D29,'6.0'!$V:$V),0)</f>
        <v>0</v>
      </c>
      <c r="T29" s="509">
        <f>ROUND(SUMIF('7.0'!$D:$D,T_IS!D29,'7.0'!$V:$V),0)</f>
        <v>0</v>
      </c>
      <c r="U29" s="509">
        <f>ROUND(SUMIF('8.0'!$D:$D,T_IS!F29,'8.0'!$H:$H),0)</f>
        <v>0</v>
      </c>
      <c r="V29" s="1475">
        <f t="shared" si="9"/>
        <v>0</v>
      </c>
      <c r="X29" s="1622">
        <f t="shared" si="10"/>
        <v>43716951520</v>
      </c>
      <c r="Z29" s="1622">
        <f t="shared" si="11"/>
        <v>5480681149</v>
      </c>
      <c r="AA29" s="1622">
        <f t="shared" si="12"/>
        <v>4734281956</v>
      </c>
      <c r="AB29" s="1622">
        <f t="shared" si="13"/>
        <v>746399193</v>
      </c>
      <c r="AD29" s="550">
        <v>38236270371</v>
      </c>
      <c r="AE29" s="550">
        <v>33501988415</v>
      </c>
      <c r="AF29" s="550">
        <v>28419318220</v>
      </c>
      <c r="AG29" s="550">
        <v>22799765172</v>
      </c>
      <c r="AH29" s="550">
        <v>8995897958</v>
      </c>
      <c r="AI29" s="550">
        <v>43037495044</v>
      </c>
      <c r="AJ29" s="550">
        <v>36236345863</v>
      </c>
      <c r="AK29" s="550">
        <v>32841778970</v>
      </c>
      <c r="AL29" s="550">
        <v>21746487875</v>
      </c>
      <c r="AM29" s="1622">
        <v>12092986859</v>
      </c>
      <c r="AN29" s="509">
        <v>57087044548</v>
      </c>
      <c r="AO29" s="1622">
        <v>42671840931</v>
      </c>
      <c r="AP29" s="1623">
        <v>29338092191</v>
      </c>
      <c r="AQ29" s="1624">
        <v>13930162269</v>
      </c>
    </row>
    <row r="30" spans="1:43" ht="18" customHeight="1">
      <c r="A30" s="509"/>
      <c r="D30" s="1598" t="s">
        <v>245</v>
      </c>
      <c r="E30" s="1364" t="s">
        <v>238</v>
      </c>
      <c r="F30" s="1366">
        <v>204</v>
      </c>
      <c r="G30" s="1364" t="s">
        <v>246</v>
      </c>
      <c r="H30" s="498">
        <v>3152253198</v>
      </c>
      <c r="I30" s="498">
        <v>0</v>
      </c>
      <c r="J30" s="710">
        <v>0</v>
      </c>
      <c r="K30" s="710">
        <v>0</v>
      </c>
      <c r="L30" s="510">
        <f t="shared" si="8"/>
        <v>3152253198</v>
      </c>
      <c r="N30" s="1473">
        <f>ROUND(SUMIF('1.0'!$D:$D,T_IS!D30,'1.0'!$V:$V),0)</f>
        <v>0</v>
      </c>
      <c r="O30" s="509">
        <f>-ROUND(SUMIF('2.0'!$D:$D,T_IS!D30,'2.0'!$V:$V),0)</f>
        <v>0</v>
      </c>
      <c r="P30" s="509">
        <f>ROUND(SUMIF('3.0'!$D:$D,T_IS!D30,'3.0'!$H:$H),0)</f>
        <v>0</v>
      </c>
      <c r="Q30" s="509">
        <f>ROUND(SUMIF('4.0'!$D:$D,T_IS!D30,'4.0'!$V:$V),0)</f>
        <v>0</v>
      </c>
      <c r="R30" s="509">
        <f>ROUND(SUMIF('5.0'!$D:$D,T_IS!D30,'5.0'!$V:$V),0)</f>
        <v>0</v>
      </c>
      <c r="S30" s="509">
        <f>ROUND(SUMIF('6.0'!$D:$D,T_IS!D30,'6.0'!$V:$V),0)</f>
        <v>0</v>
      </c>
      <c r="T30" s="509">
        <f>ROUND(SUMIF('7.0'!$D:$D,T_IS!D30,'7.0'!$V:$V),0)</f>
        <v>0</v>
      </c>
      <c r="U30" s="509">
        <f>ROUND(SUMIF('8.0'!$D:$D,T_IS!F30,'8.0'!$H:$H),0)</f>
        <v>0</v>
      </c>
      <c r="V30" s="1475">
        <f t="shared" si="9"/>
        <v>0</v>
      </c>
      <c r="X30" s="1622">
        <f t="shared" si="10"/>
        <v>3152253198</v>
      </c>
      <c r="Z30" s="1622">
        <f t="shared" si="11"/>
        <v>483184622</v>
      </c>
      <c r="AA30" s="1622">
        <f t="shared" si="12"/>
        <v>336574331</v>
      </c>
      <c r="AB30" s="1622">
        <f t="shared" si="13"/>
        <v>146610291</v>
      </c>
      <c r="AD30" s="550">
        <v>2669068576</v>
      </c>
      <c r="AE30" s="550">
        <v>2332494245</v>
      </c>
      <c r="AF30" s="550">
        <v>2062493216</v>
      </c>
      <c r="AG30" s="550">
        <v>1742355807</v>
      </c>
      <c r="AH30" s="550">
        <v>889890394</v>
      </c>
      <c r="AI30" s="550">
        <v>3585936577</v>
      </c>
      <c r="AJ30" s="550">
        <v>3021062164</v>
      </c>
      <c r="AK30" s="550">
        <v>2779227386</v>
      </c>
      <c r="AL30" s="550">
        <v>1896704452</v>
      </c>
      <c r="AM30" s="1622">
        <v>840628122</v>
      </c>
      <c r="AN30" s="509">
        <v>3476419595</v>
      </c>
      <c r="AO30" s="1622">
        <v>2153598212</v>
      </c>
      <c r="AP30" s="1623">
        <v>1658767627</v>
      </c>
      <c r="AQ30" s="1624">
        <v>847591276</v>
      </c>
    </row>
    <row r="31" spans="1:43" ht="18" customHeight="1">
      <c r="A31" s="509"/>
      <c r="D31" s="1598" t="s">
        <v>247</v>
      </c>
      <c r="E31" s="1364" t="s">
        <v>238</v>
      </c>
      <c r="F31" s="1366">
        <v>204</v>
      </c>
      <c r="G31" s="1364" t="s">
        <v>248</v>
      </c>
      <c r="H31" s="498">
        <v>69580839285</v>
      </c>
      <c r="I31" s="498">
        <v>0</v>
      </c>
      <c r="J31" s="710">
        <v>0</v>
      </c>
      <c r="K31" s="710">
        <v>0</v>
      </c>
      <c r="L31" s="510">
        <f t="shared" si="8"/>
        <v>69580839285</v>
      </c>
      <c r="N31" s="1473">
        <f>ROUND(SUMIF('1.0'!$D:$D,T_IS!D31,'1.0'!$V:$V),0)</f>
        <v>0</v>
      </c>
      <c r="O31" s="509">
        <f>-ROUND(SUMIF('2.0'!$D:$D,T_IS!D31,'2.0'!$V:$V),0)</f>
        <v>0</v>
      </c>
      <c r="P31" s="509">
        <f>ROUND(SUMIF('3.0'!$D:$D,T_IS!D31,'3.0'!$H:$H),0)</f>
        <v>0</v>
      </c>
      <c r="Q31" s="509">
        <f>ROUND(SUMIF('4.0'!$D:$D,T_IS!D31,'4.0'!$V:$V),0)</f>
        <v>0</v>
      </c>
      <c r="R31" s="509">
        <f>ROUND(SUMIF('5.0'!$D:$D,T_IS!D31,'5.0'!$V:$V),0)</f>
        <v>0</v>
      </c>
      <c r="S31" s="509">
        <f>ROUND(SUMIF('6.0'!$D:$D,T_IS!D31,'6.0'!$V:$V),0)</f>
        <v>0</v>
      </c>
      <c r="T31" s="509">
        <f>ROUND(SUMIF('7.0'!$D:$D,T_IS!D31,'7.0'!$V:$V),0)</f>
        <v>0</v>
      </c>
      <c r="U31" s="509">
        <f>ROUND(SUMIF('8.0'!$D:$D,T_IS!F31,'8.0'!$H:$H),0)</f>
        <v>0</v>
      </c>
      <c r="V31" s="1475">
        <f t="shared" si="9"/>
        <v>0</v>
      </c>
      <c r="X31" s="1622">
        <f t="shared" si="10"/>
        <v>69580839285</v>
      </c>
      <c r="Z31" s="1622">
        <f t="shared" si="11"/>
        <v>7047694856</v>
      </c>
      <c r="AA31" s="1622">
        <f t="shared" si="12"/>
        <v>6832429964</v>
      </c>
      <c r="AB31" s="1622">
        <f t="shared" si="13"/>
        <v>215264892</v>
      </c>
      <c r="AD31" s="550">
        <v>62533144429</v>
      </c>
      <c r="AE31" s="550">
        <v>55700714465</v>
      </c>
      <c r="AF31" s="550">
        <v>48805228898</v>
      </c>
      <c r="AG31" s="550">
        <v>41893353638</v>
      </c>
      <c r="AH31" s="550">
        <v>21690101619</v>
      </c>
      <c r="AI31" s="550">
        <v>90896848609</v>
      </c>
      <c r="AJ31" s="550">
        <v>75685359064</v>
      </c>
      <c r="AK31" s="550">
        <v>68065205623</v>
      </c>
      <c r="AL31" s="550">
        <v>45091676704</v>
      </c>
      <c r="AM31" s="1622">
        <v>21885913390</v>
      </c>
      <c r="AN31" s="509">
        <v>76246007518</v>
      </c>
      <c r="AO31" s="1622">
        <v>55625530604</v>
      </c>
      <c r="AP31" s="1623">
        <v>35322987389</v>
      </c>
      <c r="AQ31" s="1624">
        <v>16069441153</v>
      </c>
    </row>
    <row r="32" spans="1:43" ht="18" customHeight="1">
      <c r="A32" s="509"/>
      <c r="D32" s="1598" t="s">
        <v>249</v>
      </c>
      <c r="E32" s="1364" t="s">
        <v>238</v>
      </c>
      <c r="F32" s="1366">
        <v>204</v>
      </c>
      <c r="G32" s="1364" t="s">
        <v>250</v>
      </c>
      <c r="H32" s="498">
        <v>0</v>
      </c>
      <c r="I32" s="498">
        <v>0</v>
      </c>
      <c r="J32" s="710">
        <v>0</v>
      </c>
      <c r="K32" s="710">
        <v>0</v>
      </c>
      <c r="L32" s="510">
        <f t="shared" si="8"/>
        <v>0</v>
      </c>
      <c r="N32" s="1473">
        <f>ROUND(SUMIF('1.0'!$D:$D,T_IS!D32,'1.0'!$V:$V),0)</f>
        <v>0</v>
      </c>
      <c r="O32" s="509">
        <f>-ROUND(SUMIF('2.0'!$D:$D,T_IS!D32,'2.0'!$V:$V),0)</f>
        <v>0</v>
      </c>
      <c r="P32" s="509">
        <f>ROUND(SUMIF('3.0'!$D:$D,T_IS!D32,'3.0'!$H:$H),0)</f>
        <v>0</v>
      </c>
      <c r="Q32" s="509">
        <f>ROUND(SUMIF('4.0'!$D:$D,T_IS!D32,'4.0'!$V:$V),0)</f>
        <v>0</v>
      </c>
      <c r="R32" s="509">
        <f>ROUND(SUMIF('5.0'!$D:$D,T_IS!D32,'5.0'!$V:$V),0)</f>
        <v>0</v>
      </c>
      <c r="S32" s="509">
        <f>ROUND(SUMIF('6.0'!$D:$D,T_IS!D32,'6.0'!$V:$V),0)</f>
        <v>0</v>
      </c>
      <c r="T32" s="509">
        <f>ROUND(SUMIF('7.0'!$D:$D,T_IS!D32,'7.0'!$V:$V),0)</f>
        <v>0</v>
      </c>
      <c r="U32" s="509">
        <f>ROUND(SUMIF('8.0'!$D:$D,T_IS!F32,'8.0'!$H:$H),0)</f>
        <v>0</v>
      </c>
      <c r="V32" s="1475">
        <f t="shared" si="9"/>
        <v>0</v>
      </c>
      <c r="X32" s="1622">
        <f t="shared" si="10"/>
        <v>0</v>
      </c>
      <c r="Z32" s="1622">
        <f t="shared" si="11"/>
        <v>0</v>
      </c>
      <c r="AA32" s="1622">
        <f t="shared" si="12"/>
        <v>0</v>
      </c>
      <c r="AB32" s="1622">
        <f t="shared" si="13"/>
        <v>0</v>
      </c>
      <c r="AD32" s="550">
        <v>0</v>
      </c>
      <c r="AE32" s="550">
        <v>0</v>
      </c>
      <c r="AF32" s="550">
        <v>0</v>
      </c>
      <c r="AG32" s="550">
        <v>0</v>
      </c>
      <c r="AH32" s="550">
        <v>0</v>
      </c>
      <c r="AI32" s="550">
        <v>0</v>
      </c>
      <c r="AJ32" s="550">
        <v>0</v>
      </c>
      <c r="AK32" s="550">
        <v>0</v>
      </c>
      <c r="AL32" s="550">
        <v>0</v>
      </c>
      <c r="AM32" s="1622">
        <v>0</v>
      </c>
      <c r="AN32" s="509">
        <v>4</v>
      </c>
      <c r="AO32" s="1622">
        <v>4</v>
      </c>
      <c r="AP32" s="1818">
        <v>-4</v>
      </c>
      <c r="AQ32" s="1624">
        <v>0</v>
      </c>
    </row>
    <row r="33" spans="1:43" ht="18" customHeight="1">
      <c r="A33" s="509"/>
      <c r="D33" s="1598" t="s">
        <v>251</v>
      </c>
      <c r="E33" s="1364" t="s">
        <v>238</v>
      </c>
      <c r="F33" s="1366">
        <v>204</v>
      </c>
      <c r="G33" s="1364" t="s">
        <v>252</v>
      </c>
      <c r="H33" s="498">
        <v>5087353936</v>
      </c>
      <c r="I33" s="498">
        <v>0</v>
      </c>
      <c r="J33" s="710">
        <v>0</v>
      </c>
      <c r="K33" s="710">
        <v>0</v>
      </c>
      <c r="L33" s="510">
        <f t="shared" si="8"/>
        <v>5087353936</v>
      </c>
      <c r="N33" s="1473">
        <f>ROUND(SUMIF('1.0'!$D:$D,T_IS!D33,'1.0'!$V:$V),0)</f>
        <v>0</v>
      </c>
      <c r="O33" s="509">
        <f>-ROUND(SUMIF('2.0'!$D:$D,T_IS!D33,'2.0'!$V:$V),0)</f>
        <v>0</v>
      </c>
      <c r="P33" s="509">
        <f>ROUND(SUMIF('3.0'!$D:$D,T_IS!D33,'3.0'!$H:$H),0)</f>
        <v>0</v>
      </c>
      <c r="Q33" s="509">
        <f>ROUND(SUMIF('4.0'!$D:$D,T_IS!D33,'4.0'!$V:$V),0)</f>
        <v>0</v>
      </c>
      <c r="R33" s="509">
        <f>ROUND(SUMIF('5.0'!$D:$D,T_IS!D33,'5.0'!$V:$V),0)</f>
        <v>0</v>
      </c>
      <c r="S33" s="509">
        <f>ROUND(SUMIF('6.0'!$D:$D,T_IS!D33,'6.0'!$V:$V),0)</f>
        <v>0</v>
      </c>
      <c r="T33" s="509">
        <f>ROUND(SUMIF('7.0'!$D:$D,T_IS!D33,'7.0'!$V:$V),0)</f>
        <v>0</v>
      </c>
      <c r="U33" s="509">
        <f>ROUND(SUMIF('8.0'!$D:$D,T_IS!F33,'8.0'!$H:$H),0)</f>
        <v>0</v>
      </c>
      <c r="V33" s="1475">
        <f t="shared" si="9"/>
        <v>0</v>
      </c>
      <c r="X33" s="1622">
        <f t="shared" si="10"/>
        <v>5087353936</v>
      </c>
      <c r="Z33" s="1622">
        <f t="shared" si="11"/>
        <v>287305786</v>
      </c>
      <c r="AA33" s="1622">
        <f t="shared" si="12"/>
        <v>256036993</v>
      </c>
      <c r="AB33" s="1622">
        <f t="shared" si="13"/>
        <v>31268793</v>
      </c>
      <c r="AD33" s="550">
        <v>4800048150</v>
      </c>
      <c r="AE33" s="550">
        <v>4544011157</v>
      </c>
      <c r="AF33" s="550">
        <v>4435952473</v>
      </c>
      <c r="AG33" s="550">
        <v>3788041653</v>
      </c>
      <c r="AH33" s="550">
        <v>970372405</v>
      </c>
      <c r="AI33" s="550">
        <v>7800460840</v>
      </c>
      <c r="AJ33" s="550">
        <v>5396242561</v>
      </c>
      <c r="AK33" s="550">
        <v>5370432041</v>
      </c>
      <c r="AL33" s="550">
        <v>3717598481</v>
      </c>
      <c r="AM33" s="1622">
        <v>745733099</v>
      </c>
      <c r="AN33" s="509">
        <v>3946794323</v>
      </c>
      <c r="AO33" s="1622">
        <v>2617653599</v>
      </c>
      <c r="AP33" s="1623">
        <v>1205095102</v>
      </c>
      <c r="AQ33" s="1624">
        <v>747484173</v>
      </c>
    </row>
    <row r="34" spans="1:43" ht="18" customHeight="1">
      <c r="A34" s="509"/>
      <c r="D34" s="1598" t="s">
        <v>253</v>
      </c>
      <c r="E34" s="1364" t="s">
        <v>238</v>
      </c>
      <c r="F34" s="1366">
        <v>204</v>
      </c>
      <c r="G34" s="1364" t="s">
        <v>254</v>
      </c>
      <c r="H34" s="498">
        <v>0</v>
      </c>
      <c r="I34" s="498">
        <v>0</v>
      </c>
      <c r="J34" s="710">
        <v>0</v>
      </c>
      <c r="K34" s="710">
        <v>0</v>
      </c>
      <c r="L34" s="510">
        <f t="shared" si="8"/>
        <v>0</v>
      </c>
      <c r="N34" s="1473">
        <f>ROUND(SUMIF('1.0'!$D:$D,T_IS!D34,'1.0'!$V:$V),0)</f>
        <v>0</v>
      </c>
      <c r="O34" s="509">
        <f>-ROUND(SUMIF('2.0'!$D:$D,T_IS!D34,'2.0'!$V:$V),0)</f>
        <v>0</v>
      </c>
      <c r="P34" s="509">
        <f>ROUND(SUMIF('3.0'!$D:$D,T_IS!D34,'3.0'!$H:$H),0)</f>
        <v>0</v>
      </c>
      <c r="Q34" s="509">
        <f>ROUND(SUMIF('4.0'!$D:$D,T_IS!D34,'4.0'!$V:$V),0)</f>
        <v>0</v>
      </c>
      <c r="R34" s="509">
        <f>ROUND(SUMIF('5.0'!$D:$D,T_IS!D34,'5.0'!$V:$V),0)</f>
        <v>0</v>
      </c>
      <c r="S34" s="509">
        <f>ROUND(SUMIF('6.0'!$D:$D,T_IS!D34,'6.0'!$V:$V),0)</f>
        <v>0</v>
      </c>
      <c r="T34" s="509">
        <f>ROUND(SUMIF('7.0'!$D:$D,T_IS!D34,'7.0'!$V:$V),0)</f>
        <v>0</v>
      </c>
      <c r="U34" s="509">
        <f>ROUND(SUMIF('8.0'!$D:$D,T_IS!F34,'8.0'!$H:$H),0)</f>
        <v>0</v>
      </c>
      <c r="V34" s="1475">
        <f t="shared" si="9"/>
        <v>0</v>
      </c>
      <c r="X34" s="1622">
        <f t="shared" si="10"/>
        <v>0</v>
      </c>
      <c r="Z34" s="1622">
        <f t="shared" si="11"/>
        <v>0</v>
      </c>
      <c r="AA34" s="1622">
        <f t="shared" si="12"/>
        <v>0</v>
      </c>
      <c r="AB34" s="1622">
        <f t="shared" si="13"/>
        <v>0</v>
      </c>
      <c r="AD34" s="550">
        <v>0</v>
      </c>
      <c r="AE34" s="550">
        <v>0</v>
      </c>
      <c r="AF34" s="550">
        <v>0</v>
      </c>
      <c r="AG34" s="550">
        <v>0</v>
      </c>
      <c r="AH34" s="550">
        <v>0</v>
      </c>
      <c r="AI34" s="550">
        <v>0</v>
      </c>
      <c r="AJ34" s="550">
        <v>0</v>
      </c>
      <c r="AK34" s="550">
        <v>0</v>
      </c>
      <c r="AL34" s="550">
        <v>0</v>
      </c>
      <c r="AM34" s="1622">
        <v>0</v>
      </c>
      <c r="AN34" s="509">
        <v>0</v>
      </c>
      <c r="AO34" s="1622">
        <v>0</v>
      </c>
      <c r="AP34" s="1623">
        <v>0</v>
      </c>
      <c r="AQ34" s="1624">
        <v>0</v>
      </c>
    </row>
    <row r="35" spans="1:43" ht="18" customHeight="1">
      <c r="A35" s="509"/>
      <c r="D35" s="1598" t="s">
        <v>255</v>
      </c>
      <c r="E35" s="1364" t="s">
        <v>238</v>
      </c>
      <c r="F35" s="1366">
        <v>204</v>
      </c>
      <c r="G35" s="1364" t="s">
        <v>256</v>
      </c>
      <c r="H35" s="498">
        <v>29394091</v>
      </c>
      <c r="I35" s="498">
        <v>1385190946</v>
      </c>
      <c r="J35" s="710">
        <v>0</v>
      </c>
      <c r="K35" s="710">
        <v>0</v>
      </c>
      <c r="L35" s="510">
        <f t="shared" si="8"/>
        <v>1414585037</v>
      </c>
      <c r="N35" s="1473">
        <f>ROUND(SUMIF('1.0'!$D:$D,T_IS!D35,'1.0'!$V:$V),0)</f>
        <v>0</v>
      </c>
      <c r="O35" s="509">
        <f>-ROUND(SUMIF('2.0'!$D:$D,T_IS!D35,'2.0'!$V:$V),0)</f>
        <v>0</v>
      </c>
      <c r="P35" s="509">
        <f>ROUND(SUMIF('3.0'!$D:$D,T_IS!D35,'3.0'!$H:$H),0)</f>
        <v>0</v>
      </c>
      <c r="Q35" s="509">
        <f>ROUND(SUMIF('4.0'!$D:$D,T_IS!D35,'4.0'!$V:$V),0)</f>
        <v>0</v>
      </c>
      <c r="R35" s="509">
        <f>ROUND(SUMIF('5.0'!$D:$D,T_IS!D35,'5.0'!$V:$V),0)</f>
        <v>0</v>
      </c>
      <c r="S35" s="509">
        <f>ROUND(SUMIF('6.0'!$D:$D,T_IS!D35,'6.0'!$V:$V),0)</f>
        <v>0</v>
      </c>
      <c r="T35" s="509">
        <f>ROUND(SUMIF('7.0'!$D:$D,T_IS!D35,'7.0'!$V:$V),0)</f>
        <v>0</v>
      </c>
      <c r="U35" s="509">
        <f>ROUND(SUMIF('8.0'!$D:$D,T_IS!F35,'8.0'!$H:$H),0)</f>
        <v>0</v>
      </c>
      <c r="V35" s="1475">
        <f t="shared" si="9"/>
        <v>0</v>
      </c>
      <c r="X35" s="1622">
        <f t="shared" si="10"/>
        <v>1414585037</v>
      </c>
      <c r="Z35" s="1622">
        <f t="shared" si="11"/>
        <v>119221100</v>
      </c>
      <c r="AA35" s="1622">
        <f t="shared" si="12"/>
        <v>120963341</v>
      </c>
      <c r="AB35" s="1622">
        <f t="shared" si="13"/>
        <v>-1742241</v>
      </c>
      <c r="AD35" s="550">
        <v>1295363937</v>
      </c>
      <c r="AE35" s="550">
        <v>1174400596</v>
      </c>
      <c r="AF35" s="550">
        <v>1045605905</v>
      </c>
      <c r="AG35" s="550">
        <v>930837185</v>
      </c>
      <c r="AH35" s="550">
        <v>300263073</v>
      </c>
      <c r="AI35" s="550">
        <v>1052090072</v>
      </c>
      <c r="AJ35" s="550">
        <v>452408614</v>
      </c>
      <c r="AK35" s="550">
        <v>444215495</v>
      </c>
      <c r="AL35" s="550">
        <v>442264492</v>
      </c>
      <c r="AM35" s="1622">
        <v>440594710</v>
      </c>
      <c r="AN35" s="509">
        <v>138373002</v>
      </c>
      <c r="AO35" s="1622">
        <v>87603292</v>
      </c>
      <c r="AP35" s="1623">
        <v>86291507</v>
      </c>
      <c r="AQ35" s="1624">
        <v>61984331</v>
      </c>
    </row>
    <row r="36" spans="1:43" ht="18" customHeight="1">
      <c r="A36" s="925"/>
      <c r="D36" s="1588"/>
      <c r="E36" s="1589"/>
      <c r="F36" s="1613"/>
      <c r="G36" s="1589" t="s">
        <v>257</v>
      </c>
      <c r="H36" s="1625">
        <f>H6-H26</f>
        <v>48613507653</v>
      </c>
      <c r="I36" s="503">
        <f>I6-I26</f>
        <v>443253586</v>
      </c>
      <c r="J36" s="503">
        <f>J6-J26</f>
        <v>406541296</v>
      </c>
      <c r="K36" s="503">
        <f>K6-K26</f>
        <v>2734558784</v>
      </c>
      <c r="L36" s="504">
        <f>L6-L26</f>
        <v>52197861319</v>
      </c>
      <c r="N36" s="1626">
        <f t="shared" ref="N36:V36" si="14">N6-N26</f>
        <v>0</v>
      </c>
      <c r="O36" s="503">
        <f t="shared" si="14"/>
        <v>0</v>
      </c>
      <c r="P36" s="503">
        <f t="shared" si="14"/>
        <v>-2086850802</v>
      </c>
      <c r="Q36" s="503">
        <f t="shared" si="14"/>
        <v>-7121669</v>
      </c>
      <c r="R36" s="503">
        <f t="shared" si="14"/>
        <v>0</v>
      </c>
      <c r="S36" s="503">
        <f t="shared" si="14"/>
        <v>0</v>
      </c>
      <c r="T36" s="503">
        <f t="shared" si="14"/>
        <v>0</v>
      </c>
      <c r="U36" s="503">
        <f t="shared" si="14"/>
        <v>0</v>
      </c>
      <c r="V36" s="1627">
        <f t="shared" si="14"/>
        <v>-2093972471</v>
      </c>
      <c r="X36" s="1628">
        <f>X6-X26</f>
        <v>50103888848</v>
      </c>
      <c r="Z36" s="1628">
        <f>Z6-Z26</f>
        <v>5452160154</v>
      </c>
      <c r="AA36" s="1628">
        <f>AA6-AA26</f>
        <v>5363221532</v>
      </c>
      <c r="AB36" s="1628">
        <f>AB6-AB26</f>
        <v>88938622</v>
      </c>
      <c r="AD36" s="1629">
        <v>44651728694</v>
      </c>
      <c r="AE36" s="1629">
        <v>39288507162</v>
      </c>
      <c r="AF36" s="1629">
        <v>34028951380</v>
      </c>
      <c r="AG36" s="1629">
        <v>28608036588</v>
      </c>
      <c r="AH36" s="1629">
        <v>13508572838</v>
      </c>
      <c r="AI36" s="1629">
        <v>59500954148</v>
      </c>
      <c r="AJ36" s="1629">
        <v>46409529011</v>
      </c>
      <c r="AK36" s="1629">
        <v>41228310874</v>
      </c>
      <c r="AL36" s="1629">
        <v>26598789049</v>
      </c>
      <c r="AM36" s="1628">
        <f>AM6-AM26</f>
        <v>12690314938</v>
      </c>
      <c r="AN36" s="503">
        <f>AN6-AN26</f>
        <v>45123684896</v>
      </c>
      <c r="AO36" s="1628">
        <f>AO6-AO26</f>
        <v>32247309004</v>
      </c>
      <c r="AP36" s="1628">
        <f>AP6-AP26</f>
        <v>21898908735</v>
      </c>
      <c r="AQ36" s="504">
        <f>AQ6-AQ26</f>
        <v>11275014099</v>
      </c>
    </row>
    <row r="37" spans="1:43" ht="18" customHeight="1">
      <c r="A37" s="925"/>
      <c r="D37" s="1588"/>
      <c r="E37" s="1589"/>
      <c r="F37" s="1613"/>
      <c r="G37" s="1589" t="s">
        <v>258</v>
      </c>
      <c r="H37" s="1625">
        <f>SUM(H38:H74)</f>
        <v>51535605769</v>
      </c>
      <c r="I37" s="503">
        <f>SUM(I38:I74)</f>
        <v>384675383</v>
      </c>
      <c r="J37" s="503">
        <f>SUM(J38:J74)</f>
        <v>354679045</v>
      </c>
      <c r="K37" s="503">
        <f>SUM(K38:K74)</f>
        <v>1473200295</v>
      </c>
      <c r="L37" s="504">
        <f>SUM(L38:L74)</f>
        <v>53748160492</v>
      </c>
      <c r="N37" s="1626">
        <f t="shared" ref="N37:V37" si="15">SUM(N38:N74)</f>
        <v>0</v>
      </c>
      <c r="O37" s="503">
        <f t="shared" si="15"/>
        <v>0</v>
      </c>
      <c r="P37" s="503">
        <f t="shared" si="15"/>
        <v>-1807835061</v>
      </c>
      <c r="Q37" s="503">
        <f t="shared" si="15"/>
        <v>193111111</v>
      </c>
      <c r="R37" s="503">
        <f t="shared" si="15"/>
        <v>0</v>
      </c>
      <c r="S37" s="503">
        <f t="shared" si="15"/>
        <v>0</v>
      </c>
      <c r="T37" s="503">
        <f t="shared" si="15"/>
        <v>0</v>
      </c>
      <c r="U37" s="503">
        <f t="shared" si="15"/>
        <v>0</v>
      </c>
      <c r="V37" s="1627">
        <f t="shared" si="15"/>
        <v>-1614723950</v>
      </c>
      <c r="X37" s="1628">
        <f>SUM(X38:X74)</f>
        <v>52133436542</v>
      </c>
      <c r="Z37" s="1628">
        <f>SUM(Z38:Z74)</f>
        <v>5637298916</v>
      </c>
      <c r="AA37" s="1628">
        <f>SUM(AA38:AA74)</f>
        <v>5345096578</v>
      </c>
      <c r="AB37" s="1628">
        <f>SUM(AB38:AB74)</f>
        <v>292202338</v>
      </c>
      <c r="AD37" s="1629">
        <v>46496137626</v>
      </c>
      <c r="AE37" s="1629">
        <v>41151041048</v>
      </c>
      <c r="AF37" s="1629">
        <v>35384917733</v>
      </c>
      <c r="AG37" s="1629">
        <v>29634281931</v>
      </c>
      <c r="AH37" s="1629">
        <v>13919892653</v>
      </c>
      <c r="AI37" s="1629">
        <v>54652445309</v>
      </c>
      <c r="AJ37" s="1629">
        <v>40721929024</v>
      </c>
      <c r="AK37" s="1629">
        <v>36514424351</v>
      </c>
      <c r="AL37" s="1629">
        <v>23830391473</v>
      </c>
      <c r="AM37" s="1628">
        <f>SUM(AM38:AM74)</f>
        <v>11633145089</v>
      </c>
      <c r="AN37" s="503">
        <f>SUM(AN38:AN74)</f>
        <v>57012606885</v>
      </c>
      <c r="AO37" s="1628">
        <f>SUM(AO38:AO74)</f>
        <v>41868940448</v>
      </c>
      <c r="AP37" s="1628">
        <f>SUM(AP38:AP74)</f>
        <v>27568897549</v>
      </c>
      <c r="AQ37" s="504">
        <f>SUM(AQ38:AQ74)</f>
        <v>12976105803</v>
      </c>
    </row>
    <row r="38" spans="1:43" ht="18" customHeight="1">
      <c r="A38" s="1089" t="s">
        <v>260</v>
      </c>
      <c r="B38" s="1364" t="b">
        <f>A38=G38</f>
        <v>1</v>
      </c>
      <c r="D38" s="1598" t="s">
        <v>259</v>
      </c>
      <c r="E38" s="1364" t="s">
        <v>258</v>
      </c>
      <c r="F38" s="1366">
        <v>301</v>
      </c>
      <c r="G38" s="1364" t="s">
        <v>260</v>
      </c>
      <c r="H38" s="498">
        <v>14666927569</v>
      </c>
      <c r="I38" s="498">
        <v>124499390</v>
      </c>
      <c r="J38" s="710">
        <v>203667940</v>
      </c>
      <c r="K38" s="710">
        <v>514809201</v>
      </c>
      <c r="L38" s="510">
        <f t="shared" ref="L38:L74" si="16">SUM(H38:K38)</f>
        <v>15509904100</v>
      </c>
      <c r="N38" s="1473">
        <f>ROUND(SUMIF('1.0'!$D:$D,T_IS!D38,'1.0'!$V:$V),0)</f>
        <v>0</v>
      </c>
      <c r="O38" s="509">
        <f>ROUND(SUMIF('2.0'!$D:$D,T_IS!D38,'2.0'!$V:$V),0)</f>
        <v>0</v>
      </c>
      <c r="P38" s="509">
        <f>ROUND(SUMIF('3.0'!$D:$D,T_IS!D38,'3.0'!$H:$H),0)</f>
        <v>0</v>
      </c>
      <c r="Q38" s="509">
        <f>ROUND(SUMIF('4.0'!$D:$D,T_IS!D38,'4.0'!$V:$V),0)</f>
        <v>0</v>
      </c>
      <c r="R38" s="509">
        <f>ROUND(SUMIF('5.0'!$D:$D,T_IS!D38,'5.0'!$V:$V),0)</f>
        <v>0</v>
      </c>
      <c r="S38" s="509">
        <f>ROUND(SUMIF('6.0'!$D:$D,T_IS!D38,'6.0'!$V:$V),0)</f>
        <v>0</v>
      </c>
      <c r="T38" s="509">
        <f>ROUND(SUMIF('7.0'!$D:$D,T_IS!D38,'7.0'!$V:$V),0)</f>
        <v>0</v>
      </c>
      <c r="U38" s="509">
        <f>ROUND(SUMIF('8.0'!$D:$D,T_IS!F38,'8.0'!$H:$H),0)</f>
        <v>0</v>
      </c>
      <c r="V38" s="1475">
        <f t="shared" ref="V38:V74" si="17">SUM(N38:U38)</f>
        <v>0</v>
      </c>
      <c r="X38" s="1622">
        <f t="shared" ref="X38:X74" si="18">V38+L38</f>
        <v>15509904100</v>
      </c>
      <c r="Z38" s="1622">
        <f t="shared" ref="Z38:Z74" si="19">X38-AD38</f>
        <v>1555747860</v>
      </c>
      <c r="AA38" s="1622">
        <f t="shared" ref="AA38:AA74" si="20">AD38-AE38</f>
        <v>1621808914</v>
      </c>
      <c r="AB38" s="1622">
        <f t="shared" ref="AB38:AB74" si="21">Z38-AA38</f>
        <v>-66061054</v>
      </c>
      <c r="AD38" s="550">
        <v>13954156240</v>
      </c>
      <c r="AE38" s="550">
        <v>12332347326</v>
      </c>
      <c r="AF38" s="550">
        <v>10765676001</v>
      </c>
      <c r="AG38" s="550">
        <v>9217111441</v>
      </c>
      <c r="AH38" s="550">
        <v>4578928591</v>
      </c>
      <c r="AI38" s="550">
        <v>17522853044</v>
      </c>
      <c r="AJ38" s="550">
        <v>13126826015</v>
      </c>
      <c r="AK38" s="550">
        <v>11711279550</v>
      </c>
      <c r="AL38" s="550">
        <v>7785579892</v>
      </c>
      <c r="AM38" s="1622">
        <v>3846526795</v>
      </c>
      <c r="AN38" s="509">
        <v>15962194642</v>
      </c>
      <c r="AO38" s="1622">
        <v>11013830261</v>
      </c>
      <c r="AP38" s="1623">
        <v>7458340686</v>
      </c>
      <c r="AQ38" s="1624">
        <v>3611887413</v>
      </c>
    </row>
    <row r="39" spans="1:43" ht="18" customHeight="1">
      <c r="A39" s="1089" t="s">
        <v>262</v>
      </c>
      <c r="B39" s="1364" t="b">
        <f>A39=G39</f>
        <v>1</v>
      </c>
      <c r="D39" s="1598" t="s">
        <v>261</v>
      </c>
      <c r="E39" s="1364" t="s">
        <v>258</v>
      </c>
      <c r="F39" s="1366">
        <v>302</v>
      </c>
      <c r="G39" s="1364" t="s">
        <v>262</v>
      </c>
      <c r="H39" s="498">
        <v>1556556237</v>
      </c>
      <c r="I39" s="498">
        <v>17628772</v>
      </c>
      <c r="J39" s="710">
        <v>0</v>
      </c>
      <c r="K39" s="710">
        <v>24559618</v>
      </c>
      <c r="L39" s="510">
        <f t="shared" si="16"/>
        <v>1598744627</v>
      </c>
      <c r="N39" s="1473">
        <f>ROUND(SUMIF('1.0'!$D:$D,T_IS!D39,'1.0'!$V:$V),0)</f>
        <v>0</v>
      </c>
      <c r="O39" s="509">
        <f>ROUND(SUMIF('2.0'!$D:$D,T_IS!D39,'2.0'!$V:$V),0)</f>
        <v>0</v>
      </c>
      <c r="P39" s="509">
        <f>ROUND(SUMIF('3.0'!$D:$D,T_IS!D39,'3.0'!$H:$H),0)</f>
        <v>0</v>
      </c>
      <c r="Q39" s="509">
        <f>ROUND(SUMIF('4.0'!$D:$D,T_IS!D39,'4.0'!$V:$V),0)</f>
        <v>0</v>
      </c>
      <c r="R39" s="509">
        <f>ROUND(SUMIF('5.0'!$D:$D,T_IS!D39,'5.0'!$V:$V),0)</f>
        <v>0</v>
      </c>
      <c r="S39" s="509">
        <f>ROUND(SUMIF('6.0'!$D:$D,T_IS!D39,'6.0'!$V:$V),0)</f>
        <v>0</v>
      </c>
      <c r="T39" s="509">
        <f>ROUND(SUMIF('7.0'!$D:$D,T_IS!D39,'7.0'!$V:$V),0)</f>
        <v>0</v>
      </c>
      <c r="U39" s="509">
        <f>ROUND(SUMIF('8.0'!$D:$D,T_IS!F39,'8.0'!$H:$H),0)</f>
        <v>0</v>
      </c>
      <c r="V39" s="1475">
        <f t="shared" si="17"/>
        <v>0</v>
      </c>
      <c r="X39" s="1622">
        <f t="shared" si="18"/>
        <v>1598744627</v>
      </c>
      <c r="Z39" s="1622">
        <f t="shared" si="19"/>
        <v>160629778</v>
      </c>
      <c r="AA39" s="1622">
        <f t="shared" si="20"/>
        <v>160710427</v>
      </c>
      <c r="AB39" s="1622">
        <f t="shared" si="21"/>
        <v>-80649</v>
      </c>
      <c r="AD39" s="550">
        <v>1438114849</v>
      </c>
      <c r="AE39" s="550">
        <v>1277404422</v>
      </c>
      <c r="AF39" s="550">
        <v>1117163037</v>
      </c>
      <c r="AG39" s="550">
        <v>959371268</v>
      </c>
      <c r="AH39" s="550">
        <v>499300362</v>
      </c>
      <c r="AI39" s="550">
        <v>1793869353</v>
      </c>
      <c r="AJ39" s="550">
        <v>1475250123</v>
      </c>
      <c r="AK39" s="550">
        <v>1327209602</v>
      </c>
      <c r="AL39" s="550">
        <v>883413247</v>
      </c>
      <c r="AM39" s="1622">
        <v>445699323</v>
      </c>
      <c r="AN39" s="509">
        <v>1716897804</v>
      </c>
      <c r="AO39" s="1622">
        <v>1295143664</v>
      </c>
      <c r="AP39" s="1623">
        <v>829435383</v>
      </c>
      <c r="AQ39" s="1624">
        <v>423252238</v>
      </c>
    </row>
    <row r="40" spans="1:43" ht="18" customHeight="1">
      <c r="A40" s="1089"/>
      <c r="D40" s="1598" t="s">
        <v>1545</v>
      </c>
      <c r="E40" s="1364" t="s">
        <v>258</v>
      </c>
      <c r="F40" s="1366">
        <v>303</v>
      </c>
      <c r="G40" s="1364" t="s">
        <v>758</v>
      </c>
      <c r="H40" s="498">
        <v>-47788686</v>
      </c>
      <c r="I40" s="498">
        <v>0</v>
      </c>
      <c r="J40" s="710">
        <v>0</v>
      </c>
      <c r="K40" s="710">
        <v>0</v>
      </c>
      <c r="L40" s="510">
        <f t="shared" si="16"/>
        <v>-47788686</v>
      </c>
      <c r="N40" s="1473"/>
      <c r="O40" s="509">
        <f>ROUND(SUMIF('2.0'!$D:$D,T_IS!D40,'2.0'!$V:$V),0)</f>
        <v>0</v>
      </c>
      <c r="P40" s="509">
        <f>ROUND(SUMIF('3.0'!$D:$D,T_IS!D40,'3.0'!$H:$H),0)</f>
        <v>0</v>
      </c>
      <c r="Q40" s="509">
        <f>ROUND(SUMIF('4.0'!$D:$D,T_IS!D40,'4.0'!$V:$V),0)</f>
        <v>0</v>
      </c>
      <c r="R40" s="509">
        <f>ROUND(SUMIF('5.0'!$D:$D,T_IS!D40,'5.0'!$V:$V),0)</f>
        <v>0</v>
      </c>
      <c r="S40" s="509"/>
      <c r="T40" s="509">
        <f>ROUND(SUMIF('7.0'!$D:$D,T_IS!D40,'7.0'!$V:$V),0)</f>
        <v>0</v>
      </c>
      <c r="U40" s="509">
        <f>ROUND(SUMIF('8.0'!$D:$D,T_IS!F40,'8.0'!$H:$H),0)</f>
        <v>0</v>
      </c>
      <c r="V40" s="1475">
        <f t="shared" si="17"/>
        <v>0</v>
      </c>
      <c r="X40" s="1622">
        <f t="shared" si="18"/>
        <v>-47788686</v>
      </c>
      <c r="Z40" s="1622">
        <f t="shared" si="19"/>
        <v>8345014</v>
      </c>
      <c r="AA40" s="1622">
        <f t="shared" si="20"/>
        <v>-18490511</v>
      </c>
      <c r="AB40" s="1622">
        <f t="shared" si="21"/>
        <v>26835525</v>
      </c>
      <c r="AD40" s="550">
        <v>-56133700</v>
      </c>
      <c r="AE40" s="550">
        <v>-37643189</v>
      </c>
      <c r="AF40" s="550">
        <v>-46642728</v>
      </c>
      <c r="AG40" s="550">
        <v>-55642267</v>
      </c>
      <c r="AH40" s="550">
        <v>-41405382</v>
      </c>
      <c r="AI40" s="550">
        <v>329722924</v>
      </c>
      <c r="AJ40" s="550">
        <v>296744225</v>
      </c>
      <c r="AK40" s="550">
        <v>268215964</v>
      </c>
      <c r="AL40" s="550">
        <v>193291355</v>
      </c>
      <c r="AM40" s="1622">
        <v>131581039</v>
      </c>
      <c r="AN40" s="509">
        <v>624260187</v>
      </c>
      <c r="AO40" s="1622">
        <v>607214925</v>
      </c>
      <c r="AP40" s="1623">
        <v>412306506</v>
      </c>
      <c r="AQ40" s="1624">
        <v>224894463</v>
      </c>
    </row>
    <row r="41" spans="1:43" ht="18" customHeight="1">
      <c r="A41" s="1089" t="s">
        <v>264</v>
      </c>
      <c r="B41" s="1364" t="b">
        <f t="shared" ref="B41:B74" si="22">A41=G41</f>
        <v>1</v>
      </c>
      <c r="D41" s="1598" t="s">
        <v>263</v>
      </c>
      <c r="E41" s="1364" t="s">
        <v>258</v>
      </c>
      <c r="F41" s="1366">
        <v>304</v>
      </c>
      <c r="G41" s="1364" t="s">
        <v>264</v>
      </c>
      <c r="H41" s="498">
        <v>2744878162</v>
      </c>
      <c r="I41" s="498">
        <v>25274307</v>
      </c>
      <c r="J41" s="710">
        <v>50030277</v>
      </c>
      <c r="K41" s="710">
        <v>122456663</v>
      </c>
      <c r="L41" s="510">
        <f t="shared" si="16"/>
        <v>2942639409</v>
      </c>
      <c r="N41" s="1473">
        <f>ROUND(SUMIF('1.0'!$D:$D,T_IS!D41,'1.0'!$V:$V),0)</f>
        <v>0</v>
      </c>
      <c r="O41" s="509">
        <f>ROUND(SUMIF('2.0'!$D:$D,T_IS!D41,'2.0'!$V:$V),0)</f>
        <v>0</v>
      </c>
      <c r="P41" s="509">
        <f>ROUND(SUMIF('3.0'!$D:$D,T_IS!D41,'3.0'!$H:$H),0)</f>
        <v>0</v>
      </c>
      <c r="Q41" s="509">
        <f>ROUND(SUMIF('4.0'!$D:$D,T_IS!D41,'4.0'!$V:$V),0)</f>
        <v>0</v>
      </c>
      <c r="R41" s="509">
        <f>ROUND(SUMIF('5.0'!$D:$D,T_IS!D41,'5.0'!$V:$V),0)</f>
        <v>0</v>
      </c>
      <c r="S41" s="509">
        <f>ROUND(SUMIF('6.0'!$D:$D,T_IS!D41,'6.0'!$V:$V),0)</f>
        <v>-12262036</v>
      </c>
      <c r="T41" s="509">
        <f>ROUND(SUMIF('7.0'!$D:$D,T_IS!D41,'7.0'!$V:$V),0)</f>
        <v>0</v>
      </c>
      <c r="U41" s="509">
        <f>ROUND(SUMIF('8.0'!$D:$D,T_IS!F41,'8.0'!$H:$H),0)</f>
        <v>0</v>
      </c>
      <c r="V41" s="1475">
        <f t="shared" si="17"/>
        <v>-12262036</v>
      </c>
      <c r="X41" s="1622">
        <f t="shared" si="18"/>
        <v>2930377373</v>
      </c>
      <c r="Z41" s="1622">
        <f t="shared" si="19"/>
        <v>306438413</v>
      </c>
      <c r="AA41" s="1622">
        <f t="shared" si="20"/>
        <v>318321062</v>
      </c>
      <c r="AB41" s="1622">
        <f t="shared" si="21"/>
        <v>-11882649</v>
      </c>
      <c r="AD41" s="550">
        <v>2623938960</v>
      </c>
      <c r="AE41" s="550">
        <v>2305617898</v>
      </c>
      <c r="AF41" s="550">
        <v>2034872996</v>
      </c>
      <c r="AG41" s="550">
        <v>1732971317</v>
      </c>
      <c r="AH41" s="550">
        <v>755355770</v>
      </c>
      <c r="AI41" s="550">
        <v>4188955460</v>
      </c>
      <c r="AJ41" s="550">
        <v>2313681457</v>
      </c>
      <c r="AK41" s="550">
        <v>2138531081</v>
      </c>
      <c r="AL41" s="550">
        <v>1394560304</v>
      </c>
      <c r="AM41" s="1622">
        <v>668695373</v>
      </c>
      <c r="AN41" s="509">
        <v>3367428459</v>
      </c>
      <c r="AO41" s="1622">
        <v>1933525453</v>
      </c>
      <c r="AP41" s="1623">
        <v>1288720791</v>
      </c>
      <c r="AQ41" s="1624">
        <v>606125687</v>
      </c>
    </row>
    <row r="42" spans="1:43" ht="18" customHeight="1">
      <c r="A42" s="1089" t="s">
        <v>266</v>
      </c>
      <c r="B42" s="1364" t="b">
        <f t="shared" si="22"/>
        <v>1</v>
      </c>
      <c r="D42" s="1598" t="s">
        <v>265</v>
      </c>
      <c r="E42" s="1364" t="s">
        <v>258</v>
      </c>
      <c r="F42" s="1366">
        <v>305</v>
      </c>
      <c r="G42" s="1364" t="s">
        <v>266</v>
      </c>
      <c r="H42" s="498">
        <v>123077284</v>
      </c>
      <c r="I42" s="498">
        <v>894230</v>
      </c>
      <c r="J42" s="710">
        <v>13463711</v>
      </c>
      <c r="K42" s="710">
        <v>46609971</v>
      </c>
      <c r="L42" s="510">
        <f t="shared" si="16"/>
        <v>184045196</v>
      </c>
      <c r="N42" s="1473">
        <f>ROUND(SUMIF('1.0'!$D:$D,T_IS!D42,'1.0'!$V:$V),0)</f>
        <v>0</v>
      </c>
      <c r="O42" s="509">
        <f>ROUND(SUMIF('2.0'!$D:$D,T_IS!D42,'2.0'!$V:$V),0)</f>
        <v>0</v>
      </c>
      <c r="P42" s="509">
        <f>ROUND(SUMIF('3.0'!$D:$D,T_IS!D42,'3.0'!$H:$H),0)</f>
        <v>0</v>
      </c>
      <c r="Q42" s="509">
        <f>ROUND(SUMIF('4.0'!$D:$D,T_IS!D42,'4.0'!$V:$V),0)</f>
        <v>0</v>
      </c>
      <c r="R42" s="509">
        <f>ROUND(SUMIF('5.0'!$D:$D,T_IS!D42,'5.0'!$V:$V),0)</f>
        <v>0</v>
      </c>
      <c r="S42" s="509">
        <f>ROUND(SUMIF('6.0'!$D:$D,T_IS!D42,'6.0'!$V:$V),0)</f>
        <v>0</v>
      </c>
      <c r="T42" s="509">
        <f>ROUND(SUMIF('7.0'!$D:$D,T_IS!D42,'7.0'!$V:$V),0)</f>
        <v>0</v>
      </c>
      <c r="U42" s="509">
        <f>ROUND(SUMIF('8.0'!$D:$D,T_IS!F42,'8.0'!$H:$H),0)</f>
        <v>0</v>
      </c>
      <c r="V42" s="1475">
        <f t="shared" si="17"/>
        <v>0</v>
      </c>
      <c r="X42" s="1622">
        <f t="shared" si="18"/>
        <v>184045196</v>
      </c>
      <c r="Z42" s="1622">
        <f t="shared" si="19"/>
        <v>24172096</v>
      </c>
      <c r="AA42" s="1622">
        <f t="shared" si="20"/>
        <v>15570699</v>
      </c>
      <c r="AB42" s="1622">
        <f t="shared" si="21"/>
        <v>8601397</v>
      </c>
      <c r="AD42" s="550">
        <v>159873100</v>
      </c>
      <c r="AE42" s="550">
        <v>144302401</v>
      </c>
      <c r="AF42" s="550">
        <v>102449997</v>
      </c>
      <c r="AG42" s="550">
        <v>89650755</v>
      </c>
      <c r="AH42" s="550">
        <v>27347603</v>
      </c>
      <c r="AI42" s="550">
        <v>111359045</v>
      </c>
      <c r="AJ42" s="550">
        <v>88125755</v>
      </c>
      <c r="AK42" s="550">
        <v>76143606</v>
      </c>
      <c r="AL42" s="550">
        <v>48071727</v>
      </c>
      <c r="AM42" s="1622">
        <v>19473848</v>
      </c>
      <c r="AN42" s="509">
        <v>160800898</v>
      </c>
      <c r="AO42" s="1622">
        <v>113208606</v>
      </c>
      <c r="AP42" s="1623">
        <v>71547217</v>
      </c>
      <c r="AQ42" s="1624">
        <v>47114816</v>
      </c>
    </row>
    <row r="43" spans="1:43" ht="18" customHeight="1">
      <c r="A43" s="1089" t="s">
        <v>268</v>
      </c>
      <c r="B43" s="1364" t="b">
        <f t="shared" si="22"/>
        <v>1</v>
      </c>
      <c r="D43" s="1598" t="s">
        <v>267</v>
      </c>
      <c r="E43" s="1364" t="s">
        <v>258</v>
      </c>
      <c r="F43" s="1366">
        <v>306</v>
      </c>
      <c r="G43" s="1364" t="s">
        <v>268</v>
      </c>
      <c r="H43" s="498">
        <v>71465748</v>
      </c>
      <c r="I43" s="498">
        <v>1158650</v>
      </c>
      <c r="J43" s="710">
        <v>0</v>
      </c>
      <c r="K43" s="710">
        <v>74981770</v>
      </c>
      <c r="L43" s="510">
        <f t="shared" si="16"/>
        <v>147606168</v>
      </c>
      <c r="N43" s="1473">
        <f>ROUND(SUMIF('1.0'!$D:$D,T_IS!D43,'1.0'!$V:$V),0)</f>
        <v>0</v>
      </c>
      <c r="O43" s="509">
        <f>ROUND(SUMIF('2.0'!$D:$D,T_IS!D43,'2.0'!$V:$V),0)</f>
        <v>0</v>
      </c>
      <c r="P43" s="509">
        <f>ROUND(SUMIF('3.0'!$D:$D,T_IS!D43,'3.0'!$H:$H),0)</f>
        <v>0</v>
      </c>
      <c r="Q43" s="509">
        <f>ROUND(SUMIF('4.0'!$D:$D,T_IS!D43,'4.0'!$V:$V),0)</f>
        <v>0</v>
      </c>
      <c r="R43" s="509">
        <f>ROUND(SUMIF('5.0'!$D:$D,T_IS!D43,'5.0'!$V:$V),0)</f>
        <v>0</v>
      </c>
      <c r="S43" s="509">
        <f>ROUND(SUMIF('6.0'!$D:$D,T_IS!D43,'6.0'!$V:$V),0)</f>
        <v>0</v>
      </c>
      <c r="T43" s="509">
        <f>ROUND(SUMIF('7.0'!$D:$D,T_IS!D43,'7.0'!$V:$V),0)</f>
        <v>0</v>
      </c>
      <c r="U43" s="509">
        <f>ROUND(SUMIF('8.0'!$D:$D,T_IS!F43,'8.0'!$H:$H),0)</f>
        <v>0</v>
      </c>
      <c r="V43" s="1475">
        <f t="shared" si="17"/>
        <v>0</v>
      </c>
      <c r="X43" s="1622">
        <f t="shared" si="18"/>
        <v>147606168</v>
      </c>
      <c r="Z43" s="1622">
        <f t="shared" si="19"/>
        <v>17603338</v>
      </c>
      <c r="AA43" s="1622">
        <f t="shared" si="20"/>
        <v>18849854</v>
      </c>
      <c r="AB43" s="1622">
        <f t="shared" si="21"/>
        <v>-1246516</v>
      </c>
      <c r="AD43" s="550">
        <v>130002830</v>
      </c>
      <c r="AE43" s="550">
        <v>111152976</v>
      </c>
      <c r="AF43" s="550">
        <v>99888926</v>
      </c>
      <c r="AG43" s="550">
        <v>84119860</v>
      </c>
      <c r="AH43" s="550">
        <v>30864677</v>
      </c>
      <c r="AI43" s="550">
        <v>80690950</v>
      </c>
      <c r="AJ43" s="550">
        <v>53533351</v>
      </c>
      <c r="AK43" s="550">
        <v>48931982</v>
      </c>
      <c r="AL43" s="550">
        <v>26366473</v>
      </c>
      <c r="AM43" s="1622">
        <v>12285971</v>
      </c>
      <c r="AN43" s="509">
        <v>74742706</v>
      </c>
      <c r="AO43" s="1622">
        <v>48959779</v>
      </c>
      <c r="AP43" s="1623">
        <v>30926691</v>
      </c>
      <c r="AQ43" s="1624">
        <v>21537169</v>
      </c>
    </row>
    <row r="44" spans="1:43" ht="18" customHeight="1">
      <c r="A44" s="1089" t="s">
        <v>270</v>
      </c>
      <c r="B44" s="1364" t="b">
        <f t="shared" si="22"/>
        <v>1</v>
      </c>
      <c r="D44" s="1598" t="s">
        <v>269</v>
      </c>
      <c r="E44" s="1364" t="s">
        <v>258</v>
      </c>
      <c r="F44" s="1366">
        <v>307</v>
      </c>
      <c r="G44" s="1364" t="s">
        <v>270</v>
      </c>
      <c r="H44" s="498">
        <v>157854526</v>
      </c>
      <c r="I44" s="498">
        <v>687011</v>
      </c>
      <c r="J44" s="710">
        <v>13078542</v>
      </c>
      <c r="K44" s="710">
        <v>10193945</v>
      </c>
      <c r="L44" s="510">
        <f t="shared" si="16"/>
        <v>181814024</v>
      </c>
      <c r="N44" s="1473">
        <f>ROUND(SUMIF('1.0'!$D:$D,T_IS!D44,'1.0'!$V:$V),0)</f>
        <v>0</v>
      </c>
      <c r="O44" s="509">
        <f>ROUND(SUMIF('2.0'!$D:$D,T_IS!D44,'2.0'!$V:$V),0)</f>
        <v>0</v>
      </c>
      <c r="P44" s="509">
        <f>ROUND(SUMIF('3.0'!$D:$D,T_IS!D44,'3.0'!$H:$H),0)</f>
        <v>0</v>
      </c>
      <c r="Q44" s="509">
        <f>ROUND(SUMIF('4.0'!$D:$D,T_IS!D44,'4.0'!$V:$V),0)</f>
        <v>0</v>
      </c>
      <c r="R44" s="509">
        <f>ROUND(SUMIF('5.0'!$D:$D,T_IS!D44,'5.0'!$V:$V),0)</f>
        <v>0</v>
      </c>
      <c r="S44" s="509">
        <f>ROUND(SUMIF('6.0'!$D:$D,T_IS!D44,'6.0'!$V:$V),0)</f>
        <v>-8320000</v>
      </c>
      <c r="T44" s="509">
        <f>ROUND(SUMIF('7.0'!$D:$D,T_IS!D44,'7.0'!$V:$V),0)</f>
        <v>0</v>
      </c>
      <c r="U44" s="509">
        <f>ROUND(SUMIF('8.0'!$D:$D,T_IS!F44,'8.0'!$H:$H),0)</f>
        <v>0</v>
      </c>
      <c r="V44" s="1475">
        <f t="shared" si="17"/>
        <v>-8320000</v>
      </c>
      <c r="X44" s="1622">
        <f t="shared" si="18"/>
        <v>173494024</v>
      </c>
      <c r="Z44" s="1622">
        <f t="shared" si="19"/>
        <v>5877871</v>
      </c>
      <c r="AA44" s="1622">
        <f t="shared" si="20"/>
        <v>10901189</v>
      </c>
      <c r="AB44" s="1622">
        <f t="shared" si="21"/>
        <v>-5023318</v>
      </c>
      <c r="AD44" s="550">
        <v>167616153</v>
      </c>
      <c r="AE44" s="550">
        <v>156714964</v>
      </c>
      <c r="AF44" s="550">
        <v>136149809</v>
      </c>
      <c r="AG44" s="550">
        <v>117362957</v>
      </c>
      <c r="AH44" s="550">
        <v>60491694</v>
      </c>
      <c r="AI44" s="550">
        <v>247316594</v>
      </c>
      <c r="AJ44" s="550">
        <v>205144354</v>
      </c>
      <c r="AK44" s="550">
        <v>184410002</v>
      </c>
      <c r="AL44" s="550">
        <v>119890130</v>
      </c>
      <c r="AM44" s="1622">
        <v>60525511</v>
      </c>
      <c r="AN44" s="509">
        <v>261944781</v>
      </c>
      <c r="AO44" s="1622">
        <v>199358425</v>
      </c>
      <c r="AP44" s="1623">
        <v>141294395</v>
      </c>
      <c r="AQ44" s="1624">
        <v>74377005</v>
      </c>
    </row>
    <row r="45" spans="1:43" ht="18" customHeight="1">
      <c r="A45" s="1089" t="s">
        <v>272</v>
      </c>
      <c r="B45" s="1364" t="b">
        <f t="shared" si="22"/>
        <v>1</v>
      </c>
      <c r="D45" s="1598" t="s">
        <v>271</v>
      </c>
      <c r="E45" s="1364" t="s">
        <v>258</v>
      </c>
      <c r="F45" s="1366">
        <v>308</v>
      </c>
      <c r="G45" s="1364" t="s">
        <v>272</v>
      </c>
      <c r="H45" s="498">
        <v>40736061</v>
      </c>
      <c r="I45" s="498">
        <v>1361218</v>
      </c>
      <c r="J45" s="710">
        <v>1224807</v>
      </c>
      <c r="K45" s="710">
        <v>4660170</v>
      </c>
      <c r="L45" s="510">
        <f t="shared" si="16"/>
        <v>47982256</v>
      </c>
      <c r="N45" s="1473">
        <f>ROUND(SUMIF('1.0'!$D:$D,T_IS!D45,'1.0'!$V:$V),0)</f>
        <v>0</v>
      </c>
      <c r="O45" s="509">
        <f>ROUND(SUMIF('2.0'!$D:$D,T_IS!D45,'2.0'!$V:$V),0)</f>
        <v>0</v>
      </c>
      <c r="P45" s="509">
        <f>ROUND(SUMIF('3.0'!$D:$D,T_IS!D45,'3.0'!$H:$H),0)</f>
        <v>0</v>
      </c>
      <c r="Q45" s="509">
        <f>ROUND(SUMIF('4.0'!$D:$D,T_IS!D45,'4.0'!$V:$V),0)</f>
        <v>0</v>
      </c>
      <c r="R45" s="509">
        <f>ROUND(SUMIF('5.0'!$D:$D,T_IS!D45,'5.0'!$V:$V),0)</f>
        <v>0</v>
      </c>
      <c r="S45" s="509">
        <f>ROUND(SUMIF('6.0'!$D:$D,T_IS!D45,'6.0'!$V:$V),0)</f>
        <v>0</v>
      </c>
      <c r="T45" s="509">
        <f>ROUND(SUMIF('7.0'!$D:$D,T_IS!D45,'7.0'!$V:$V),0)</f>
        <v>0</v>
      </c>
      <c r="U45" s="509">
        <f>ROUND(SUMIF('8.0'!$D:$D,T_IS!F45,'8.0'!$H:$H),0)</f>
        <v>0</v>
      </c>
      <c r="V45" s="1475">
        <f t="shared" si="17"/>
        <v>0</v>
      </c>
      <c r="X45" s="1622">
        <f t="shared" si="18"/>
        <v>47982256</v>
      </c>
      <c r="Z45" s="1622">
        <f t="shared" si="19"/>
        <v>3886913</v>
      </c>
      <c r="AA45" s="1622">
        <f t="shared" si="20"/>
        <v>4243767</v>
      </c>
      <c r="AB45" s="1622">
        <f t="shared" si="21"/>
        <v>-356854</v>
      </c>
      <c r="AD45" s="550">
        <v>44095343</v>
      </c>
      <c r="AE45" s="550">
        <v>39851576</v>
      </c>
      <c r="AF45" s="550">
        <v>33807943</v>
      </c>
      <c r="AG45" s="550">
        <v>25747658</v>
      </c>
      <c r="AH45" s="550">
        <v>17793737</v>
      </c>
      <c r="AI45" s="550">
        <v>48181441</v>
      </c>
      <c r="AJ45" s="550">
        <v>42566732</v>
      </c>
      <c r="AK45" s="550">
        <v>37983927</v>
      </c>
      <c r="AL45" s="550">
        <v>21714360</v>
      </c>
      <c r="AM45" s="1622">
        <v>11454167</v>
      </c>
      <c r="AN45" s="509">
        <v>71626799</v>
      </c>
      <c r="AO45" s="1622">
        <v>56927821</v>
      </c>
      <c r="AP45" s="1623">
        <v>32730191</v>
      </c>
      <c r="AQ45" s="1624">
        <v>21051554</v>
      </c>
    </row>
    <row r="46" spans="1:43" ht="18" customHeight="1">
      <c r="A46" s="1089" t="s">
        <v>274</v>
      </c>
      <c r="B46" s="1364" t="b">
        <f t="shared" si="22"/>
        <v>1</v>
      </c>
      <c r="D46" s="1598" t="s">
        <v>273</v>
      </c>
      <c r="E46" s="1364" t="s">
        <v>258</v>
      </c>
      <c r="F46" s="1366">
        <v>309</v>
      </c>
      <c r="G46" s="1364" t="s">
        <v>274</v>
      </c>
      <c r="H46" s="498">
        <v>118426889</v>
      </c>
      <c r="I46" s="498">
        <v>15780290</v>
      </c>
      <c r="J46" s="710">
        <v>62915</v>
      </c>
      <c r="K46" s="710">
        <v>1024099</v>
      </c>
      <c r="L46" s="510">
        <f t="shared" si="16"/>
        <v>135294193</v>
      </c>
      <c r="N46" s="1473">
        <f>ROUND(SUMIF('1.0'!$D:$D,T_IS!D46,'1.0'!$V:$V),0)</f>
        <v>0</v>
      </c>
      <c r="O46" s="509">
        <f>ROUND(SUMIF('2.0'!$D:$D,T_IS!D46,'2.0'!$V:$V),0)</f>
        <v>0</v>
      </c>
      <c r="P46" s="509">
        <f>ROUND(SUMIF('3.0'!$D:$D,T_IS!D46,'3.0'!$H:$H),0)</f>
        <v>0</v>
      </c>
      <c r="Q46" s="509">
        <f>ROUND(SUMIF('4.0'!$D:$D,T_IS!D46,'4.0'!$V:$V),0)</f>
        <v>0</v>
      </c>
      <c r="R46" s="509">
        <f>ROUND(SUMIF('5.0'!$D:$D,T_IS!D46,'5.0'!$V:$V),0)</f>
        <v>0</v>
      </c>
      <c r="S46" s="509">
        <f>ROUND(SUMIF('6.0'!$D:$D,T_IS!D46,'6.0'!$V:$V),0)</f>
        <v>0</v>
      </c>
      <c r="T46" s="509">
        <f>ROUND(SUMIF('7.0'!$D:$D,T_IS!D46,'7.0'!$V:$V),0)</f>
        <v>0</v>
      </c>
      <c r="U46" s="509">
        <f>ROUND(SUMIF('8.0'!$D:$D,T_IS!F46,'8.0'!$H:$H),0)</f>
        <v>0</v>
      </c>
      <c r="V46" s="1475">
        <f t="shared" si="17"/>
        <v>0</v>
      </c>
      <c r="X46" s="1622">
        <f t="shared" si="18"/>
        <v>135294193</v>
      </c>
      <c r="Z46" s="1622">
        <f t="shared" si="19"/>
        <v>10372685</v>
      </c>
      <c r="AA46" s="1622">
        <f t="shared" si="20"/>
        <v>22246557</v>
      </c>
      <c r="AB46" s="1622">
        <f t="shared" si="21"/>
        <v>-11873872</v>
      </c>
      <c r="AD46" s="550">
        <v>124921508</v>
      </c>
      <c r="AE46" s="550">
        <v>102674951</v>
      </c>
      <c r="AF46" s="550">
        <v>89700288</v>
      </c>
      <c r="AG46" s="550">
        <v>79827815</v>
      </c>
      <c r="AH46" s="550">
        <v>39144083</v>
      </c>
      <c r="AI46" s="550">
        <v>123949964</v>
      </c>
      <c r="AJ46" s="550">
        <v>108428668</v>
      </c>
      <c r="AK46" s="550">
        <v>100526083</v>
      </c>
      <c r="AL46" s="550">
        <v>61881428</v>
      </c>
      <c r="AM46" s="1622">
        <v>29083362</v>
      </c>
      <c r="AN46" s="509">
        <v>68952379</v>
      </c>
      <c r="AO46" s="1622">
        <v>47682492</v>
      </c>
      <c r="AP46" s="1623">
        <v>20889466</v>
      </c>
      <c r="AQ46" s="1819">
        <v>-3590514</v>
      </c>
    </row>
    <row r="47" spans="1:43" s="1552" customFormat="1" ht="18" customHeight="1">
      <c r="A47" s="1089" t="s">
        <v>621</v>
      </c>
      <c r="B47" s="1364" t="b">
        <f t="shared" si="22"/>
        <v>1</v>
      </c>
      <c r="D47" s="1630">
        <v>629120</v>
      </c>
      <c r="E47" s="1552" t="s">
        <v>258</v>
      </c>
      <c r="F47" s="1631">
        <v>31001</v>
      </c>
      <c r="G47" s="1552" t="s">
        <v>621</v>
      </c>
      <c r="H47" s="498">
        <v>16124810</v>
      </c>
      <c r="I47" s="498">
        <v>0</v>
      </c>
      <c r="J47" s="710">
        <v>0</v>
      </c>
      <c r="K47" s="710">
        <v>0</v>
      </c>
      <c r="L47" s="510">
        <f t="shared" si="16"/>
        <v>16124810</v>
      </c>
      <c r="N47" s="1473">
        <f>ROUND(SUMIF('1.0'!$D:$D,T_IS!D47,'1.0'!$V:$V),0)</f>
        <v>0</v>
      </c>
      <c r="O47" s="509">
        <f>ROUND(SUMIF('2.0'!$D:$D,T_IS!D47,'2.0'!$V:$V),0)</f>
        <v>0</v>
      </c>
      <c r="P47" s="509">
        <f>ROUND(SUMIF('3.0'!$D:$D,T_IS!D47,'3.0'!$H:$H),0)</f>
        <v>0</v>
      </c>
      <c r="Q47" s="509">
        <f>ROUND(SUMIF('4.0'!$D:$D,T_IS!D47,'4.0'!$V:$V),0)</f>
        <v>0</v>
      </c>
      <c r="R47" s="509">
        <f>ROUND(SUMIF('5.0'!$D:$D,T_IS!D47,'5.0'!$V:$V),0)</f>
        <v>0</v>
      </c>
      <c r="S47" s="509">
        <f>ROUND(SUMIF('6.0'!$D:$D,T_IS!D47,'6.0'!$V:$V),0)</f>
        <v>0</v>
      </c>
      <c r="T47" s="509">
        <f>ROUND(SUMIF('7.0'!$D:$D,T_IS!D47,'7.0'!$V:$V),0)</f>
        <v>0</v>
      </c>
      <c r="U47" s="509">
        <f>ROUND(SUMIF('8.0'!$D:$D,T_IS!F47,'8.0'!$H:$H),0)</f>
        <v>0</v>
      </c>
      <c r="V47" s="1475">
        <f t="shared" si="17"/>
        <v>0</v>
      </c>
      <c r="X47" s="1622">
        <f t="shared" si="18"/>
        <v>16124810</v>
      </c>
      <c r="Z47" s="1622">
        <f t="shared" si="19"/>
        <v>1612481</v>
      </c>
      <c r="AA47" s="1622">
        <f t="shared" si="20"/>
        <v>1612481</v>
      </c>
      <c r="AB47" s="1622">
        <f t="shared" si="21"/>
        <v>0</v>
      </c>
      <c r="AD47" s="550">
        <v>14512329</v>
      </c>
      <c r="AE47" s="550">
        <v>12899848</v>
      </c>
      <c r="AF47" s="550">
        <v>11287367</v>
      </c>
      <c r="AG47" s="550">
        <v>9674886</v>
      </c>
      <c r="AH47" s="550">
        <v>4837443</v>
      </c>
      <c r="AI47" s="550">
        <v>19349772</v>
      </c>
      <c r="AJ47" s="550">
        <v>16124810</v>
      </c>
      <c r="AK47" s="550">
        <v>14512329</v>
      </c>
      <c r="AL47" s="550">
        <v>9674886</v>
      </c>
      <c r="AM47" s="1622">
        <v>4837443</v>
      </c>
      <c r="AN47" s="509">
        <v>21094052</v>
      </c>
      <c r="AO47" s="1622">
        <v>16256609</v>
      </c>
      <c r="AP47" s="1623">
        <v>11419166</v>
      </c>
      <c r="AQ47" s="1624">
        <v>6581723</v>
      </c>
    </row>
    <row r="48" spans="1:43" s="1552" customFormat="1" ht="18" customHeight="1">
      <c r="A48" s="1089" t="s">
        <v>622</v>
      </c>
      <c r="B48" s="1364" t="b">
        <f t="shared" si="22"/>
        <v>1</v>
      </c>
      <c r="D48" s="1630">
        <v>629140</v>
      </c>
      <c r="E48" s="1552" t="s">
        <v>258</v>
      </c>
      <c r="F48" s="1631">
        <v>310</v>
      </c>
      <c r="G48" s="1552" t="s">
        <v>622</v>
      </c>
      <c r="H48" s="498">
        <v>541578853</v>
      </c>
      <c r="I48" s="498">
        <v>2637559</v>
      </c>
      <c r="J48" s="710">
        <v>1871530</v>
      </c>
      <c r="K48" s="710">
        <v>7962062</v>
      </c>
      <c r="L48" s="510">
        <f t="shared" si="16"/>
        <v>554050004</v>
      </c>
      <c r="N48" s="1473">
        <f>ROUND(SUMIF('1.0'!$D:$D,T_IS!D48,'1.0'!$V:$V),0)</f>
        <v>0</v>
      </c>
      <c r="O48" s="509">
        <f>ROUND(SUMIF('2.0'!$D:$D,T_IS!D48,'2.0'!$V:$V),0)</f>
        <v>0</v>
      </c>
      <c r="P48" s="509">
        <f>ROUND(SUMIF('3.0'!$D:$D,T_IS!D48,'3.0'!$H:$H),0)</f>
        <v>0</v>
      </c>
      <c r="Q48" s="509">
        <f>ROUND(SUMIF('4.0'!$D:$D,T_IS!D48,'4.0'!$V:$V),0)</f>
        <v>0</v>
      </c>
      <c r="R48" s="509">
        <f>ROUND(SUMIF('5.0'!$D:$D,T_IS!D48,'5.0'!$V:$V),0)</f>
        <v>0</v>
      </c>
      <c r="S48" s="509">
        <f>ROUND(SUMIF('6.0'!$D:$D,T_IS!D48,'6.0'!$V:$V),0)</f>
        <v>0</v>
      </c>
      <c r="T48" s="509">
        <f>ROUND(SUMIF('7.0'!$D:$D,T_IS!D48,'7.0'!$V:$V),0)</f>
        <v>0</v>
      </c>
      <c r="U48" s="509">
        <f>ROUND(SUMIF('8.0'!$D:$D,T_IS!F48,'8.0'!$H:$H),0)</f>
        <v>0</v>
      </c>
      <c r="V48" s="1475">
        <f t="shared" si="17"/>
        <v>0</v>
      </c>
      <c r="X48" s="1622">
        <f t="shared" si="18"/>
        <v>554050004</v>
      </c>
      <c r="Z48" s="1622">
        <f t="shared" si="19"/>
        <v>55443807</v>
      </c>
      <c r="AA48" s="1622">
        <f t="shared" si="20"/>
        <v>55092781</v>
      </c>
      <c r="AB48" s="1622">
        <f t="shared" si="21"/>
        <v>351026</v>
      </c>
      <c r="AD48" s="550">
        <v>498606197</v>
      </c>
      <c r="AE48" s="550">
        <v>443513416</v>
      </c>
      <c r="AF48" s="550">
        <v>387991567</v>
      </c>
      <c r="AG48" s="550">
        <v>332798768</v>
      </c>
      <c r="AH48" s="550">
        <v>166724816</v>
      </c>
      <c r="AI48" s="550">
        <v>731352880</v>
      </c>
      <c r="AJ48" s="550">
        <v>426220360</v>
      </c>
      <c r="AK48" s="550">
        <v>380642268</v>
      </c>
      <c r="AL48" s="550">
        <v>252801377</v>
      </c>
      <c r="AM48" s="1622">
        <v>127483142</v>
      </c>
      <c r="AN48" s="509">
        <v>448460207</v>
      </c>
      <c r="AO48" s="1622">
        <v>336640843</v>
      </c>
      <c r="AP48" s="1623">
        <v>233476159</v>
      </c>
      <c r="AQ48" s="1624">
        <v>114600570</v>
      </c>
    </row>
    <row r="49" spans="1:43" s="1552" customFormat="1" ht="18" customHeight="1">
      <c r="A49" s="1089" t="s">
        <v>623</v>
      </c>
      <c r="B49" s="1364" t="b">
        <f t="shared" si="22"/>
        <v>1</v>
      </c>
      <c r="D49" s="1630">
        <v>629150</v>
      </c>
      <c r="E49" s="1552" t="s">
        <v>258</v>
      </c>
      <c r="F49" s="1631">
        <v>310</v>
      </c>
      <c r="G49" s="1552" t="s">
        <v>623</v>
      </c>
      <c r="H49" s="498">
        <v>66501820</v>
      </c>
      <c r="I49" s="498">
        <v>650833</v>
      </c>
      <c r="J49" s="710">
        <v>0</v>
      </c>
      <c r="K49" s="710">
        <v>0</v>
      </c>
      <c r="L49" s="510">
        <f t="shared" si="16"/>
        <v>67152653</v>
      </c>
      <c r="N49" s="1473">
        <f>ROUND(SUMIF('1.0'!$D:$D,T_IS!D49,'1.0'!$V:$V),0)</f>
        <v>0</v>
      </c>
      <c r="O49" s="509">
        <f>ROUND(SUMIF('2.0'!$D:$D,T_IS!D49,'2.0'!$V:$V),0)</f>
        <v>0</v>
      </c>
      <c r="P49" s="509">
        <f>ROUND(SUMIF('3.0'!$D:$D,T_IS!D49,'3.0'!$H:$H),0)</f>
        <v>0</v>
      </c>
      <c r="Q49" s="509">
        <f>ROUND(SUMIF('4.0'!$D:$D,T_IS!D49,'4.0'!$V:$V),0)</f>
        <v>0</v>
      </c>
      <c r="R49" s="509">
        <f>ROUND(SUMIF('5.0'!$D:$D,T_IS!D49,'5.0'!$V:$V),0)</f>
        <v>0</v>
      </c>
      <c r="S49" s="509">
        <f>ROUND(SUMIF('6.0'!$D:$D,T_IS!D49,'6.0'!$V:$V),0)</f>
        <v>0</v>
      </c>
      <c r="T49" s="509">
        <f>ROUND(SUMIF('7.0'!$D:$D,T_IS!D49,'7.0'!$V:$V),0)</f>
        <v>0</v>
      </c>
      <c r="U49" s="509">
        <f>ROUND(SUMIF('8.0'!$D:$D,T_IS!F49,'8.0'!$H:$H),0)</f>
        <v>0</v>
      </c>
      <c r="V49" s="1475">
        <f t="shared" si="17"/>
        <v>0</v>
      </c>
      <c r="X49" s="1622">
        <f t="shared" si="18"/>
        <v>67152653</v>
      </c>
      <c r="Z49" s="1622">
        <f t="shared" si="19"/>
        <v>5961005</v>
      </c>
      <c r="AA49" s="1622">
        <f t="shared" si="20"/>
        <v>6788802</v>
      </c>
      <c r="AB49" s="1622">
        <f t="shared" si="21"/>
        <v>-827797</v>
      </c>
      <c r="AD49" s="550">
        <v>61191648</v>
      </c>
      <c r="AE49" s="550">
        <v>54402846</v>
      </c>
      <c r="AF49" s="550">
        <v>47614053</v>
      </c>
      <c r="AG49" s="550">
        <v>40825260</v>
      </c>
      <c r="AH49" s="550">
        <v>20458880</v>
      </c>
      <c r="AI49" s="550">
        <v>29510320</v>
      </c>
      <c r="AJ49" s="550">
        <v>15355420</v>
      </c>
      <c r="AK49" s="550">
        <v>9769878</v>
      </c>
      <c r="AL49" s="550">
        <v>6513252</v>
      </c>
      <c r="AM49" s="1622">
        <v>3256626</v>
      </c>
      <c r="AN49" s="509">
        <v>26533526</v>
      </c>
      <c r="AO49" s="1622">
        <v>23276061</v>
      </c>
      <c r="AP49" s="1623">
        <v>20018616</v>
      </c>
      <c r="AQ49" s="1624">
        <v>13239042</v>
      </c>
    </row>
    <row r="50" spans="1:43" s="1552" customFormat="1" ht="18" customHeight="1">
      <c r="A50" s="1089" t="s">
        <v>624</v>
      </c>
      <c r="B50" s="1364" t="b">
        <f t="shared" si="22"/>
        <v>1</v>
      </c>
      <c r="D50" s="1630">
        <v>651100</v>
      </c>
      <c r="E50" s="1552" t="s">
        <v>258</v>
      </c>
      <c r="F50" s="1631">
        <v>335</v>
      </c>
      <c r="G50" s="1552" t="s">
        <v>624</v>
      </c>
      <c r="H50" s="498">
        <v>1803070203</v>
      </c>
      <c r="I50" s="498">
        <v>161561460</v>
      </c>
      <c r="J50" s="710">
        <v>12250132</v>
      </c>
      <c r="K50" s="710">
        <v>303413132</v>
      </c>
      <c r="L50" s="510">
        <f t="shared" si="16"/>
        <v>2280294927</v>
      </c>
      <c r="N50" s="1473">
        <f>ROUND(SUMIF('1.0'!$D:$D,T_IS!D50,'1.0'!$V:$V),0)</f>
        <v>0</v>
      </c>
      <c r="O50" s="509">
        <f>ROUND(SUMIF('2.0'!$D:$D,T_IS!D50,'2.0'!$V:$V),0)</f>
        <v>0</v>
      </c>
      <c r="P50" s="509">
        <f>ROUND(SUMIF('3.0'!$D:$D,T_IS!D50,'3.0'!$H:$H),0)</f>
        <v>0</v>
      </c>
      <c r="Q50" s="509">
        <f>ROUND(SUMIF('4.0'!$D:$D,T_IS!D50,'4.0'!$V:$V),0)</f>
        <v>0</v>
      </c>
      <c r="R50" s="509">
        <f>ROUND(SUMIF('5.0'!$D:$D,T_IS!D50,'5.0'!$V:$V),0)</f>
        <v>0</v>
      </c>
      <c r="S50" s="509">
        <f>ROUND(SUMIF('6.0'!$D:$D,T_IS!D50,'6.0'!$V:$V),0)</f>
        <v>0</v>
      </c>
      <c r="T50" s="509">
        <f>ROUND(SUMIF('7.0'!$D:$D,T_IS!D50,'7.0'!$V:$V),0)</f>
        <v>0</v>
      </c>
      <c r="U50" s="509">
        <f>ROUND(SUMIF('8.0'!$D:$D,T_IS!F50,'8.0'!$H:$H),0)</f>
        <v>0</v>
      </c>
      <c r="V50" s="1475">
        <f t="shared" si="17"/>
        <v>0</v>
      </c>
      <c r="X50" s="1622">
        <f t="shared" si="18"/>
        <v>2280294927</v>
      </c>
      <c r="Z50" s="1622">
        <f t="shared" si="19"/>
        <v>226370872</v>
      </c>
      <c r="AA50" s="1622">
        <f t="shared" si="20"/>
        <v>220288969</v>
      </c>
      <c r="AB50" s="1622">
        <f t="shared" si="21"/>
        <v>6081903</v>
      </c>
      <c r="AD50" s="550">
        <v>2053924055</v>
      </c>
      <c r="AE50" s="550">
        <v>1833635086</v>
      </c>
      <c r="AF50" s="550">
        <v>1613409747</v>
      </c>
      <c r="AG50" s="550">
        <v>1395671214</v>
      </c>
      <c r="AH50" s="550">
        <v>699324246</v>
      </c>
      <c r="AI50" s="550">
        <v>2581438513</v>
      </c>
      <c r="AJ50" s="550">
        <v>2116943423</v>
      </c>
      <c r="AK50" s="550">
        <v>1892354999</v>
      </c>
      <c r="AL50" s="550">
        <v>1249516809</v>
      </c>
      <c r="AM50" s="1622">
        <v>641228390</v>
      </c>
      <c r="AN50" s="509">
        <v>2293823046</v>
      </c>
      <c r="AO50" s="1622">
        <v>1815563936</v>
      </c>
      <c r="AP50" s="1623">
        <v>1176416849</v>
      </c>
      <c r="AQ50" s="1624">
        <v>595878188</v>
      </c>
    </row>
    <row r="51" spans="1:43" s="1552" customFormat="1" ht="18" customHeight="1">
      <c r="A51" s="1089" t="s">
        <v>625</v>
      </c>
      <c r="B51" s="1364" t="b">
        <f t="shared" si="22"/>
        <v>1</v>
      </c>
      <c r="D51" s="1630">
        <v>651110</v>
      </c>
      <c r="E51" s="1552" t="s">
        <v>258</v>
      </c>
      <c r="F51" s="1631">
        <v>334</v>
      </c>
      <c r="G51" s="1552" t="s">
        <v>625</v>
      </c>
      <c r="H51" s="498">
        <v>41139648</v>
      </c>
      <c r="I51" s="498">
        <v>0</v>
      </c>
      <c r="J51" s="710">
        <v>0</v>
      </c>
      <c r="K51" s="710">
        <v>0</v>
      </c>
      <c r="L51" s="510">
        <f t="shared" si="16"/>
        <v>41139648</v>
      </c>
      <c r="N51" s="1473">
        <f>ROUND(SUMIF('1.0'!$D:$D,T_IS!D51,'1.0'!$V:$V),0)</f>
        <v>0</v>
      </c>
      <c r="O51" s="509">
        <f>ROUND(SUMIF('2.0'!$D:$D,T_IS!D51,'2.0'!$V:$V),0)</f>
        <v>0</v>
      </c>
      <c r="P51" s="509">
        <f>ROUND(SUMIF('3.0'!$D:$D,T_IS!D51,'3.0'!$H:$H),0)</f>
        <v>0</v>
      </c>
      <c r="Q51" s="509">
        <f>ROUND(SUMIF('4.0'!$D:$D,T_IS!D51,'4.0'!$V:$V),0)</f>
        <v>0</v>
      </c>
      <c r="R51" s="509">
        <f>ROUND(SUMIF('5.0'!$D:$D,T_IS!D51,'5.0'!$V:$V),0)</f>
        <v>0</v>
      </c>
      <c r="S51" s="509">
        <f>ROUND(SUMIF('6.0'!$D:$D,T_IS!D51,'6.0'!$V:$V),0)</f>
        <v>0</v>
      </c>
      <c r="T51" s="509">
        <f>ROUND(SUMIF('7.0'!$D:$D,T_IS!D51,'7.0'!$V:$V),0)</f>
        <v>0</v>
      </c>
      <c r="U51" s="509">
        <f>ROUND(SUMIF('8.0'!$D:$D,T_IS!F51,'8.0'!$H:$H),0)</f>
        <v>0</v>
      </c>
      <c r="V51" s="1475">
        <f t="shared" si="17"/>
        <v>0</v>
      </c>
      <c r="X51" s="1622">
        <f t="shared" si="18"/>
        <v>41139648</v>
      </c>
      <c r="Z51" s="1622">
        <f t="shared" si="19"/>
        <v>4178130</v>
      </c>
      <c r="AA51" s="1622">
        <f t="shared" si="20"/>
        <v>4178128</v>
      </c>
      <c r="AB51" s="1622">
        <f t="shared" si="21"/>
        <v>2</v>
      </c>
      <c r="AD51" s="550">
        <v>36961518</v>
      </c>
      <c r="AE51" s="550">
        <v>32783390</v>
      </c>
      <c r="AF51" s="550">
        <v>28605260</v>
      </c>
      <c r="AG51" s="550">
        <v>24427132</v>
      </c>
      <c r="AH51" s="550">
        <v>11892744</v>
      </c>
      <c r="AI51" s="550">
        <v>43603850</v>
      </c>
      <c r="AJ51" s="550">
        <v>36530889</v>
      </c>
      <c r="AK51" s="550">
        <v>32994408</v>
      </c>
      <c r="AL51" s="550">
        <v>21974616</v>
      </c>
      <c r="AM51" s="1622">
        <v>12831345</v>
      </c>
      <c r="AN51" s="509">
        <v>38021107</v>
      </c>
      <c r="AO51" s="1622">
        <v>28731481</v>
      </c>
      <c r="AP51" s="1623">
        <v>19441855</v>
      </c>
      <c r="AQ51" s="1624">
        <v>10152229</v>
      </c>
    </row>
    <row r="52" spans="1:43" s="1552" customFormat="1" ht="18" customHeight="1">
      <c r="A52" s="1089" t="s">
        <v>2598</v>
      </c>
      <c r="B52" s="1364" t="b">
        <f t="shared" si="22"/>
        <v>1</v>
      </c>
      <c r="D52" s="1630">
        <v>651120</v>
      </c>
      <c r="E52" s="1632" t="s">
        <v>258</v>
      </c>
      <c r="F52" s="1434">
        <v>336</v>
      </c>
      <c r="G52" s="1432" t="s">
        <v>2442</v>
      </c>
      <c r="H52" s="498">
        <v>40147175</v>
      </c>
      <c r="I52" s="498">
        <v>0</v>
      </c>
      <c r="J52" s="710">
        <v>0</v>
      </c>
      <c r="K52" s="710">
        <v>0</v>
      </c>
      <c r="L52" s="510">
        <f t="shared" si="16"/>
        <v>40147175</v>
      </c>
      <c r="N52" s="1473">
        <f>ROUND(SUMIF('1.0'!$D:$D,T_IS!D52,'1.0'!$V:$V),0)</f>
        <v>0</v>
      </c>
      <c r="O52" s="509">
        <f>ROUND(SUMIF('2.0'!$D:$D,T_IS!D52,'2.0'!$V:$V),0)</f>
        <v>0</v>
      </c>
      <c r="P52" s="509">
        <f>ROUND(SUMIF('3.0'!$D:$D,T_IS!D52,'3.0'!$H:$H),0)</f>
        <v>0</v>
      </c>
      <c r="Q52" s="509">
        <f>ROUND(SUMIF('4.0'!$D:$D,T_IS!D52,'4.0'!$V:$V),0)</f>
        <v>0</v>
      </c>
      <c r="R52" s="509">
        <f>ROUND(SUMIF('5.0'!$D:$D,T_IS!D52,'5.0'!$V:$V),0)</f>
        <v>0</v>
      </c>
      <c r="S52" s="509">
        <f>ROUND(SUMIF('6.0'!$D:$D,T_IS!D52,'6.0'!$V:$V),0)</f>
        <v>0</v>
      </c>
      <c r="T52" s="509">
        <f>ROUND(SUMIF('7.0'!$D:$D,T_IS!D52,'7.0'!$V:$V),0)</f>
        <v>0</v>
      </c>
      <c r="U52" s="509">
        <f>ROUND(SUMIF('8.0'!$D:$D,T_IS!F52,'8.0'!$H:$H),0)</f>
        <v>0</v>
      </c>
      <c r="V52" s="1475">
        <f t="shared" si="17"/>
        <v>0</v>
      </c>
      <c r="X52" s="1622">
        <f t="shared" si="18"/>
        <v>40147175</v>
      </c>
      <c r="Z52" s="1622">
        <f t="shared" si="19"/>
        <v>4014717</v>
      </c>
      <c r="AA52" s="1622">
        <f t="shared" si="20"/>
        <v>4014718</v>
      </c>
      <c r="AB52" s="1622">
        <f t="shared" si="21"/>
        <v>-1</v>
      </c>
      <c r="AD52" s="550">
        <v>36132458</v>
      </c>
      <c r="AE52" s="550">
        <v>32117740</v>
      </c>
      <c r="AF52" s="550">
        <v>28103023</v>
      </c>
      <c r="AG52" s="550">
        <v>24088305</v>
      </c>
      <c r="AH52" s="550">
        <v>12044153</v>
      </c>
      <c r="AI52" s="550">
        <v>48176614</v>
      </c>
      <c r="AJ52" s="550">
        <v>40147179</v>
      </c>
      <c r="AK52" s="550">
        <v>36132462</v>
      </c>
      <c r="AL52" s="550">
        <v>24088308</v>
      </c>
      <c r="AM52" s="1622">
        <v>12044154</v>
      </c>
      <c r="AN52" s="509">
        <v>4014718</v>
      </c>
      <c r="AO52" s="1622"/>
      <c r="AP52" s="1623">
        <v>0</v>
      </c>
      <c r="AQ52" s="1624">
        <v>0</v>
      </c>
    </row>
    <row r="53" spans="1:43" ht="18" customHeight="1">
      <c r="A53" s="1089" t="s">
        <v>386</v>
      </c>
      <c r="B53" s="1364" t="b">
        <f t="shared" si="22"/>
        <v>1</v>
      </c>
      <c r="D53" s="1598" t="s">
        <v>390</v>
      </c>
      <c r="E53" s="1364" t="s">
        <v>258</v>
      </c>
      <c r="F53" s="1366">
        <v>326</v>
      </c>
      <c r="G53" s="1364" t="s">
        <v>386</v>
      </c>
      <c r="H53" s="498">
        <v>3003065200</v>
      </c>
      <c r="I53" s="498">
        <v>1488998</v>
      </c>
      <c r="J53" s="710">
        <v>0</v>
      </c>
      <c r="K53" s="710">
        <v>12328255</v>
      </c>
      <c r="L53" s="510">
        <f t="shared" si="16"/>
        <v>3016882453</v>
      </c>
      <c r="N53" s="1473">
        <f>ROUND(SUMIF('1.0'!$D:$D,T_IS!D53,'1.0'!$V:$V),0)</f>
        <v>0</v>
      </c>
      <c r="O53" s="509">
        <f>ROUND(SUMIF('2.0'!$D:$D,T_IS!D53,'2.0'!$V:$V),0)</f>
        <v>0</v>
      </c>
      <c r="P53" s="509">
        <f>ROUND(SUMIF('3.0'!$D:$D,T_IS!D53,'3.0'!$H:$H),0)</f>
        <v>0</v>
      </c>
      <c r="Q53" s="509">
        <f>ROUND(SUMIF('4.0'!$D:$D,T_IS!D53,'4.0'!$V:$V),0)</f>
        <v>0</v>
      </c>
      <c r="R53" s="509">
        <f>ROUND(SUMIF('5.0'!$D:$D,T_IS!D53,'5.0'!$V:$V),0)</f>
        <v>0</v>
      </c>
      <c r="S53" s="509">
        <f>ROUND(SUMIF('6.0'!$D:$D,T_IS!D53,'6.0'!$V:$V),0)</f>
        <v>0</v>
      </c>
      <c r="T53" s="509">
        <f>ROUND(SUMIF('7.0'!$D:$D,T_IS!D53,'7.0'!$V:$V),0)</f>
        <v>0</v>
      </c>
      <c r="U53" s="509">
        <f>ROUND(SUMIF('8.0'!$D:$D,T_IS!F53,'8.0'!$H:$H),0)</f>
        <v>0</v>
      </c>
      <c r="V53" s="1475">
        <f t="shared" si="17"/>
        <v>0</v>
      </c>
      <c r="X53" s="1622">
        <f t="shared" si="18"/>
        <v>3016882453</v>
      </c>
      <c r="Z53" s="1622">
        <f t="shared" si="19"/>
        <v>302643953</v>
      </c>
      <c r="AA53" s="1622">
        <f t="shared" si="20"/>
        <v>286370901</v>
      </c>
      <c r="AB53" s="1622">
        <f t="shared" si="21"/>
        <v>16273052</v>
      </c>
      <c r="AD53" s="550">
        <v>2714238500</v>
      </c>
      <c r="AE53" s="550">
        <v>2427867599</v>
      </c>
      <c r="AF53" s="550">
        <v>2128533771</v>
      </c>
      <c r="AG53" s="550">
        <v>1829300453</v>
      </c>
      <c r="AH53" s="550">
        <v>898394217</v>
      </c>
      <c r="AI53" s="550">
        <v>3872968423</v>
      </c>
      <c r="AJ53" s="550">
        <v>3210282324</v>
      </c>
      <c r="AK53" s="550">
        <v>2889770633</v>
      </c>
      <c r="AL53" s="550">
        <v>1935563251</v>
      </c>
      <c r="AM53" s="1622">
        <v>1038952376</v>
      </c>
      <c r="AN53" s="509">
        <v>6564079983</v>
      </c>
      <c r="AO53" s="1622">
        <v>4974888158</v>
      </c>
      <c r="AP53" s="1623">
        <v>3363696382</v>
      </c>
      <c r="AQ53" s="1624">
        <v>1726057901</v>
      </c>
    </row>
    <row r="54" spans="1:43" ht="18" customHeight="1">
      <c r="A54" s="1089" t="s">
        <v>276</v>
      </c>
      <c r="B54" s="1364" t="b">
        <f t="shared" si="22"/>
        <v>1</v>
      </c>
      <c r="D54" s="1598" t="s">
        <v>275</v>
      </c>
      <c r="E54" s="1364" t="s">
        <v>258</v>
      </c>
      <c r="F54" s="1366">
        <v>311</v>
      </c>
      <c r="G54" s="1364" t="s">
        <v>276</v>
      </c>
      <c r="H54" s="498">
        <v>159878140</v>
      </c>
      <c r="I54" s="498">
        <v>0</v>
      </c>
      <c r="J54" s="710">
        <v>0</v>
      </c>
      <c r="K54" s="710">
        <v>0</v>
      </c>
      <c r="L54" s="510">
        <f t="shared" si="16"/>
        <v>159878140</v>
      </c>
      <c r="N54" s="1473">
        <f>ROUND(SUMIF('1.0'!$D:$D,T_IS!D54,'1.0'!$V:$V),0)</f>
        <v>0</v>
      </c>
      <c r="O54" s="509">
        <f>ROUND(SUMIF('2.0'!$D:$D,T_IS!D54,'2.0'!$V:$V),0)</f>
        <v>0</v>
      </c>
      <c r="P54" s="509">
        <f>ROUND(SUMIF('3.0'!$D:$D,T_IS!D54,'3.0'!$H:$H),0)</f>
        <v>0</v>
      </c>
      <c r="Q54" s="509">
        <f>ROUND(SUMIF('4.0'!$D:$D,T_IS!D54,'4.0'!$V:$V),0)</f>
        <v>0</v>
      </c>
      <c r="R54" s="509">
        <f>ROUND(SUMIF('5.0'!$D:$D,T_IS!D54,'5.0'!$V:$V),0)</f>
        <v>0</v>
      </c>
      <c r="S54" s="509">
        <f>ROUND(SUMIF('6.0'!$D:$D,T_IS!D54,'6.0'!$V:$V),0)</f>
        <v>-23157600</v>
      </c>
      <c r="T54" s="509">
        <f>ROUND(SUMIF('7.0'!$D:$D,T_IS!D54,'7.0'!$V:$V),0)</f>
        <v>0</v>
      </c>
      <c r="U54" s="509">
        <f>ROUND(SUMIF('8.0'!$D:$D,T_IS!F54,'8.0'!$H:$H),0)</f>
        <v>0</v>
      </c>
      <c r="V54" s="1475">
        <f t="shared" si="17"/>
        <v>-23157600</v>
      </c>
      <c r="X54" s="1622">
        <f t="shared" si="18"/>
        <v>136720540</v>
      </c>
      <c r="Z54" s="1622">
        <f t="shared" si="19"/>
        <v>12463477</v>
      </c>
      <c r="AA54" s="1622">
        <f t="shared" si="20"/>
        <v>12649307</v>
      </c>
      <c r="AB54" s="1622">
        <f t="shared" si="21"/>
        <v>-185830</v>
      </c>
      <c r="AD54" s="550">
        <v>124257063</v>
      </c>
      <c r="AE54" s="550">
        <v>111607756</v>
      </c>
      <c r="AF54" s="550">
        <v>99022459</v>
      </c>
      <c r="AG54" s="550">
        <v>86476012</v>
      </c>
      <c r="AH54" s="550">
        <v>43618511</v>
      </c>
      <c r="AI54" s="550">
        <v>255698171</v>
      </c>
      <c r="AJ54" s="550">
        <v>185104843</v>
      </c>
      <c r="AK54" s="550">
        <v>165280692</v>
      </c>
      <c r="AL54" s="550">
        <v>109810899</v>
      </c>
      <c r="AM54" s="1622">
        <v>54961332</v>
      </c>
      <c r="AN54" s="509">
        <v>280231919</v>
      </c>
      <c r="AO54" s="1622">
        <v>189381686</v>
      </c>
      <c r="AP54" s="1623">
        <v>204176901</v>
      </c>
      <c r="AQ54" s="1624">
        <v>103500094</v>
      </c>
    </row>
    <row r="55" spans="1:43" ht="18" customHeight="1">
      <c r="A55" s="1089" t="s">
        <v>1686</v>
      </c>
      <c r="B55" s="1364" t="b">
        <f t="shared" si="22"/>
        <v>1</v>
      </c>
      <c r="D55" s="1598" t="s">
        <v>1834</v>
      </c>
      <c r="E55" s="1364" t="s">
        <v>258</v>
      </c>
      <c r="F55" s="1366">
        <v>31101</v>
      </c>
      <c r="G55" s="1364" t="s">
        <v>1686</v>
      </c>
      <c r="H55" s="498">
        <v>0</v>
      </c>
      <c r="I55" s="498">
        <v>0</v>
      </c>
      <c r="J55" s="710">
        <v>25969584</v>
      </c>
      <c r="K55" s="710">
        <v>0</v>
      </c>
      <c r="L55" s="510">
        <f t="shared" si="16"/>
        <v>25969584</v>
      </c>
      <c r="N55" s="1473">
        <f>ROUND(SUMIF('1.0'!$D:$D,T_IS!D55,'1.0'!$V:$V),0)</f>
        <v>0</v>
      </c>
      <c r="O55" s="509">
        <f>ROUND(SUMIF('2.0'!$D:$D,T_IS!D55,'2.0'!$V:$V),0)</f>
        <v>0</v>
      </c>
      <c r="P55" s="509">
        <f>ROUND(SUMIF('3.0'!$D:$D,T_IS!D55,'3.0'!$H:$H),0)</f>
        <v>0</v>
      </c>
      <c r="Q55" s="509">
        <f>ROUND(SUMIF('4.0'!$D:$D,T_IS!D55,'4.0'!$V:$V),0)</f>
        <v>0</v>
      </c>
      <c r="R55" s="509">
        <f>ROUND(SUMIF('5.0'!$D:$D,T_IS!D55,'5.0'!$V:$V),0)</f>
        <v>0</v>
      </c>
      <c r="S55" s="509">
        <f>ROUND(SUMIF('6.0'!$D:$D,T_IS!D55,'6.0'!$V:$V),0)</f>
        <v>795300</v>
      </c>
      <c r="T55" s="509">
        <f>ROUND(SUMIF('7.0'!$D:$D,T_IS!D55,'7.0'!$V:$V),0)</f>
        <v>0</v>
      </c>
      <c r="U55" s="509">
        <f>ROUND(SUMIF('8.0'!$D:$D,T_IS!F55,'8.0'!$H:$H),0)</f>
        <v>0</v>
      </c>
      <c r="V55" s="1475">
        <f t="shared" si="17"/>
        <v>795300</v>
      </c>
      <c r="X55" s="1622">
        <f t="shared" si="18"/>
        <v>26764884</v>
      </c>
      <c r="Z55" s="1622">
        <f t="shared" si="19"/>
        <v>2417223</v>
      </c>
      <c r="AA55" s="1622">
        <f t="shared" si="20"/>
        <v>2408575</v>
      </c>
      <c r="AB55" s="1622">
        <f t="shared" si="21"/>
        <v>8648</v>
      </c>
      <c r="AD55" s="550">
        <v>24347661</v>
      </c>
      <c r="AE55" s="550">
        <v>21939086</v>
      </c>
      <c r="AF55" s="550">
        <v>19538880</v>
      </c>
      <c r="AG55" s="550">
        <v>17077440</v>
      </c>
      <c r="AH55" s="550">
        <v>8039427</v>
      </c>
      <c r="AI55" s="550">
        <v>41096028</v>
      </c>
      <c r="AJ55" s="550">
        <v>36416943</v>
      </c>
      <c r="AK55" s="550">
        <v>34089796</v>
      </c>
      <c r="AL55" s="550">
        <v>20779229</v>
      </c>
      <c r="AM55" s="1622">
        <v>11647803</v>
      </c>
      <c r="AN55" s="509">
        <v>70594266</v>
      </c>
      <c r="AO55" s="1622">
        <v>49856252</v>
      </c>
      <c r="AP55" s="1623">
        <v>32361713</v>
      </c>
      <c r="AQ55" s="1624">
        <v>13682116</v>
      </c>
    </row>
    <row r="56" spans="1:43" ht="18" customHeight="1">
      <c r="A56" s="1089" t="s">
        <v>1687</v>
      </c>
      <c r="B56" s="1364" t="b">
        <f t="shared" si="22"/>
        <v>1</v>
      </c>
      <c r="D56" s="1598" t="s">
        <v>1836</v>
      </c>
      <c r="E56" s="1364" t="s">
        <v>258</v>
      </c>
      <c r="F56" s="1366">
        <v>31102</v>
      </c>
      <c r="G56" s="1364" t="s">
        <v>1687</v>
      </c>
      <c r="H56" s="498">
        <v>0</v>
      </c>
      <c r="I56" s="498">
        <v>0</v>
      </c>
      <c r="J56" s="710">
        <v>0</v>
      </c>
      <c r="K56" s="710">
        <v>52729110</v>
      </c>
      <c r="L56" s="510">
        <f t="shared" si="16"/>
        <v>52729110</v>
      </c>
      <c r="N56" s="1473">
        <f>ROUND(SUMIF('1.0'!$D:$D,T_IS!D56,'1.0'!$V:$V),0)</f>
        <v>0</v>
      </c>
      <c r="O56" s="509">
        <f>ROUND(SUMIF('2.0'!$D:$D,T_IS!D56,'2.0'!$V:$V),0)</f>
        <v>0</v>
      </c>
      <c r="P56" s="509">
        <f>ROUND(SUMIF('3.0'!$D:$D,T_IS!D56,'3.0'!$H:$H),0)</f>
        <v>0</v>
      </c>
      <c r="Q56" s="509">
        <f>ROUND(SUMIF('4.0'!$D:$D,T_IS!D56,'4.0'!$V:$V),0)</f>
        <v>0</v>
      </c>
      <c r="R56" s="509">
        <f>ROUND(SUMIF('5.0'!$D:$D,T_IS!D56,'5.0'!$V:$V),0)</f>
        <v>0</v>
      </c>
      <c r="S56" s="509">
        <f>ROUND(SUMIF('6.0'!$D:$D,T_IS!D56,'6.0'!$V:$V),0)</f>
        <v>42944336</v>
      </c>
      <c r="T56" s="509">
        <f>ROUND(SUMIF('7.0'!$D:$D,T_IS!D56,'7.0'!$V:$V),0)</f>
        <v>0</v>
      </c>
      <c r="U56" s="509">
        <f>ROUND(SUMIF('8.0'!$D:$D,T_IS!F56,'8.0'!$H:$H),0)</f>
        <v>0</v>
      </c>
      <c r="V56" s="1475">
        <f t="shared" si="17"/>
        <v>42944336</v>
      </c>
      <c r="X56" s="1622">
        <f t="shared" si="18"/>
        <v>95673446</v>
      </c>
      <c r="Z56" s="1622">
        <f t="shared" si="19"/>
        <v>8554398</v>
      </c>
      <c r="AA56" s="1622">
        <f t="shared" si="20"/>
        <v>9741772</v>
      </c>
      <c r="AB56" s="1622">
        <f t="shared" si="21"/>
        <v>-1187374</v>
      </c>
      <c r="AD56" s="550">
        <v>87119048</v>
      </c>
      <c r="AE56" s="550">
        <v>77377276</v>
      </c>
      <c r="AF56" s="550">
        <v>64820027</v>
      </c>
      <c r="AG56" s="550">
        <v>48039128</v>
      </c>
      <c r="AH56" s="550">
        <v>21131432</v>
      </c>
      <c r="AI56" s="550">
        <v>39888703</v>
      </c>
      <c r="AJ56" s="550">
        <v>33252109</v>
      </c>
      <c r="AK56" s="550">
        <v>29971312</v>
      </c>
      <c r="AL56" s="550">
        <v>18546419</v>
      </c>
      <c r="AM56" s="1622">
        <v>9472688</v>
      </c>
      <c r="AN56" s="509">
        <v>37959092</v>
      </c>
      <c r="AO56" s="1622">
        <v>28865267</v>
      </c>
      <c r="AP56" s="1623">
        <v>19433624</v>
      </c>
      <c r="AQ56" s="1624">
        <v>9966818</v>
      </c>
    </row>
    <row r="57" spans="1:43" ht="18" customHeight="1">
      <c r="A57" s="1089" t="s">
        <v>278</v>
      </c>
      <c r="B57" s="1364" t="b">
        <f t="shared" si="22"/>
        <v>1</v>
      </c>
      <c r="D57" s="1598" t="s">
        <v>277</v>
      </c>
      <c r="E57" s="1364" t="s">
        <v>258</v>
      </c>
      <c r="F57" s="1366">
        <v>312</v>
      </c>
      <c r="G57" s="1364" t="s">
        <v>278</v>
      </c>
      <c r="H57" s="498">
        <v>221409827</v>
      </c>
      <c r="I57" s="498">
        <v>0</v>
      </c>
      <c r="J57" s="710">
        <v>0</v>
      </c>
      <c r="K57" s="710">
        <v>0</v>
      </c>
      <c r="L57" s="510">
        <f t="shared" si="16"/>
        <v>221409827</v>
      </c>
      <c r="N57" s="1473">
        <f>ROUND(SUMIF('1.0'!$D:$D,T_IS!D57,'1.0'!$V:$V),0)</f>
        <v>0</v>
      </c>
      <c r="O57" s="509">
        <f>ROUND(SUMIF('2.0'!$D:$D,T_IS!D57,'2.0'!$V:$V),0)</f>
        <v>0</v>
      </c>
      <c r="P57" s="509">
        <f>ROUND(SUMIF('3.0'!$D:$D,T_IS!D57,'3.0'!$H:$H),0)</f>
        <v>0</v>
      </c>
      <c r="Q57" s="509">
        <f>ROUND(SUMIF('4.0'!$D:$D,T_IS!D57,'4.0'!$V:$V),0)</f>
        <v>0</v>
      </c>
      <c r="R57" s="509">
        <f>ROUND(SUMIF('5.0'!$D:$D,T_IS!D57,'5.0'!$V:$V),0)</f>
        <v>0</v>
      </c>
      <c r="S57" s="509">
        <f>ROUND(SUMIF('6.0'!$D:$D,T_IS!D57,'6.0'!$V:$V),0)</f>
        <v>0</v>
      </c>
      <c r="T57" s="509">
        <f>ROUND(SUMIF('7.0'!$D:$D,T_IS!D57,'7.0'!$V:$V),0)</f>
        <v>0</v>
      </c>
      <c r="U57" s="509">
        <f>ROUND(SUMIF('8.0'!$D:$D,T_IS!F57,'8.0'!$H:$H),0)</f>
        <v>0</v>
      </c>
      <c r="V57" s="1475">
        <f t="shared" si="17"/>
        <v>0</v>
      </c>
      <c r="X57" s="1622">
        <f t="shared" si="18"/>
        <v>221409827</v>
      </c>
      <c r="Z57" s="1622">
        <f t="shared" si="19"/>
        <v>21751851</v>
      </c>
      <c r="AA57" s="1622">
        <f t="shared" si="20"/>
        <v>23447902</v>
      </c>
      <c r="AB57" s="1622">
        <f t="shared" si="21"/>
        <v>-1696051</v>
      </c>
      <c r="AD57" s="550">
        <v>199657976</v>
      </c>
      <c r="AE57" s="550">
        <v>176210074</v>
      </c>
      <c r="AF57" s="550">
        <v>150352218</v>
      </c>
      <c r="AG57" s="550">
        <v>128860617</v>
      </c>
      <c r="AH57" s="550">
        <v>67592244</v>
      </c>
      <c r="AI57" s="550">
        <v>263181861</v>
      </c>
      <c r="AJ57" s="550">
        <v>222034582</v>
      </c>
      <c r="AK57" s="550">
        <v>198476784</v>
      </c>
      <c r="AL57" s="550">
        <v>140212661</v>
      </c>
      <c r="AM57" s="1622">
        <v>63663200</v>
      </c>
      <c r="AN57" s="509">
        <v>221476500</v>
      </c>
      <c r="AO57" s="1622">
        <v>167121113</v>
      </c>
      <c r="AP57" s="1623">
        <v>108901499</v>
      </c>
      <c r="AQ57" s="1624">
        <v>53005000</v>
      </c>
    </row>
    <row r="58" spans="1:43" ht="18" customHeight="1">
      <c r="A58" s="1089" t="s">
        <v>280</v>
      </c>
      <c r="B58" s="1364" t="b">
        <f t="shared" si="22"/>
        <v>1</v>
      </c>
      <c r="D58" s="1598" t="s">
        <v>279</v>
      </c>
      <c r="E58" s="1364" t="s">
        <v>258</v>
      </c>
      <c r="F58" s="1366">
        <v>313</v>
      </c>
      <c r="G58" s="1364" t="s">
        <v>280</v>
      </c>
      <c r="H58" s="498">
        <v>19523108</v>
      </c>
      <c r="I58" s="498">
        <v>6423090</v>
      </c>
      <c r="J58" s="710">
        <v>6948193</v>
      </c>
      <c r="K58" s="710">
        <v>1058516</v>
      </c>
      <c r="L58" s="510">
        <f t="shared" si="16"/>
        <v>33952907</v>
      </c>
      <c r="N58" s="1473">
        <f>ROUND(SUMIF('1.0'!$D:$D,T_IS!D58,'1.0'!$V:$V),0)</f>
        <v>0</v>
      </c>
      <c r="O58" s="509">
        <f>ROUND(SUMIF('2.0'!$D:$D,T_IS!D58,'2.0'!$V:$V),0)</f>
        <v>0</v>
      </c>
      <c r="P58" s="509">
        <f>ROUND(SUMIF('3.0'!$D:$D,T_IS!D58,'3.0'!$H:$H),0)</f>
        <v>0</v>
      </c>
      <c r="Q58" s="509">
        <f>ROUND(SUMIF('4.0'!$D:$D,T_IS!D58,'4.0'!$V:$V),0)</f>
        <v>0</v>
      </c>
      <c r="R58" s="509">
        <f>ROUND(SUMIF('5.0'!$D:$D,T_IS!D58,'5.0'!$V:$V),0)</f>
        <v>0</v>
      </c>
      <c r="S58" s="509">
        <f>ROUND(SUMIF('6.0'!$D:$D,T_IS!D58,'6.0'!$V:$V),0)</f>
        <v>0</v>
      </c>
      <c r="T58" s="509">
        <f>ROUND(SUMIF('7.0'!$D:$D,T_IS!D58,'7.0'!$V:$V),0)</f>
        <v>0</v>
      </c>
      <c r="U58" s="509">
        <f>ROUND(SUMIF('8.0'!$D:$D,T_IS!F58,'8.0'!$H:$H),0)</f>
        <v>0</v>
      </c>
      <c r="V58" s="1475">
        <f t="shared" si="17"/>
        <v>0</v>
      </c>
      <c r="X58" s="1622">
        <f t="shared" si="18"/>
        <v>33952907</v>
      </c>
      <c r="Z58" s="1622">
        <f t="shared" si="19"/>
        <v>2330847</v>
      </c>
      <c r="AA58" s="1622">
        <f t="shared" si="20"/>
        <v>1641272</v>
      </c>
      <c r="AB58" s="1622">
        <f t="shared" si="21"/>
        <v>689575</v>
      </c>
      <c r="AD58" s="550">
        <v>31622060</v>
      </c>
      <c r="AE58" s="550">
        <v>29980788</v>
      </c>
      <c r="AF58" s="550">
        <v>26916477</v>
      </c>
      <c r="AG58" s="550">
        <v>25169569</v>
      </c>
      <c r="AH58" s="550">
        <v>14259242</v>
      </c>
      <c r="AI58" s="550">
        <v>61499683</v>
      </c>
      <c r="AJ58" s="550">
        <v>39503184</v>
      </c>
      <c r="AK58" s="550">
        <v>33515484</v>
      </c>
      <c r="AL58" s="550">
        <v>24091218</v>
      </c>
      <c r="AM58" s="1622">
        <v>15443921</v>
      </c>
      <c r="AN58" s="509">
        <v>38076323</v>
      </c>
      <c r="AO58" s="1622">
        <v>21151528</v>
      </c>
      <c r="AP58" s="1623">
        <v>14273109</v>
      </c>
      <c r="AQ58" s="1624">
        <v>9487208</v>
      </c>
    </row>
    <row r="59" spans="1:43" ht="18" customHeight="1">
      <c r="A59" s="1089" t="s">
        <v>282</v>
      </c>
      <c r="B59" s="1364" t="b">
        <f t="shared" si="22"/>
        <v>1</v>
      </c>
      <c r="D59" s="1598" t="s">
        <v>281</v>
      </c>
      <c r="E59" s="1364" t="s">
        <v>258</v>
      </c>
      <c r="F59" s="1366">
        <v>314</v>
      </c>
      <c r="G59" s="1364" t="s">
        <v>282</v>
      </c>
      <c r="H59" s="498">
        <v>26202963</v>
      </c>
      <c r="I59" s="498">
        <v>0</v>
      </c>
      <c r="J59" s="710">
        <v>10725684</v>
      </c>
      <c r="K59" s="710">
        <v>0</v>
      </c>
      <c r="L59" s="510">
        <f t="shared" si="16"/>
        <v>36928647</v>
      </c>
      <c r="N59" s="1473">
        <f>ROUND(SUMIF('1.0'!$D:$D,T_IS!D59,'1.0'!$V:$V),0)</f>
        <v>0</v>
      </c>
      <c r="O59" s="509">
        <f>ROUND(SUMIF('2.0'!$D:$D,T_IS!D59,'2.0'!$V:$V),0)</f>
        <v>0</v>
      </c>
      <c r="P59" s="509">
        <f>ROUND(SUMIF('3.0'!$D:$D,T_IS!D59,'3.0'!$H:$H),0)</f>
        <v>0</v>
      </c>
      <c r="Q59" s="509">
        <f>ROUND(SUMIF('4.0'!$D:$D,T_IS!D59,'4.0'!$V:$V),0)</f>
        <v>0</v>
      </c>
      <c r="R59" s="509">
        <f>ROUND(SUMIF('5.0'!$D:$D,T_IS!D59,'5.0'!$V:$V),0)</f>
        <v>0</v>
      </c>
      <c r="S59" s="509">
        <f>ROUND(SUMIF('6.0'!$D:$D,T_IS!D59,'6.0'!$V:$V),0)</f>
        <v>0</v>
      </c>
      <c r="T59" s="509">
        <f>ROUND(SUMIF('7.0'!$D:$D,T_IS!D59,'7.0'!$V:$V),0)</f>
        <v>0</v>
      </c>
      <c r="U59" s="509">
        <f>ROUND(SUMIF('8.0'!$D:$D,T_IS!F59,'8.0'!$H:$H),0)</f>
        <v>0</v>
      </c>
      <c r="V59" s="1475">
        <f t="shared" si="17"/>
        <v>0</v>
      </c>
      <c r="X59" s="1622">
        <f t="shared" si="18"/>
        <v>36928647</v>
      </c>
      <c r="Z59" s="1622">
        <f t="shared" si="19"/>
        <v>5693790</v>
      </c>
      <c r="AA59" s="1622">
        <f t="shared" si="20"/>
        <v>2733864</v>
      </c>
      <c r="AB59" s="1622">
        <f t="shared" si="21"/>
        <v>2959926</v>
      </c>
      <c r="AD59" s="550">
        <v>31234857</v>
      </c>
      <c r="AE59" s="550">
        <v>28500993</v>
      </c>
      <c r="AF59" s="550">
        <v>23980860</v>
      </c>
      <c r="AG59" s="550">
        <v>21929963</v>
      </c>
      <c r="AH59" s="550">
        <v>10288631</v>
      </c>
      <c r="AI59" s="550">
        <v>33280399</v>
      </c>
      <c r="AJ59" s="550">
        <v>26102871</v>
      </c>
      <c r="AK59" s="550">
        <v>23272449</v>
      </c>
      <c r="AL59" s="550">
        <v>14076006</v>
      </c>
      <c r="AM59" s="1622">
        <v>6016633</v>
      </c>
      <c r="AN59" s="509">
        <v>32664446</v>
      </c>
      <c r="AO59" s="1622">
        <v>22071603</v>
      </c>
      <c r="AP59" s="1623">
        <v>13334124</v>
      </c>
      <c r="AQ59" s="1624">
        <v>5803577</v>
      </c>
    </row>
    <row r="60" spans="1:43" ht="18" customHeight="1">
      <c r="A60" s="1089" t="s">
        <v>284</v>
      </c>
      <c r="B60" s="1364" t="b">
        <f t="shared" si="22"/>
        <v>1</v>
      </c>
      <c r="D60" s="1598" t="s">
        <v>283</v>
      </c>
      <c r="E60" s="1364" t="s">
        <v>258</v>
      </c>
      <c r="F60" s="1366">
        <v>315</v>
      </c>
      <c r="G60" s="1364" t="s">
        <v>284</v>
      </c>
      <c r="H60" s="498">
        <v>1873673999</v>
      </c>
      <c r="I60" s="498">
        <v>0</v>
      </c>
      <c r="J60" s="710">
        <v>0</v>
      </c>
      <c r="K60" s="710">
        <v>0</v>
      </c>
      <c r="L60" s="510">
        <f t="shared" si="16"/>
        <v>1873673999</v>
      </c>
      <c r="N60" s="1473">
        <f>ROUND(SUMIF('1.0'!$D:$D,T_IS!D60,'1.0'!$V:$V),0)</f>
        <v>0</v>
      </c>
      <c r="O60" s="509">
        <f>ROUND(SUMIF('2.0'!$D:$D,T_IS!D60,'2.0'!$V:$V),0)</f>
        <v>0</v>
      </c>
      <c r="P60" s="509">
        <f>ROUND(SUMIF('3.0'!$D:$D,T_IS!D60,'3.0'!$H:$H),0)</f>
        <v>0</v>
      </c>
      <c r="Q60" s="509">
        <f>ROUND(SUMIF('4.0'!$D:$D,T_IS!D60,'4.0'!$V:$V),0)</f>
        <v>0</v>
      </c>
      <c r="R60" s="509">
        <f>ROUND(SUMIF('5.0'!$D:$D,T_IS!D60,'5.0'!$V:$V),0)</f>
        <v>0</v>
      </c>
      <c r="S60" s="509">
        <f>ROUND(SUMIF('6.0'!$D:$D,T_IS!D60,'6.0'!$V:$V),0)</f>
        <v>0</v>
      </c>
      <c r="T60" s="509">
        <f>ROUND(SUMIF('7.0'!$D:$D,T_IS!D60,'7.0'!$V:$V),0)</f>
        <v>0</v>
      </c>
      <c r="U60" s="509">
        <f>ROUND(SUMIF('8.0'!$D:$D,T_IS!F60,'8.0'!$H:$H),0)</f>
        <v>0</v>
      </c>
      <c r="V60" s="1475">
        <f t="shared" si="17"/>
        <v>0</v>
      </c>
      <c r="X60" s="1622">
        <f t="shared" si="18"/>
        <v>1873673999</v>
      </c>
      <c r="Z60" s="1622">
        <f t="shared" si="19"/>
        <v>188419398</v>
      </c>
      <c r="AA60" s="1622">
        <f t="shared" si="20"/>
        <v>184283259</v>
      </c>
      <c r="AB60" s="1622">
        <f t="shared" si="21"/>
        <v>4136139</v>
      </c>
      <c r="AD60" s="550">
        <v>1685254601</v>
      </c>
      <c r="AE60" s="550">
        <v>1500971342</v>
      </c>
      <c r="AF60" s="550">
        <v>1355232856</v>
      </c>
      <c r="AG60" s="550">
        <v>1169410321</v>
      </c>
      <c r="AH60" s="550">
        <v>571578104</v>
      </c>
      <c r="AI60" s="550">
        <v>2455549971</v>
      </c>
      <c r="AJ60" s="550">
        <v>1899334931</v>
      </c>
      <c r="AK60" s="550">
        <v>1641055039</v>
      </c>
      <c r="AL60" s="550">
        <v>1103832436</v>
      </c>
      <c r="AM60" s="1622">
        <v>591678254</v>
      </c>
      <c r="AN60" s="509">
        <v>2152821079</v>
      </c>
      <c r="AO60" s="1622">
        <v>1488146980</v>
      </c>
      <c r="AP60" s="1623">
        <v>825762963</v>
      </c>
      <c r="AQ60" s="1624">
        <v>412371238</v>
      </c>
    </row>
    <row r="61" spans="1:43" ht="18" customHeight="1">
      <c r="A61" s="1089" t="s">
        <v>286</v>
      </c>
      <c r="B61" s="1364" t="b">
        <f t="shared" si="22"/>
        <v>1</v>
      </c>
      <c r="D61" s="1598" t="s">
        <v>285</v>
      </c>
      <c r="E61" s="1364" t="s">
        <v>258</v>
      </c>
      <c r="F61" s="1366">
        <v>316</v>
      </c>
      <c r="G61" s="1364" t="s">
        <v>286</v>
      </c>
      <c r="H61" s="498">
        <v>182144009</v>
      </c>
      <c r="I61" s="498">
        <v>101474</v>
      </c>
      <c r="J61" s="710">
        <v>4251383</v>
      </c>
      <c r="K61" s="710">
        <v>34992879</v>
      </c>
      <c r="L61" s="510">
        <f t="shared" si="16"/>
        <v>221489745</v>
      </c>
      <c r="N61" s="1473">
        <f>ROUND(SUMIF('1.0'!$D:$D,T_IS!D61,'1.0'!$V:$V),0)</f>
        <v>0</v>
      </c>
      <c r="O61" s="509">
        <f>ROUND(SUMIF('2.0'!$D:$D,T_IS!D61,'2.0'!$V:$V),0)</f>
        <v>0</v>
      </c>
      <c r="P61" s="509">
        <f>ROUND(SUMIF('3.0'!$D:$D,T_IS!D61,'3.0'!$H:$H),0)</f>
        <v>0</v>
      </c>
      <c r="Q61" s="509">
        <f>ROUND(SUMIF('4.0'!$D:$D,T_IS!D61,'4.0'!$V:$V),0)</f>
        <v>0</v>
      </c>
      <c r="R61" s="509">
        <f>ROUND(SUMIF('5.0'!$D:$D,T_IS!D61,'5.0'!$V:$V),0)</f>
        <v>0</v>
      </c>
      <c r="S61" s="509">
        <f>ROUND(SUMIF('6.0'!$D:$D,T_IS!D61,'6.0'!$V:$V),0)</f>
        <v>0</v>
      </c>
      <c r="T61" s="509">
        <f>ROUND(SUMIF('7.0'!$D:$D,T_IS!D61,'7.0'!$V:$V),0)</f>
        <v>0</v>
      </c>
      <c r="U61" s="509">
        <f>ROUND(SUMIF('8.0'!$D:$D,T_IS!F61,'8.0'!$H:$H),0)</f>
        <v>0</v>
      </c>
      <c r="V61" s="1475">
        <f t="shared" si="17"/>
        <v>0</v>
      </c>
      <c r="X61" s="1622">
        <f t="shared" si="18"/>
        <v>221489745</v>
      </c>
      <c r="Z61" s="1622">
        <f t="shared" si="19"/>
        <v>14673268</v>
      </c>
      <c r="AA61" s="1622">
        <f t="shared" si="20"/>
        <v>15656211</v>
      </c>
      <c r="AB61" s="1622">
        <f t="shared" si="21"/>
        <v>-982943</v>
      </c>
      <c r="AD61" s="550">
        <v>206816477</v>
      </c>
      <c r="AE61" s="550">
        <v>191160266</v>
      </c>
      <c r="AF61" s="550">
        <v>172243702</v>
      </c>
      <c r="AG61" s="550">
        <v>148946307</v>
      </c>
      <c r="AH61" s="550">
        <v>82571618</v>
      </c>
      <c r="AI61" s="550">
        <v>335866210</v>
      </c>
      <c r="AJ61" s="550">
        <v>261394020</v>
      </c>
      <c r="AK61" s="550">
        <v>233093597</v>
      </c>
      <c r="AL61" s="550">
        <v>148954706</v>
      </c>
      <c r="AM61" s="1622">
        <v>42293431</v>
      </c>
      <c r="AN61" s="509">
        <v>269515934</v>
      </c>
      <c r="AO61" s="1622">
        <v>219135659</v>
      </c>
      <c r="AP61" s="1623">
        <v>131624343</v>
      </c>
      <c r="AQ61" s="1624">
        <v>64492218</v>
      </c>
    </row>
    <row r="62" spans="1:43" ht="18" customHeight="1">
      <c r="A62" s="1089" t="s">
        <v>288</v>
      </c>
      <c r="B62" s="1364" t="b">
        <f t="shared" si="22"/>
        <v>1</v>
      </c>
      <c r="D62" s="1598" t="s">
        <v>287</v>
      </c>
      <c r="E62" s="1364" t="s">
        <v>258</v>
      </c>
      <c r="F62" s="1366">
        <v>317</v>
      </c>
      <c r="G62" s="1364" t="s">
        <v>288</v>
      </c>
      <c r="H62" s="498">
        <v>76043224</v>
      </c>
      <c r="I62" s="498">
        <v>0</v>
      </c>
      <c r="J62" s="710">
        <v>0</v>
      </c>
      <c r="K62" s="710">
        <v>0</v>
      </c>
      <c r="L62" s="510">
        <f t="shared" si="16"/>
        <v>76043224</v>
      </c>
      <c r="N62" s="1473">
        <f>ROUND(SUMIF('1.0'!$D:$D,T_IS!D62,'1.0'!$V:$V),0)</f>
        <v>0</v>
      </c>
      <c r="O62" s="509">
        <f>ROUND(SUMIF('2.0'!$D:$D,T_IS!D62,'2.0'!$V:$V),0)</f>
        <v>0</v>
      </c>
      <c r="P62" s="509">
        <f>ROUND(SUMIF('3.0'!$D:$D,T_IS!D62,'3.0'!$H:$H),0)</f>
        <v>0</v>
      </c>
      <c r="Q62" s="509">
        <f>ROUND(SUMIF('4.0'!$D:$D,T_IS!D62,'4.0'!$V:$V),0)</f>
        <v>0</v>
      </c>
      <c r="R62" s="509">
        <f>ROUND(SUMIF('5.0'!$D:$D,T_IS!D62,'5.0'!$V:$V),0)</f>
        <v>0</v>
      </c>
      <c r="S62" s="509">
        <f>ROUND(SUMIF('6.0'!$D:$D,T_IS!D62,'6.0'!$V:$V),0)</f>
        <v>0</v>
      </c>
      <c r="T62" s="509">
        <f>ROUND(SUMIF('7.0'!$D:$D,T_IS!D62,'7.0'!$V:$V),0)</f>
        <v>0</v>
      </c>
      <c r="U62" s="509">
        <f>ROUND(SUMIF('8.0'!$D:$D,T_IS!F62,'8.0'!$H:$H),0)</f>
        <v>0</v>
      </c>
      <c r="V62" s="1475">
        <f t="shared" si="17"/>
        <v>0</v>
      </c>
      <c r="X62" s="1622">
        <f t="shared" si="18"/>
        <v>76043224</v>
      </c>
      <c r="Z62" s="1622">
        <f t="shared" si="19"/>
        <v>2284482</v>
      </c>
      <c r="AA62" s="1622">
        <f t="shared" si="20"/>
        <v>9328437</v>
      </c>
      <c r="AB62" s="1622">
        <f t="shared" si="21"/>
        <v>-7043955</v>
      </c>
      <c r="AD62" s="550">
        <v>73758742</v>
      </c>
      <c r="AE62" s="550">
        <v>64430305</v>
      </c>
      <c r="AF62" s="550">
        <v>56115305</v>
      </c>
      <c r="AG62" s="550">
        <v>51655305</v>
      </c>
      <c r="AH62" s="550">
        <v>25894364</v>
      </c>
      <c r="AI62" s="550">
        <v>87931018</v>
      </c>
      <c r="AJ62" s="550">
        <v>69587935</v>
      </c>
      <c r="AK62" s="550">
        <v>63237354</v>
      </c>
      <c r="AL62" s="550">
        <v>43397339</v>
      </c>
      <c r="AM62" s="1622">
        <v>18285547</v>
      </c>
      <c r="AN62" s="509">
        <v>95049509</v>
      </c>
      <c r="AO62" s="1622">
        <v>49884923</v>
      </c>
      <c r="AP62" s="1623">
        <v>32326692</v>
      </c>
      <c r="AQ62" s="1624">
        <v>17139619</v>
      </c>
    </row>
    <row r="63" spans="1:43" ht="18" customHeight="1">
      <c r="A63" s="1089" t="s">
        <v>290</v>
      </c>
      <c r="B63" s="1364" t="b">
        <f t="shared" si="22"/>
        <v>1</v>
      </c>
      <c r="D63" s="1598" t="s">
        <v>289</v>
      </c>
      <c r="E63" s="1364" t="s">
        <v>258</v>
      </c>
      <c r="F63" s="1366">
        <v>318</v>
      </c>
      <c r="G63" s="1364" t="s">
        <v>290</v>
      </c>
      <c r="H63" s="498">
        <v>36205295</v>
      </c>
      <c r="I63" s="498">
        <v>0</v>
      </c>
      <c r="J63" s="710">
        <v>0</v>
      </c>
      <c r="K63" s="710">
        <v>4002106</v>
      </c>
      <c r="L63" s="510">
        <f t="shared" si="16"/>
        <v>40207401</v>
      </c>
      <c r="N63" s="1473">
        <f>ROUND(SUMIF('1.0'!$D:$D,T_IS!D63,'1.0'!$V:$V),0)</f>
        <v>0</v>
      </c>
      <c r="O63" s="509">
        <f>ROUND(SUMIF('2.0'!$D:$D,T_IS!D63,'2.0'!$V:$V),0)</f>
        <v>0</v>
      </c>
      <c r="P63" s="509">
        <f>ROUND(SUMIF('3.0'!$D:$D,T_IS!D63,'3.0'!$H:$H),0)</f>
        <v>0</v>
      </c>
      <c r="Q63" s="509">
        <f>ROUND(SUMIF('4.0'!$D:$D,T_IS!D63,'4.0'!$V:$V),0)</f>
        <v>0</v>
      </c>
      <c r="R63" s="509">
        <f>ROUND(SUMIF('5.0'!$D:$D,T_IS!D63,'5.0'!$V:$V),0)</f>
        <v>0</v>
      </c>
      <c r="S63" s="509">
        <f>ROUND(SUMIF('6.0'!$D:$D,T_IS!D63,'6.0'!$V:$V),0)</f>
        <v>0</v>
      </c>
      <c r="T63" s="509">
        <f>ROUND(SUMIF('7.0'!$D:$D,T_IS!D63,'7.0'!$V:$V),0)</f>
        <v>0</v>
      </c>
      <c r="U63" s="509">
        <f>ROUND(SUMIF('8.0'!$D:$D,T_IS!F63,'8.0'!$H:$H),0)</f>
        <v>0</v>
      </c>
      <c r="V63" s="1475">
        <f t="shared" si="17"/>
        <v>0</v>
      </c>
      <c r="X63" s="1622">
        <f t="shared" si="18"/>
        <v>40207401</v>
      </c>
      <c r="Z63" s="1622">
        <f t="shared" si="19"/>
        <v>1420279</v>
      </c>
      <c r="AA63" s="1622">
        <f t="shared" si="20"/>
        <v>2779813</v>
      </c>
      <c r="AB63" s="1622">
        <f t="shared" si="21"/>
        <v>-1359534</v>
      </c>
      <c r="AD63" s="550">
        <v>38787122</v>
      </c>
      <c r="AE63" s="550">
        <v>36007309</v>
      </c>
      <c r="AF63" s="550">
        <v>31866044</v>
      </c>
      <c r="AG63" s="550">
        <v>30894974</v>
      </c>
      <c r="AH63" s="550">
        <v>22350445</v>
      </c>
      <c r="AI63" s="550">
        <v>24098860</v>
      </c>
      <c r="AJ63" s="550">
        <v>11098087</v>
      </c>
      <c r="AK63" s="550">
        <v>9452233</v>
      </c>
      <c r="AL63" s="550">
        <v>5459185</v>
      </c>
      <c r="AM63" s="1622">
        <v>2856845</v>
      </c>
      <c r="AN63" s="509">
        <v>49223609</v>
      </c>
      <c r="AO63" s="1622">
        <v>28259778</v>
      </c>
      <c r="AP63" s="1623">
        <v>14508224</v>
      </c>
      <c r="AQ63" s="1624">
        <v>5519048</v>
      </c>
    </row>
    <row r="64" spans="1:43" ht="18" customHeight="1">
      <c r="A64" s="1089" t="s">
        <v>292</v>
      </c>
      <c r="B64" s="1364" t="b">
        <f t="shared" si="22"/>
        <v>1</v>
      </c>
      <c r="D64" s="1598" t="s">
        <v>291</v>
      </c>
      <c r="E64" s="1364" t="s">
        <v>258</v>
      </c>
      <c r="F64" s="1366">
        <v>319</v>
      </c>
      <c r="G64" s="1364" t="s">
        <v>292</v>
      </c>
      <c r="H64" s="498">
        <v>4188917</v>
      </c>
      <c r="I64" s="498">
        <v>65100</v>
      </c>
      <c r="J64" s="710">
        <v>0</v>
      </c>
      <c r="K64" s="710">
        <v>988189</v>
      </c>
      <c r="L64" s="510">
        <f t="shared" si="16"/>
        <v>5242206</v>
      </c>
      <c r="N64" s="1473">
        <f>ROUND(SUMIF('1.0'!$D:$D,T_IS!D64,'1.0'!$V:$V),0)</f>
        <v>0</v>
      </c>
      <c r="O64" s="509">
        <f>ROUND(SUMIF('2.0'!$D:$D,T_IS!D64,'2.0'!$V:$V),0)</f>
        <v>0</v>
      </c>
      <c r="P64" s="509">
        <f>ROUND(SUMIF('3.0'!$D:$D,T_IS!D64,'3.0'!$H:$H),0)</f>
        <v>0</v>
      </c>
      <c r="Q64" s="509">
        <f>ROUND(SUMIF('4.0'!$D:$D,T_IS!D64,'4.0'!$V:$V),0)</f>
        <v>0</v>
      </c>
      <c r="R64" s="509">
        <f>ROUND(SUMIF('5.0'!$D:$D,T_IS!D64,'5.0'!$V:$V),0)</f>
        <v>0</v>
      </c>
      <c r="S64" s="509">
        <f>ROUND(SUMIF('6.0'!$D:$D,T_IS!D64,'6.0'!$V:$V),0)</f>
        <v>0</v>
      </c>
      <c r="T64" s="509">
        <f>ROUND(SUMIF('7.0'!$D:$D,T_IS!D64,'7.0'!$V:$V),0)</f>
        <v>0</v>
      </c>
      <c r="U64" s="509">
        <f>ROUND(SUMIF('8.0'!$D:$D,T_IS!F64,'8.0'!$H:$H),0)</f>
        <v>0</v>
      </c>
      <c r="V64" s="1475">
        <f t="shared" si="17"/>
        <v>0</v>
      </c>
      <c r="X64" s="1622">
        <f t="shared" si="18"/>
        <v>5242206</v>
      </c>
      <c r="Z64" s="1622">
        <f t="shared" si="19"/>
        <v>598827</v>
      </c>
      <c r="AA64" s="1622">
        <f t="shared" si="20"/>
        <v>334453</v>
      </c>
      <c r="AB64" s="1622">
        <f t="shared" si="21"/>
        <v>264374</v>
      </c>
      <c r="AD64" s="550">
        <v>4643379</v>
      </c>
      <c r="AE64" s="550">
        <v>4308926</v>
      </c>
      <c r="AF64" s="550">
        <v>3554978</v>
      </c>
      <c r="AG64" s="550">
        <v>3127666</v>
      </c>
      <c r="AH64" s="550">
        <v>1667367</v>
      </c>
      <c r="AI64" s="550">
        <v>5334208</v>
      </c>
      <c r="AJ64" s="550">
        <v>2082429</v>
      </c>
      <c r="AK64" s="550">
        <v>1968195</v>
      </c>
      <c r="AL64" s="550">
        <v>1305214</v>
      </c>
      <c r="AM64" s="1622">
        <v>573965</v>
      </c>
      <c r="AN64" s="509">
        <v>11041081</v>
      </c>
      <c r="AO64" s="1622">
        <v>7347669</v>
      </c>
      <c r="AP64" s="1623">
        <v>5041273</v>
      </c>
      <c r="AQ64" s="1624">
        <v>4234808</v>
      </c>
    </row>
    <row r="65" spans="1:43" ht="18" customHeight="1">
      <c r="A65" s="1089" t="s">
        <v>294</v>
      </c>
      <c r="B65" s="1364" t="b">
        <f t="shared" si="22"/>
        <v>1</v>
      </c>
      <c r="D65" s="1598" t="s">
        <v>293</v>
      </c>
      <c r="E65" s="1364" t="s">
        <v>258</v>
      </c>
      <c r="F65" s="1366">
        <v>320</v>
      </c>
      <c r="G65" s="1364" t="s">
        <v>294</v>
      </c>
      <c r="H65" s="498">
        <v>53049003</v>
      </c>
      <c r="I65" s="498">
        <v>3787570</v>
      </c>
      <c r="J65" s="710">
        <v>2768497</v>
      </c>
      <c r="K65" s="710">
        <v>7958986</v>
      </c>
      <c r="L65" s="510">
        <f t="shared" si="16"/>
        <v>67564056</v>
      </c>
      <c r="N65" s="1473">
        <f>ROUND(SUMIF('1.0'!$D:$D,T_IS!D65,'1.0'!$V:$V),0)</f>
        <v>0</v>
      </c>
      <c r="O65" s="509">
        <f>ROUND(SUMIF('2.0'!$D:$D,T_IS!D65,'2.0'!$V:$V),0)</f>
        <v>0</v>
      </c>
      <c r="P65" s="509">
        <f>ROUND(SUMIF('3.0'!$D:$D,T_IS!D65,'3.0'!$H:$H),0)</f>
        <v>0</v>
      </c>
      <c r="Q65" s="509">
        <f>ROUND(SUMIF('4.0'!$D:$D,T_IS!D65,'4.0'!$V:$V),0)</f>
        <v>0</v>
      </c>
      <c r="R65" s="509">
        <f>ROUND(SUMIF('5.0'!$D:$D,T_IS!D65,'5.0'!$V:$V),0)</f>
        <v>0</v>
      </c>
      <c r="S65" s="509">
        <f>ROUND(SUMIF('6.0'!$D:$D,T_IS!D65,'6.0'!$V:$V),0)</f>
        <v>0</v>
      </c>
      <c r="T65" s="509">
        <f>ROUND(SUMIF('7.0'!$D:$D,T_IS!D65,'7.0'!$V:$V),0)</f>
        <v>0</v>
      </c>
      <c r="U65" s="509">
        <f>ROUND(SUMIF('8.0'!$D:$D,T_IS!F65,'8.0'!$H:$H),0)</f>
        <v>0</v>
      </c>
      <c r="V65" s="1475">
        <f t="shared" si="17"/>
        <v>0</v>
      </c>
      <c r="X65" s="1622">
        <f t="shared" si="18"/>
        <v>67564056</v>
      </c>
      <c r="Z65" s="1622">
        <f t="shared" si="19"/>
        <v>6477399</v>
      </c>
      <c r="AA65" s="1622">
        <f t="shared" si="20"/>
        <v>3636933</v>
      </c>
      <c r="AB65" s="1622">
        <f t="shared" si="21"/>
        <v>2840466</v>
      </c>
      <c r="AD65" s="550">
        <v>61086657</v>
      </c>
      <c r="AE65" s="550">
        <v>57449724</v>
      </c>
      <c r="AF65" s="550">
        <v>52131521</v>
      </c>
      <c r="AG65" s="550">
        <v>48303748</v>
      </c>
      <c r="AH65" s="550">
        <v>28962285</v>
      </c>
      <c r="AI65" s="550">
        <v>156876276</v>
      </c>
      <c r="AJ65" s="550">
        <v>62459649</v>
      </c>
      <c r="AK65" s="550">
        <v>39885329</v>
      </c>
      <c r="AL65" s="550">
        <v>20539880</v>
      </c>
      <c r="AM65" s="1622">
        <v>6538534</v>
      </c>
      <c r="AN65" s="509">
        <v>102832023</v>
      </c>
      <c r="AO65" s="1622">
        <v>71806900</v>
      </c>
      <c r="AP65" s="1623">
        <v>34049647</v>
      </c>
      <c r="AQ65" s="1624">
        <v>15653627</v>
      </c>
    </row>
    <row r="66" spans="1:43" ht="18" customHeight="1">
      <c r="A66" s="1089" t="s">
        <v>296</v>
      </c>
      <c r="B66" s="1364" t="b">
        <f t="shared" si="22"/>
        <v>1</v>
      </c>
      <c r="D66" s="1598" t="s">
        <v>295</v>
      </c>
      <c r="E66" s="1364" t="s">
        <v>258</v>
      </c>
      <c r="F66" s="1366">
        <v>321</v>
      </c>
      <c r="G66" s="1364" t="s">
        <v>296</v>
      </c>
      <c r="H66" s="498">
        <v>16028909224</v>
      </c>
      <c r="I66" s="498">
        <v>20675431</v>
      </c>
      <c r="J66" s="710">
        <v>7425407</v>
      </c>
      <c r="K66" s="710">
        <v>201020713</v>
      </c>
      <c r="L66" s="510">
        <f t="shared" si="16"/>
        <v>16258030775</v>
      </c>
      <c r="N66" s="1473">
        <f>ROUND(SUMIF('1.0'!$D:$D,T_IS!D66,'1.0'!$V:$V),0)</f>
        <v>0</v>
      </c>
      <c r="O66" s="509">
        <f>ROUND(SUMIF('2.0'!$D:$D,T_IS!D66,'2.0'!$V:$V),0)</f>
        <v>0</v>
      </c>
      <c r="P66" s="509">
        <f>ROUND(SUMIF('3.0'!$D:$D,T_IS!D66,'3.0'!$H:$H),0)</f>
        <v>-1725781461</v>
      </c>
      <c r="Q66" s="509">
        <f>ROUND(SUMIF('4.0'!$D:$D,T_IS!D66,'4.0'!$V:$V),0)</f>
        <v>193111111</v>
      </c>
      <c r="R66" s="509">
        <f>ROUND(SUMIF('5.0'!$D:$D,T_IS!D66,'5.0'!$V:$V),0)</f>
        <v>0</v>
      </c>
      <c r="S66" s="509">
        <f>ROUND(SUMIF('6.0'!$D:$D,T_IS!D66,'6.0'!$V:$V),0)</f>
        <v>0</v>
      </c>
      <c r="T66" s="509">
        <f>ROUND(SUMIF('7.0'!$D:$D,T_IS!D66,'7.0'!$V:$V),0)</f>
        <v>0</v>
      </c>
      <c r="U66" s="509">
        <f>ROUND(SUMIF('8.0'!$D:$D,T_IS!F66,'8.0'!$H:$H),0)</f>
        <v>0</v>
      </c>
      <c r="V66" s="1475">
        <f t="shared" si="17"/>
        <v>-1532670350</v>
      </c>
      <c r="X66" s="1622">
        <f t="shared" si="18"/>
        <v>14725360425</v>
      </c>
      <c r="Z66" s="1622">
        <f t="shared" si="19"/>
        <v>1492033029</v>
      </c>
      <c r="AA66" s="1622">
        <f t="shared" si="20"/>
        <v>1420466777</v>
      </c>
      <c r="AB66" s="1622">
        <f t="shared" si="21"/>
        <v>71566252</v>
      </c>
      <c r="AD66" s="550">
        <v>13233327396</v>
      </c>
      <c r="AE66" s="550">
        <v>11812860619</v>
      </c>
      <c r="AF66" s="550">
        <v>10080867083</v>
      </c>
      <c r="AG66" s="550">
        <v>8355215738</v>
      </c>
      <c r="AH66" s="550">
        <v>3693561255</v>
      </c>
      <c r="AI66" s="550">
        <v>12787709937</v>
      </c>
      <c r="AJ66" s="550">
        <v>10062980935</v>
      </c>
      <c r="AK66" s="550">
        <v>9121612337</v>
      </c>
      <c r="AL66" s="550">
        <v>5984203612</v>
      </c>
      <c r="AM66" s="1622">
        <v>2670334228</v>
      </c>
      <c r="AN66" s="509">
        <v>12079400941</v>
      </c>
      <c r="AO66" s="1622">
        <v>8858891402</v>
      </c>
      <c r="AP66" s="1623">
        <v>5959592616</v>
      </c>
      <c r="AQ66" s="1624">
        <v>3017605044</v>
      </c>
    </row>
    <row r="67" spans="1:43" ht="18" customHeight="1">
      <c r="A67" s="1089" t="s">
        <v>298</v>
      </c>
      <c r="B67" s="1364" t="b">
        <f t="shared" si="22"/>
        <v>1</v>
      </c>
      <c r="D67" s="1598" t="s">
        <v>297</v>
      </c>
      <c r="E67" s="1364" t="s">
        <v>258</v>
      </c>
      <c r="F67" s="1366">
        <v>322</v>
      </c>
      <c r="G67" s="1364" t="s">
        <v>298</v>
      </c>
      <c r="H67" s="498">
        <v>5411336788</v>
      </c>
      <c r="I67" s="498">
        <v>0</v>
      </c>
      <c r="J67" s="710">
        <v>0</v>
      </c>
      <c r="K67" s="710">
        <v>15389387</v>
      </c>
      <c r="L67" s="510">
        <f t="shared" si="16"/>
        <v>5426726175</v>
      </c>
      <c r="N67" s="1473">
        <f>ROUND(SUMIF('1.0'!$D:$D,T_IS!D67,'1.0'!$V:$V),0)</f>
        <v>0</v>
      </c>
      <c r="O67" s="509">
        <f>ROUND(SUMIF('2.0'!$D:$D,T_IS!D67,'2.0'!$V:$V),0)</f>
        <v>0</v>
      </c>
      <c r="P67" s="509">
        <f>ROUND(SUMIF('3.0'!$D:$D,T_IS!D67,'3.0'!$H:$H),0)</f>
        <v>-4500000</v>
      </c>
      <c r="Q67" s="509">
        <f>ROUND(SUMIF('4.0'!$D:$D,T_IS!D67,'4.0'!$V:$V),0)</f>
        <v>0</v>
      </c>
      <c r="R67" s="509">
        <f>ROUND(SUMIF('5.0'!$D:$D,T_IS!D67,'5.0'!$V:$V),0)</f>
        <v>0</v>
      </c>
      <c r="S67" s="509">
        <f>ROUND(SUMIF('6.0'!$D:$D,T_IS!D67,'6.0'!$V:$V),0)</f>
        <v>0</v>
      </c>
      <c r="T67" s="509">
        <f>ROUND(SUMIF('7.0'!$D:$D,T_IS!D67,'7.0'!$V:$V),0)</f>
        <v>0</v>
      </c>
      <c r="U67" s="509">
        <f>ROUND(SUMIF('8.0'!$D:$D,T_IS!F67,'8.0'!$H:$H),0)</f>
        <v>0</v>
      </c>
      <c r="V67" s="1475">
        <f t="shared" si="17"/>
        <v>-4500000</v>
      </c>
      <c r="X67" s="1622">
        <f t="shared" si="18"/>
        <v>5422226175</v>
      </c>
      <c r="Z67" s="1622">
        <f t="shared" si="19"/>
        <v>859358201</v>
      </c>
      <c r="AA67" s="1622">
        <f t="shared" si="20"/>
        <v>691983143</v>
      </c>
      <c r="AB67" s="1622">
        <f t="shared" si="21"/>
        <v>167375058</v>
      </c>
      <c r="AD67" s="550">
        <v>4562867974</v>
      </c>
      <c r="AE67" s="550">
        <v>3870884831</v>
      </c>
      <c r="AF67" s="550">
        <v>2932008561</v>
      </c>
      <c r="AG67" s="550">
        <v>2155994017</v>
      </c>
      <c r="AH67" s="550">
        <v>928885219</v>
      </c>
      <c r="AI67" s="550">
        <v>4609519504</v>
      </c>
      <c r="AJ67" s="550">
        <v>2753463684</v>
      </c>
      <c r="AK67" s="550">
        <v>2442857860</v>
      </c>
      <c r="AL67" s="550">
        <v>1279182366</v>
      </c>
      <c r="AM67" s="1622">
        <v>686706965</v>
      </c>
      <c r="AN67" s="509">
        <v>7507088261</v>
      </c>
      <c r="AO67" s="1622">
        <v>6152327444</v>
      </c>
      <c r="AP67" s="1623">
        <v>3749396710</v>
      </c>
      <c r="AQ67" s="1624">
        <v>1263816934</v>
      </c>
    </row>
    <row r="68" spans="1:43" ht="18" customHeight="1">
      <c r="A68" s="1089" t="s">
        <v>300</v>
      </c>
      <c r="B68" s="1364" t="b">
        <f t="shared" si="22"/>
        <v>1</v>
      </c>
      <c r="D68" s="1598" t="s">
        <v>299</v>
      </c>
      <c r="E68" s="1364" t="s">
        <v>258</v>
      </c>
      <c r="F68" s="1366">
        <v>323</v>
      </c>
      <c r="G68" s="1364" t="s">
        <v>300</v>
      </c>
      <c r="H68" s="498">
        <v>603810459</v>
      </c>
      <c r="I68" s="498">
        <v>0</v>
      </c>
      <c r="J68" s="710">
        <v>0</v>
      </c>
      <c r="K68" s="710">
        <v>0</v>
      </c>
      <c r="L68" s="510">
        <f t="shared" si="16"/>
        <v>603810459</v>
      </c>
      <c r="N68" s="1473">
        <f>ROUND(SUMIF('1.0'!$D:$D,T_IS!D68,'1.0'!$V:$V),0)</f>
        <v>0</v>
      </c>
      <c r="O68" s="509">
        <f>ROUND(SUMIF('2.0'!$D:$D,T_IS!D68,'2.0'!$V:$V),0)</f>
        <v>0</v>
      </c>
      <c r="P68" s="509">
        <f>ROUND(SUMIF('3.0'!$D:$D,T_IS!D68,'3.0'!$H:$H),0)</f>
        <v>0</v>
      </c>
      <c r="Q68" s="509">
        <f>ROUND(SUMIF('4.0'!$D:$D,T_IS!D68,'4.0'!$V:$V),0)</f>
        <v>0</v>
      </c>
      <c r="R68" s="509">
        <f>ROUND(SUMIF('5.0'!$D:$D,T_IS!D68,'5.0'!$V:$V),0)</f>
        <v>0</v>
      </c>
      <c r="S68" s="509">
        <f>ROUND(SUMIF('6.0'!$D:$D,T_IS!D68,'6.0'!$V:$V),0)</f>
        <v>0</v>
      </c>
      <c r="T68" s="509">
        <f>ROUND(SUMIF('7.0'!$D:$D,T_IS!D68,'7.0'!$V:$V),0)</f>
        <v>0</v>
      </c>
      <c r="U68" s="509">
        <f>ROUND(SUMIF('8.0'!$D:$D,T_IS!F68,'8.0'!$H:$H),0)</f>
        <v>0</v>
      </c>
      <c r="V68" s="1475">
        <f t="shared" si="17"/>
        <v>0</v>
      </c>
      <c r="X68" s="1622">
        <f t="shared" si="18"/>
        <v>603810459</v>
      </c>
      <c r="Z68" s="1622">
        <f t="shared" si="19"/>
        <v>120340736</v>
      </c>
      <c r="AA68" s="1622">
        <f t="shared" si="20"/>
        <v>48293038</v>
      </c>
      <c r="AB68" s="1622">
        <f t="shared" si="21"/>
        <v>72047698</v>
      </c>
      <c r="AD68" s="550">
        <v>483469723</v>
      </c>
      <c r="AE68" s="550">
        <v>435176685</v>
      </c>
      <c r="AF68" s="550">
        <v>422742488</v>
      </c>
      <c r="AG68" s="550">
        <v>339402211</v>
      </c>
      <c r="AH68" s="550">
        <v>123758283</v>
      </c>
      <c r="AI68" s="550">
        <v>207580597</v>
      </c>
      <c r="AJ68" s="550">
        <v>114333525</v>
      </c>
      <c r="AK68" s="550">
        <v>106399836</v>
      </c>
      <c r="AL68" s="550">
        <v>80113514</v>
      </c>
      <c r="AM68" s="1622">
        <v>10664113</v>
      </c>
      <c r="AN68" s="509">
        <v>165746244</v>
      </c>
      <c r="AO68" s="1622">
        <v>150244488</v>
      </c>
      <c r="AP68" s="1623">
        <v>108328052</v>
      </c>
      <c r="AQ68" s="1624">
        <v>51379916</v>
      </c>
    </row>
    <row r="69" spans="1:43" ht="18" customHeight="1">
      <c r="A69" s="1089" t="s">
        <v>302</v>
      </c>
      <c r="B69" s="1364" t="b">
        <f t="shared" si="22"/>
        <v>1</v>
      </c>
      <c r="D69" s="1598" t="s">
        <v>301</v>
      </c>
      <c r="E69" s="1364" t="s">
        <v>258</v>
      </c>
      <c r="F69" s="1366">
        <v>324</v>
      </c>
      <c r="G69" s="1364" t="s">
        <v>302</v>
      </c>
      <c r="H69" s="498">
        <v>11147782</v>
      </c>
      <c r="I69" s="498">
        <v>0</v>
      </c>
      <c r="J69" s="710">
        <v>0</v>
      </c>
      <c r="K69" s="710">
        <v>0</v>
      </c>
      <c r="L69" s="510">
        <f t="shared" si="16"/>
        <v>11147782</v>
      </c>
      <c r="N69" s="1473">
        <f>ROUND(SUMIF('1.0'!$D:$D,T_IS!D69,'1.0'!$V:$V),0)</f>
        <v>0</v>
      </c>
      <c r="O69" s="509">
        <f>ROUND(SUMIF('2.0'!$D:$D,T_IS!D69,'2.0'!$V:$V),0)</f>
        <v>0</v>
      </c>
      <c r="P69" s="509">
        <f>ROUND(SUMIF('3.0'!$D:$D,T_IS!D69,'3.0'!$H:$H),0)</f>
        <v>0</v>
      </c>
      <c r="Q69" s="509">
        <f>ROUND(SUMIF('4.0'!$D:$D,T_IS!D69,'4.0'!$V:$V),0)</f>
        <v>0</v>
      </c>
      <c r="R69" s="509">
        <f>ROUND(SUMIF('5.0'!$D:$D,T_IS!D69,'5.0'!$V:$V),0)</f>
        <v>0</v>
      </c>
      <c r="S69" s="509">
        <f>ROUND(SUMIF('6.0'!$D:$D,T_IS!D69,'6.0'!$V:$V),0)</f>
        <v>0</v>
      </c>
      <c r="T69" s="509">
        <f>ROUND(SUMIF('7.0'!$D:$D,T_IS!D69,'7.0'!$V:$V),0)</f>
        <v>0</v>
      </c>
      <c r="U69" s="509">
        <f>ROUND(SUMIF('8.0'!$D:$D,T_IS!F69,'8.0'!$H:$H),0)</f>
        <v>0</v>
      </c>
      <c r="V69" s="1475">
        <f t="shared" si="17"/>
        <v>0</v>
      </c>
      <c r="X69" s="1622">
        <f t="shared" si="18"/>
        <v>11147782</v>
      </c>
      <c r="Z69" s="1622">
        <f t="shared" si="19"/>
        <v>0</v>
      </c>
      <c r="AA69" s="1622">
        <f t="shared" si="20"/>
        <v>3367009</v>
      </c>
      <c r="AB69" s="1622">
        <f t="shared" si="21"/>
        <v>-3367009</v>
      </c>
      <c r="AD69" s="550">
        <v>11147782</v>
      </c>
      <c r="AE69" s="550">
        <v>7780773</v>
      </c>
      <c r="AF69" s="550">
        <v>7780773</v>
      </c>
      <c r="AG69" s="550">
        <v>7780773</v>
      </c>
      <c r="AH69" s="550">
        <v>5835658</v>
      </c>
      <c r="AI69" s="550">
        <v>-410162407</v>
      </c>
      <c r="AJ69" s="550">
        <v>-222716469</v>
      </c>
      <c r="AK69" s="550">
        <v>-222716469</v>
      </c>
      <c r="AL69" s="550">
        <v>-207056800</v>
      </c>
      <c r="AM69" s="1622">
        <v>-79674763</v>
      </c>
      <c r="AN69" s="509">
        <v>-28983221</v>
      </c>
      <c r="AO69" s="1622">
        <v>214584279</v>
      </c>
      <c r="AP69" s="1623">
        <v>34487985</v>
      </c>
      <c r="AQ69" s="1819">
        <v>-30603133</v>
      </c>
    </row>
    <row r="70" spans="1:43" ht="18" customHeight="1">
      <c r="A70" s="1089" t="s">
        <v>304</v>
      </c>
      <c r="B70" s="1364" t="b">
        <f t="shared" si="22"/>
        <v>1</v>
      </c>
      <c r="D70" s="1598" t="s">
        <v>303</v>
      </c>
      <c r="E70" s="1364" t="s">
        <v>258</v>
      </c>
      <c r="F70" s="1366">
        <v>325</v>
      </c>
      <c r="G70" s="1364" t="s">
        <v>304</v>
      </c>
      <c r="H70" s="498">
        <v>269242735</v>
      </c>
      <c r="I70" s="498">
        <v>0</v>
      </c>
      <c r="J70" s="710">
        <v>0</v>
      </c>
      <c r="K70" s="710">
        <v>0</v>
      </c>
      <c r="L70" s="510">
        <f t="shared" si="16"/>
        <v>269242735</v>
      </c>
      <c r="N70" s="1473">
        <f>ROUND(SUMIF('1.0'!$D:$D,T_IS!D70,'1.0'!$V:$V),0)</f>
        <v>0</v>
      </c>
      <c r="O70" s="509">
        <f>ROUND(SUMIF('2.0'!$D:$D,T_IS!D70,'2.0'!$V:$V),0)</f>
        <v>0</v>
      </c>
      <c r="P70" s="509">
        <f>ROUND(SUMIF('3.0'!$D:$D,T_IS!D70,'3.0'!$H:$H),0)</f>
        <v>0</v>
      </c>
      <c r="Q70" s="509">
        <f>ROUND(SUMIF('4.0'!$D:$D,T_IS!D70,'4.0'!$V:$V),0)</f>
        <v>0</v>
      </c>
      <c r="R70" s="509">
        <f>ROUND(SUMIF('5.0'!$D:$D,T_IS!D70,'5.0'!$V:$V),0)</f>
        <v>0</v>
      </c>
      <c r="S70" s="509">
        <f>ROUND(SUMIF('6.0'!$D:$D,T_IS!D70,'6.0'!$V:$V),0)</f>
        <v>0</v>
      </c>
      <c r="T70" s="509">
        <f>ROUND(SUMIF('7.0'!$D:$D,T_IS!D70,'7.0'!$V:$V),0)</f>
        <v>0</v>
      </c>
      <c r="U70" s="509">
        <f>ROUND(SUMIF('8.0'!$D:$D,T_IS!F70,'8.0'!$H:$H),0)</f>
        <v>0</v>
      </c>
      <c r="V70" s="1475">
        <f t="shared" si="17"/>
        <v>0</v>
      </c>
      <c r="X70" s="1622">
        <f t="shared" si="18"/>
        <v>269242735</v>
      </c>
      <c r="Z70" s="1622">
        <f t="shared" si="19"/>
        <v>30640981</v>
      </c>
      <c r="AA70" s="1622">
        <f t="shared" si="20"/>
        <v>18790495</v>
      </c>
      <c r="AB70" s="1622">
        <f t="shared" si="21"/>
        <v>11850486</v>
      </c>
      <c r="AD70" s="550">
        <v>238601754</v>
      </c>
      <c r="AE70" s="550">
        <v>219811259</v>
      </c>
      <c r="AF70" s="550">
        <v>208572530</v>
      </c>
      <c r="AG70" s="550">
        <v>160778226</v>
      </c>
      <c r="AH70" s="550">
        <v>63054020</v>
      </c>
      <c r="AI70" s="550">
        <v>166592697</v>
      </c>
      <c r="AJ70" s="550">
        <v>132324850</v>
      </c>
      <c r="AK70" s="550">
        <v>114113147</v>
      </c>
      <c r="AL70" s="550">
        <v>71766395</v>
      </c>
      <c r="AM70" s="1622">
        <v>24243242</v>
      </c>
      <c r="AN70" s="509">
        <v>211007300</v>
      </c>
      <c r="AO70" s="1622">
        <v>159787089</v>
      </c>
      <c r="AP70" s="1623">
        <v>111191022</v>
      </c>
      <c r="AQ70" s="1624">
        <v>50338232</v>
      </c>
    </row>
    <row r="71" spans="1:43" ht="18" customHeight="1">
      <c r="A71" s="1089" t="s">
        <v>306</v>
      </c>
      <c r="B71" s="1364" t="b">
        <f t="shared" si="22"/>
        <v>1</v>
      </c>
      <c r="D71" s="1598" t="s">
        <v>305</v>
      </c>
      <c r="E71" s="1364" t="s">
        <v>258</v>
      </c>
      <c r="F71" s="1366">
        <v>327</v>
      </c>
      <c r="G71" s="1364" t="s">
        <v>306</v>
      </c>
      <c r="H71" s="498">
        <v>95496437</v>
      </c>
      <c r="I71" s="498">
        <v>0</v>
      </c>
      <c r="J71" s="710">
        <v>0</v>
      </c>
      <c r="K71" s="710">
        <v>4832848</v>
      </c>
      <c r="L71" s="510">
        <f t="shared" si="16"/>
        <v>100329285</v>
      </c>
      <c r="N71" s="1473">
        <f>ROUND(SUMIF('1.0'!$D:$D,T_IS!D71,'1.0'!$V:$V),0)</f>
        <v>0</v>
      </c>
      <c r="O71" s="509">
        <f>ROUND(SUMIF('2.0'!$D:$D,T_IS!D71,'2.0'!$V:$V),0)</f>
        <v>0</v>
      </c>
      <c r="P71" s="509">
        <f>ROUND(SUMIF('3.0'!$D:$D,T_IS!D71,'3.0'!$H:$H),0)</f>
        <v>0</v>
      </c>
      <c r="Q71" s="509">
        <f>ROUND(SUMIF('4.0'!$D:$D,T_IS!D71,'4.0'!$V:$V),0)</f>
        <v>0</v>
      </c>
      <c r="R71" s="509">
        <f>ROUND(SUMIF('5.0'!$D:$D,T_IS!D71,'5.0'!$V:$V),0)</f>
        <v>0</v>
      </c>
      <c r="S71" s="509">
        <f>ROUND(SUMIF('6.0'!$D:$D,T_IS!D71,'6.0'!$V:$V),0)</f>
        <v>0</v>
      </c>
      <c r="T71" s="509">
        <f>ROUND(SUMIF('7.0'!$D:$D,T_IS!D71,'7.0'!$V:$V),0)</f>
        <v>0</v>
      </c>
      <c r="U71" s="509">
        <f>ROUND(SUMIF('8.0'!$D:$D,T_IS!F71,'8.0'!$H:$H),0)</f>
        <v>0</v>
      </c>
      <c r="V71" s="1475">
        <f t="shared" si="17"/>
        <v>0</v>
      </c>
      <c r="X71" s="1622">
        <f t="shared" si="18"/>
        <v>100329285</v>
      </c>
      <c r="Z71" s="1622">
        <f t="shared" si="19"/>
        <v>5279765</v>
      </c>
      <c r="AA71" s="1622">
        <f t="shared" si="20"/>
        <v>27842897</v>
      </c>
      <c r="AB71" s="1622">
        <f t="shared" si="21"/>
        <v>-22563132</v>
      </c>
      <c r="AD71" s="550">
        <v>95049520</v>
      </c>
      <c r="AE71" s="550">
        <v>67206623</v>
      </c>
      <c r="AF71" s="550">
        <v>65445196</v>
      </c>
      <c r="AG71" s="550">
        <v>63058380</v>
      </c>
      <c r="AH71" s="550">
        <v>36124598</v>
      </c>
      <c r="AI71" s="550">
        <v>74764846</v>
      </c>
      <c r="AJ71" s="550">
        <v>64709877</v>
      </c>
      <c r="AK71" s="550">
        <v>54522375</v>
      </c>
      <c r="AL71" s="550">
        <v>41251805</v>
      </c>
      <c r="AM71" s="1622">
        <v>22392964</v>
      </c>
      <c r="AN71" s="509">
        <v>245219711</v>
      </c>
      <c r="AO71" s="1622">
        <v>214585686</v>
      </c>
      <c r="AP71" s="1623">
        <v>201873599</v>
      </c>
      <c r="AQ71" s="1624">
        <v>100147086</v>
      </c>
    </row>
    <row r="72" spans="1:43" ht="18" customHeight="1">
      <c r="A72" s="1089" t="s">
        <v>308</v>
      </c>
      <c r="B72" s="1364" t="b">
        <f t="shared" si="22"/>
        <v>1</v>
      </c>
      <c r="D72" s="1598" t="s">
        <v>307</v>
      </c>
      <c r="E72" s="1364" t="s">
        <v>258</v>
      </c>
      <c r="F72" s="1366">
        <v>328</v>
      </c>
      <c r="G72" s="1364" t="s">
        <v>308</v>
      </c>
      <c r="H72" s="498">
        <v>545995377</v>
      </c>
      <c r="I72" s="498">
        <v>0</v>
      </c>
      <c r="J72" s="710">
        <v>0</v>
      </c>
      <c r="K72" s="710">
        <v>114357</v>
      </c>
      <c r="L72" s="510">
        <f t="shared" si="16"/>
        <v>546109734</v>
      </c>
      <c r="N72" s="1473">
        <f>ROUND(SUMIF('1.0'!$D:$D,T_IS!D72,'1.0'!$V:$V),0)</f>
        <v>0</v>
      </c>
      <c r="O72" s="509">
        <f>ROUND(SUMIF('2.0'!$D:$D,T_IS!D72,'2.0'!$V:$V),0)</f>
        <v>0</v>
      </c>
      <c r="P72" s="509">
        <f>ROUND(SUMIF('3.0'!$D:$D,T_IS!D72,'3.0'!$H:$H),0)</f>
        <v>-77553600</v>
      </c>
      <c r="Q72" s="509">
        <f>ROUND(SUMIF('4.0'!$D:$D,T_IS!D72,'4.0'!$V:$V),0)</f>
        <v>0</v>
      </c>
      <c r="R72" s="509">
        <f>ROUND(SUMIF('5.0'!$D:$D,T_IS!D72,'5.0'!$V:$V),0)</f>
        <v>0</v>
      </c>
      <c r="S72" s="509">
        <f>ROUND(SUMIF('6.0'!$D:$D,T_IS!D72,'6.0'!$V:$V),0)</f>
        <v>0</v>
      </c>
      <c r="T72" s="509">
        <f>ROUND(SUMIF('7.0'!$D:$D,T_IS!D72,'7.0'!$V:$V),0)</f>
        <v>0</v>
      </c>
      <c r="U72" s="509">
        <f>ROUND(SUMIF('8.0'!$D:$D,T_IS!F72,'8.0'!$H:$H),0)</f>
        <v>0</v>
      </c>
      <c r="V72" s="1475">
        <f t="shared" si="17"/>
        <v>-77553600</v>
      </c>
      <c r="X72" s="1622">
        <f t="shared" si="18"/>
        <v>468556134</v>
      </c>
      <c r="Z72" s="1622">
        <f t="shared" si="19"/>
        <v>34828638</v>
      </c>
      <c r="AA72" s="1622">
        <f t="shared" si="20"/>
        <v>40293065</v>
      </c>
      <c r="AB72" s="1622">
        <f t="shared" si="21"/>
        <v>-5464427</v>
      </c>
      <c r="AD72" s="550">
        <v>433727496</v>
      </c>
      <c r="AE72" s="550">
        <v>393434431</v>
      </c>
      <c r="AF72" s="550">
        <v>354488444</v>
      </c>
      <c r="AG72" s="550">
        <v>288805088</v>
      </c>
      <c r="AH72" s="550">
        <v>111402464</v>
      </c>
      <c r="AI72" s="550">
        <v>604096033</v>
      </c>
      <c r="AJ72" s="550">
        <v>498998307</v>
      </c>
      <c r="AK72" s="550">
        <v>457240570</v>
      </c>
      <c r="AL72" s="550">
        <v>335793792</v>
      </c>
      <c r="AM72" s="1622">
        <v>160624568</v>
      </c>
      <c r="AN72" s="509">
        <v>560183581</v>
      </c>
      <c r="AO72" s="1622">
        <v>438176490</v>
      </c>
      <c r="AP72" s="1623">
        <v>295202558</v>
      </c>
      <c r="AQ72" s="1624">
        <v>183553368</v>
      </c>
    </row>
    <row r="73" spans="1:43" ht="18" customHeight="1">
      <c r="A73" s="1089" t="s">
        <v>310</v>
      </c>
      <c r="B73" s="1364" t="b">
        <f t="shared" si="22"/>
        <v>1</v>
      </c>
      <c r="D73" s="1598" t="s">
        <v>309</v>
      </c>
      <c r="E73" s="1364" t="s">
        <v>258</v>
      </c>
      <c r="F73" s="1366">
        <v>331</v>
      </c>
      <c r="G73" s="1364" t="s">
        <v>310</v>
      </c>
      <c r="H73" s="498">
        <v>7476589</v>
      </c>
      <c r="I73" s="498">
        <v>0</v>
      </c>
      <c r="J73" s="710">
        <v>0</v>
      </c>
      <c r="K73" s="710">
        <v>0</v>
      </c>
      <c r="L73" s="510">
        <f t="shared" si="16"/>
        <v>7476589</v>
      </c>
      <c r="N73" s="1473">
        <f>ROUND(SUMIF('1.0'!$D:$D,T_IS!D73,'1.0'!$V:$V),0)</f>
        <v>0</v>
      </c>
      <c r="O73" s="509">
        <f>ROUND(SUMIF('2.0'!$D:$D,T_IS!D73,'2.0'!$V:$V),0)</f>
        <v>0</v>
      </c>
      <c r="P73" s="509">
        <f>ROUND(SUMIF('3.0'!$D:$D,T_IS!D73,'3.0'!$H:$H),0)</f>
        <v>0</v>
      </c>
      <c r="Q73" s="509">
        <f>ROUND(SUMIF('4.0'!$D:$D,T_IS!D73,'4.0'!$V:$V),0)</f>
        <v>0</v>
      </c>
      <c r="R73" s="509">
        <f>ROUND(SUMIF('5.0'!$D:$D,T_IS!D73,'5.0'!$V:$V),0)</f>
        <v>0</v>
      </c>
      <c r="S73" s="509">
        <f>ROUND(SUMIF('6.0'!$D:$D,T_IS!D73,'6.0'!$V:$V),0)</f>
        <v>0</v>
      </c>
      <c r="T73" s="509">
        <f>ROUND(SUMIF('7.0'!$D:$D,T_IS!D73,'7.0'!$V:$V),0)</f>
        <v>0</v>
      </c>
      <c r="U73" s="509">
        <f>ROUND(SUMIF('8.0'!$D:$D,T_IS!F73,'8.0'!$H:$H),0)</f>
        <v>0</v>
      </c>
      <c r="V73" s="1475">
        <f t="shared" si="17"/>
        <v>0</v>
      </c>
      <c r="X73" s="1622">
        <f t="shared" si="18"/>
        <v>7476589</v>
      </c>
      <c r="Z73" s="1622">
        <f t="shared" si="19"/>
        <v>0</v>
      </c>
      <c r="AA73" s="1622">
        <f t="shared" si="20"/>
        <v>924851</v>
      </c>
      <c r="AB73" s="1622">
        <f t="shared" si="21"/>
        <v>-924851</v>
      </c>
      <c r="AD73" s="550">
        <v>7476589</v>
      </c>
      <c r="AE73" s="550">
        <v>6551738</v>
      </c>
      <c r="AF73" s="550">
        <v>6551738</v>
      </c>
      <c r="AG73" s="550">
        <v>6551738</v>
      </c>
      <c r="AH73" s="550">
        <v>3244192</v>
      </c>
      <c r="AI73" s="550">
        <v>9882603</v>
      </c>
      <c r="AJ73" s="550">
        <v>6700540</v>
      </c>
      <c r="AK73" s="550">
        <v>6700540</v>
      </c>
      <c r="AL73" s="550">
        <v>4426025</v>
      </c>
      <c r="AM73" s="1622">
        <v>726466</v>
      </c>
      <c r="AN73" s="509">
        <v>15816486</v>
      </c>
      <c r="AO73" s="1622">
        <v>6083829</v>
      </c>
      <c r="AP73" s="1623">
        <v>4221136</v>
      </c>
      <c r="AQ73" s="1624">
        <v>2110570</v>
      </c>
    </row>
    <row r="74" spans="1:43" ht="18" customHeight="1">
      <c r="A74" s="1089" t="s">
        <v>312</v>
      </c>
      <c r="B74" s="1364" t="b">
        <f t="shared" si="22"/>
        <v>1</v>
      </c>
      <c r="D74" s="1598" t="s">
        <v>311</v>
      </c>
      <c r="E74" s="1364" t="s">
        <v>258</v>
      </c>
      <c r="F74" s="1366">
        <v>329</v>
      </c>
      <c r="G74" s="1364" t="s">
        <v>312</v>
      </c>
      <c r="H74" s="498">
        <v>966110394</v>
      </c>
      <c r="I74" s="498">
        <v>0</v>
      </c>
      <c r="J74" s="710">
        <v>940443</v>
      </c>
      <c r="K74" s="710">
        <v>27114318</v>
      </c>
      <c r="L74" s="510">
        <f t="shared" si="16"/>
        <v>994165155</v>
      </c>
      <c r="N74" s="1473">
        <f>ROUND(SUMIF('1.0'!$D:$D,T_IS!D74,'1.0'!$V:$V),0)</f>
        <v>0</v>
      </c>
      <c r="O74" s="509">
        <f>ROUND(SUMIF('2.0'!$D:$D,T_IS!D74,'2.0'!$V:$V),0)</f>
        <v>0</v>
      </c>
      <c r="P74" s="509">
        <f>ROUND(SUMIF('3.0'!$D:$D,T_IS!D74,'3.0'!$H:$H),0)</f>
        <v>0</v>
      </c>
      <c r="Q74" s="509">
        <f>ROUND(SUMIF('4.0'!$D:$D,T_IS!D74,'4.0'!$V:$V),0)</f>
        <v>0</v>
      </c>
      <c r="R74" s="509">
        <f>ROUND(SUMIF('5.0'!$D:$D,T_IS!D74,'5.0'!$V:$V),0)</f>
        <v>0</v>
      </c>
      <c r="S74" s="509">
        <f>ROUND(SUMIF('6.0'!$D:$D,T_IS!D74,'6.0'!$V:$V),0)</f>
        <v>0</v>
      </c>
      <c r="T74" s="509">
        <f>ROUND(SUMIF('7.0'!$D:$D,T_IS!D74,'7.0'!$V:$V),0)</f>
        <v>0</v>
      </c>
      <c r="U74" s="509">
        <f>ROUND(SUMIF('8.0'!$D:$D,T_IS!F74,'8.0'!$H:$H),0)</f>
        <v>0</v>
      </c>
      <c r="V74" s="1475">
        <f t="shared" si="17"/>
        <v>0</v>
      </c>
      <c r="X74" s="1622">
        <f t="shared" si="18"/>
        <v>994165155</v>
      </c>
      <c r="Z74" s="1622">
        <f t="shared" si="19"/>
        <v>134433394</v>
      </c>
      <c r="AA74" s="1622">
        <f t="shared" si="20"/>
        <v>91984767</v>
      </c>
      <c r="AB74" s="1622">
        <f t="shared" si="21"/>
        <v>42448627</v>
      </c>
      <c r="AD74" s="550">
        <v>859731761</v>
      </c>
      <c r="AE74" s="550">
        <v>767746994</v>
      </c>
      <c r="AF74" s="550">
        <v>672074536</v>
      </c>
      <c r="AG74" s="550">
        <v>569497888</v>
      </c>
      <c r="AH74" s="550">
        <v>274575660</v>
      </c>
      <c r="AI74" s="550">
        <v>1068860964</v>
      </c>
      <c r="AJ74" s="550">
        <v>890857107</v>
      </c>
      <c r="AK74" s="550">
        <v>810987117</v>
      </c>
      <c r="AL74" s="550">
        <v>554804157</v>
      </c>
      <c r="AM74" s="1622">
        <v>247736288</v>
      </c>
      <c r="AN74" s="509">
        <v>1190766507</v>
      </c>
      <c r="AO74" s="1622">
        <v>820021869</v>
      </c>
      <c r="AP74" s="1623">
        <v>558149406</v>
      </c>
      <c r="AQ74" s="1624">
        <v>129742931</v>
      </c>
    </row>
    <row r="75" spans="1:43" ht="18" customHeight="1">
      <c r="A75" s="509"/>
      <c r="D75" s="1588"/>
      <c r="E75" s="1589"/>
      <c r="F75" s="1613"/>
      <c r="G75" s="1589" t="s">
        <v>2626</v>
      </c>
      <c r="H75" s="1625">
        <f>H36-H37</f>
        <v>-2922098116</v>
      </c>
      <c r="I75" s="503">
        <f>I36-I37</f>
        <v>58578203</v>
      </c>
      <c r="J75" s="503">
        <f>J36-J37</f>
        <v>51862251</v>
      </c>
      <c r="K75" s="503">
        <f>K36-K37</f>
        <v>1261358489</v>
      </c>
      <c r="L75" s="504">
        <f>L36-L37</f>
        <v>-1550299173</v>
      </c>
      <c r="N75" s="1626">
        <f t="shared" ref="N75:V75" si="23">N36-N37</f>
        <v>0</v>
      </c>
      <c r="O75" s="503">
        <f t="shared" si="23"/>
        <v>0</v>
      </c>
      <c r="P75" s="503">
        <f t="shared" si="23"/>
        <v>-279015741</v>
      </c>
      <c r="Q75" s="503">
        <f t="shared" si="23"/>
        <v>-200232780</v>
      </c>
      <c r="R75" s="503">
        <f t="shared" si="23"/>
        <v>0</v>
      </c>
      <c r="S75" s="503">
        <f t="shared" si="23"/>
        <v>0</v>
      </c>
      <c r="T75" s="503">
        <f t="shared" si="23"/>
        <v>0</v>
      </c>
      <c r="U75" s="503">
        <f t="shared" si="23"/>
        <v>0</v>
      </c>
      <c r="V75" s="1627">
        <f t="shared" si="23"/>
        <v>-479248521</v>
      </c>
      <c r="X75" s="1628">
        <f>X36-X37</f>
        <v>-2029547694</v>
      </c>
      <c r="Z75" s="1628">
        <f>Z36-Z37</f>
        <v>-185138762</v>
      </c>
      <c r="AA75" s="1628">
        <f>AA36-AA37</f>
        <v>18124954</v>
      </c>
      <c r="AB75" s="1628">
        <f>AB36-AB37</f>
        <v>-203263716</v>
      </c>
      <c r="AD75" s="1629">
        <v>-1844408932</v>
      </c>
      <c r="AE75" s="1629">
        <v>-1862533886</v>
      </c>
      <c r="AF75" s="1629">
        <v>-1355966353</v>
      </c>
      <c r="AG75" s="1629">
        <v>-1026245343</v>
      </c>
      <c r="AH75" s="1629">
        <v>-411319815</v>
      </c>
      <c r="AI75" s="1629">
        <v>4848508839</v>
      </c>
      <c r="AJ75" s="1629">
        <v>5687599987</v>
      </c>
      <c r="AK75" s="1629">
        <v>4713886523</v>
      </c>
      <c r="AL75" s="1629">
        <v>2768397576</v>
      </c>
      <c r="AM75" s="1628">
        <f>AM36-AM37</f>
        <v>1057169849</v>
      </c>
      <c r="AN75" s="503">
        <f>AN36-AN37</f>
        <v>-11888921989</v>
      </c>
      <c r="AO75" s="1628">
        <f>AO36-AO37</f>
        <v>-9621631444</v>
      </c>
      <c r="AP75" s="1628">
        <f>AP36-AP37</f>
        <v>-5669988814</v>
      </c>
      <c r="AQ75" s="1820">
        <f>AQ36-AQ37</f>
        <v>-1701091704</v>
      </c>
    </row>
    <row r="76" spans="1:43" ht="18" customHeight="1">
      <c r="A76" s="509"/>
      <c r="D76" s="1593"/>
      <c r="E76" s="1594"/>
      <c r="F76" s="1633"/>
      <c r="G76" s="1594" t="s">
        <v>314</v>
      </c>
      <c r="H76" s="520">
        <f>SUM(H77:H86)</f>
        <v>49455536158</v>
      </c>
      <c r="I76" s="506">
        <f>SUM(I77:I86)</f>
        <v>5904483</v>
      </c>
      <c r="J76" s="506">
        <f>SUM(J77:J86)</f>
        <v>18284502</v>
      </c>
      <c r="K76" s="506">
        <f>SUM(K77:K86)</f>
        <v>35261509</v>
      </c>
      <c r="L76" s="507">
        <f>SUM(L77:L86)</f>
        <v>49514986652</v>
      </c>
      <c r="N76" s="1634">
        <f t="shared" ref="N76:V76" si="24">SUM(N77:N86)</f>
        <v>0</v>
      </c>
      <c r="O76" s="506">
        <f t="shared" si="24"/>
        <v>0</v>
      </c>
      <c r="P76" s="506">
        <f t="shared" si="24"/>
        <v>-46841095</v>
      </c>
      <c r="Q76" s="506">
        <f t="shared" si="24"/>
        <v>0</v>
      </c>
      <c r="R76" s="506">
        <f t="shared" si="24"/>
        <v>0</v>
      </c>
      <c r="S76" s="506">
        <f t="shared" si="24"/>
        <v>0</v>
      </c>
      <c r="T76" s="506">
        <f t="shared" si="24"/>
        <v>0</v>
      </c>
      <c r="U76" s="506">
        <f t="shared" si="24"/>
        <v>0</v>
      </c>
      <c r="V76" s="1635">
        <f t="shared" si="24"/>
        <v>-46841095</v>
      </c>
      <c r="X76" s="1636">
        <f>SUM(X77:X86)</f>
        <v>49468145557</v>
      </c>
      <c r="Z76" s="1636">
        <f>SUM(Z77:Z86)</f>
        <v>247055614</v>
      </c>
      <c r="AA76" s="1636">
        <f>SUM(AA77:AA86)</f>
        <v>9361351932</v>
      </c>
      <c r="AB76" s="1636">
        <f>SUM(AB77:AB86)</f>
        <v>-9114296318</v>
      </c>
      <c r="AD76" s="1637">
        <v>49221089943</v>
      </c>
      <c r="AE76" s="1637">
        <v>39859738011</v>
      </c>
      <c r="AF76" s="1637">
        <v>39276026947</v>
      </c>
      <c r="AG76" s="1637">
        <v>38913047937</v>
      </c>
      <c r="AH76" s="1637">
        <v>13857125099</v>
      </c>
      <c r="AI76" s="1637">
        <v>4675492818</v>
      </c>
      <c r="AJ76" s="1637">
        <v>3399712304</v>
      </c>
      <c r="AK76" s="1637">
        <v>3469721018</v>
      </c>
      <c r="AL76" s="1637">
        <v>1487921929</v>
      </c>
      <c r="AM76" s="1636">
        <f>SUM(AM77:AM86)</f>
        <v>1465657078</v>
      </c>
      <c r="AN76" s="506">
        <f>SUM(AN77:AN86)</f>
        <v>1036386899</v>
      </c>
      <c r="AO76" s="1636">
        <f>SUM(AO77:AO86)</f>
        <v>953802663</v>
      </c>
      <c r="AP76" s="1636">
        <f>SUM(AP77:AP86)</f>
        <v>1407995157</v>
      </c>
      <c r="AQ76" s="1638">
        <f>SUM(AQ77:AQ86)</f>
        <v>1748628886</v>
      </c>
    </row>
    <row r="77" spans="1:43" ht="18" customHeight="1">
      <c r="A77" s="509"/>
      <c r="D77" s="1598" t="s">
        <v>315</v>
      </c>
      <c r="E77" s="1364" t="s">
        <v>314</v>
      </c>
      <c r="F77" s="1366">
        <v>401</v>
      </c>
      <c r="G77" s="1364" t="s">
        <v>316</v>
      </c>
      <c r="H77" s="498">
        <v>1680578885</v>
      </c>
      <c r="I77" s="498">
        <v>589160</v>
      </c>
      <c r="J77" s="710">
        <v>0</v>
      </c>
      <c r="K77" s="710">
        <v>395705</v>
      </c>
      <c r="L77" s="510">
        <f t="shared" ref="L77:L86" si="25">SUM(H77:K77)</f>
        <v>1681563750</v>
      </c>
      <c r="N77" s="1473">
        <f>-ROUND(SUMIF('1.0'!$D:$D,T_IS!D77,'1.0'!$V:$V),0)</f>
        <v>0</v>
      </c>
      <c r="O77" s="509">
        <f>-ROUND(SUMIF('2.0'!$D:$D,T_IS!D77,'2.0'!$V:$V),0)</f>
        <v>0</v>
      </c>
      <c r="P77" s="509">
        <f>-ROUND(SUMIF('3.0'!$D:$D,T_IS!D77,'3.0'!$H:$H),0)</f>
        <v>0</v>
      </c>
      <c r="Q77" s="509">
        <f>-ROUND(SUMIF('4.0'!$D:$D,T_IS!D77,'4.0'!$V:$V),0)</f>
        <v>0</v>
      </c>
      <c r="R77" s="509">
        <f>-ROUND(SUMIF('5.0'!$D:$D,T_IS!D77,'5.0'!$V:$V),0)</f>
        <v>0</v>
      </c>
      <c r="S77" s="509">
        <f>ROUND(SUMIF('6.0'!$D:$D,T_IS!D77,'6.0'!$V:$V),0)</f>
        <v>0</v>
      </c>
      <c r="T77" s="509">
        <f>-ROUND(SUMIF('7.0'!$D:$D,T_IS!D77,'7.0'!$V:$V),0)</f>
        <v>0</v>
      </c>
      <c r="U77" s="509">
        <f>-ROUND(SUMIF('8.0'!$D:$D,T_IS!F77,'8.0'!$H:$H),0)</f>
        <v>0</v>
      </c>
      <c r="V77" s="1475">
        <f t="shared" ref="V77:V86" si="26">SUM(N77:U77)</f>
        <v>0</v>
      </c>
      <c r="X77" s="1622">
        <f t="shared" ref="X77:X86" si="27">V77+L77</f>
        <v>1681563750</v>
      </c>
      <c r="Z77" s="1622">
        <f t="shared" ref="Z77:Z86" si="28">X77-AD77</f>
        <v>398187452</v>
      </c>
      <c r="AA77" s="1622">
        <f t="shared" ref="AA77:AA86" si="29">AD77-AE77</f>
        <v>188784532</v>
      </c>
      <c r="AB77" s="1622">
        <f t="shared" ref="AB77:AB86" si="30">Z77-AA77</f>
        <v>209402920</v>
      </c>
      <c r="AD77" s="550">
        <v>1283376298</v>
      </c>
      <c r="AE77" s="550">
        <v>1094591766</v>
      </c>
      <c r="AF77" s="550">
        <v>919122901</v>
      </c>
      <c r="AG77" s="550">
        <v>806837331</v>
      </c>
      <c r="AH77" s="550">
        <v>359234741</v>
      </c>
      <c r="AI77" s="550">
        <v>494747956</v>
      </c>
      <c r="AJ77" s="550">
        <v>300618434</v>
      </c>
      <c r="AK77" s="550">
        <v>283612605</v>
      </c>
      <c r="AL77" s="550">
        <v>78791227</v>
      </c>
      <c r="AM77" s="1622">
        <v>31229731</v>
      </c>
      <c r="AN77" s="509">
        <v>545896904</v>
      </c>
      <c r="AO77" s="1622">
        <v>463606116</v>
      </c>
      <c r="AP77" s="1623">
        <v>353801380</v>
      </c>
      <c r="AQ77" s="1624">
        <v>191380673</v>
      </c>
    </row>
    <row r="78" spans="1:43" ht="18" customHeight="1">
      <c r="A78" s="509"/>
      <c r="D78" s="1598" t="s">
        <v>317</v>
      </c>
      <c r="E78" s="1364" t="s">
        <v>314</v>
      </c>
      <c r="F78" s="1366">
        <v>401</v>
      </c>
      <c r="G78" s="1364" t="s">
        <v>318</v>
      </c>
      <c r="H78" s="498">
        <v>361950658</v>
      </c>
      <c r="I78" s="498">
        <v>5315323</v>
      </c>
      <c r="J78" s="710">
        <v>245037</v>
      </c>
      <c r="K78" s="710">
        <v>34209431</v>
      </c>
      <c r="L78" s="510">
        <f t="shared" si="25"/>
        <v>401720449</v>
      </c>
      <c r="N78" s="1473">
        <f>-ROUND(SUMIF('1.0'!$D:$D,T_IS!D78,'1.0'!$V:$V),0)</f>
        <v>0</v>
      </c>
      <c r="O78" s="509">
        <f>-ROUND(SUMIF('2.0'!$D:$D,T_IS!D78,'2.0'!$V:$V),0)</f>
        <v>0</v>
      </c>
      <c r="P78" s="509">
        <f>-ROUND(SUMIF('3.0'!$D:$D,T_IS!D78,'3.0'!$H:$H),0)</f>
        <v>-46841095</v>
      </c>
      <c r="Q78" s="509">
        <f>-ROUND(SUMIF('4.0'!$D:$D,T_IS!D78,'4.0'!$V:$V),0)</f>
        <v>0</v>
      </c>
      <c r="R78" s="509">
        <f>-ROUND(SUMIF('5.0'!$D:$D,T_IS!D78,'5.0'!$V:$V),0)</f>
        <v>0</v>
      </c>
      <c r="S78" s="509">
        <f>ROUND(SUMIF('6.0'!$D:$D,T_IS!D78,'6.0'!$V:$V),0)</f>
        <v>0</v>
      </c>
      <c r="T78" s="509">
        <f>-ROUND(SUMIF('7.0'!$D:$D,T_IS!D78,'7.0'!$V:$V),0)</f>
        <v>0</v>
      </c>
      <c r="U78" s="509">
        <f>-ROUND(SUMIF('8.0'!$D:$D,T_IS!F78,'8.0'!$H:$H),0)</f>
        <v>0</v>
      </c>
      <c r="V78" s="1475">
        <f t="shared" si="26"/>
        <v>-46841095</v>
      </c>
      <c r="X78" s="1622">
        <f t="shared" si="27"/>
        <v>354879354</v>
      </c>
      <c r="Z78" s="1622">
        <f t="shared" si="28"/>
        <v>-28731243</v>
      </c>
      <c r="AA78" s="1622">
        <f t="shared" si="29"/>
        <v>98049245</v>
      </c>
      <c r="AB78" s="1622">
        <f t="shared" si="30"/>
        <v>-126780488</v>
      </c>
      <c r="AD78" s="550">
        <v>383610597</v>
      </c>
      <c r="AE78" s="550">
        <v>285561352</v>
      </c>
      <c r="AF78" s="550">
        <v>244674236</v>
      </c>
      <c r="AG78" s="550">
        <v>120215582</v>
      </c>
      <c r="AH78" s="550">
        <v>32132982</v>
      </c>
      <c r="AI78" s="550">
        <v>215216451</v>
      </c>
      <c r="AJ78" s="550">
        <v>159682285</v>
      </c>
      <c r="AK78" s="550">
        <v>87687240</v>
      </c>
      <c r="AL78" s="550">
        <v>78508597</v>
      </c>
      <c r="AM78" s="1622">
        <v>31449627</v>
      </c>
      <c r="AN78" s="509">
        <v>49582851</v>
      </c>
      <c r="AO78" s="1622">
        <v>36257676</v>
      </c>
      <c r="AP78" s="1623">
        <v>55186449</v>
      </c>
      <c r="AQ78" s="1624">
        <v>45325072</v>
      </c>
    </row>
    <row r="79" spans="1:43" ht="18" customHeight="1">
      <c r="A79" s="509"/>
      <c r="D79" s="1598" t="s">
        <v>319</v>
      </c>
      <c r="E79" s="1364" t="s">
        <v>314</v>
      </c>
      <c r="F79" s="1366">
        <v>402</v>
      </c>
      <c r="G79" s="1364" t="s">
        <v>320</v>
      </c>
      <c r="H79" s="498">
        <v>0</v>
      </c>
      <c r="I79" s="498">
        <v>0</v>
      </c>
      <c r="J79" s="710">
        <v>0</v>
      </c>
      <c r="K79" s="710">
        <v>0</v>
      </c>
      <c r="L79" s="510">
        <f t="shared" si="25"/>
        <v>0</v>
      </c>
      <c r="N79" s="1473">
        <f>-ROUND(SUMIF('1.0'!$D:$D,T_IS!D79,'1.0'!$V:$V),0)</f>
        <v>0</v>
      </c>
      <c r="O79" s="509">
        <f>-ROUND(SUMIF('2.0'!$D:$D,T_IS!D79,'2.0'!$V:$V),0)</f>
        <v>0</v>
      </c>
      <c r="P79" s="509">
        <f>-ROUND(SUMIF('3.0'!$D:$D,T_IS!D79,'3.0'!$H:$H),0)</f>
        <v>0</v>
      </c>
      <c r="Q79" s="509">
        <f>-ROUND(SUMIF('4.0'!$D:$D,T_IS!D79,'4.0'!$V:$V),0)</f>
        <v>0</v>
      </c>
      <c r="R79" s="509">
        <f>-ROUND(SUMIF('5.0'!$D:$D,T_IS!D79,'5.0'!$V:$V),0)</f>
        <v>0</v>
      </c>
      <c r="S79" s="509">
        <f>ROUND(SUMIF('6.0'!$D:$D,T_IS!D79,'6.0'!$V:$V),0)</f>
        <v>0</v>
      </c>
      <c r="T79" s="509">
        <f>-ROUND(SUMIF('7.0'!$D:$D,T_IS!D79,'7.0'!$V:$V),0)</f>
        <v>0</v>
      </c>
      <c r="U79" s="509">
        <f>-ROUND(SUMIF('8.0'!$D:$D,T_IS!F79,'8.0'!$H:$H),0)</f>
        <v>0</v>
      </c>
      <c r="V79" s="1475">
        <f t="shared" si="26"/>
        <v>0</v>
      </c>
      <c r="X79" s="1622">
        <f t="shared" si="27"/>
        <v>0</v>
      </c>
      <c r="Z79" s="1622">
        <f t="shared" si="28"/>
        <v>0</v>
      </c>
      <c r="AA79" s="1622">
        <f t="shared" si="29"/>
        <v>0</v>
      </c>
      <c r="AB79" s="1622">
        <f t="shared" si="30"/>
        <v>0</v>
      </c>
      <c r="AD79" s="550">
        <v>0</v>
      </c>
      <c r="AE79" s="550">
        <v>0</v>
      </c>
      <c r="AF79" s="550">
        <v>0</v>
      </c>
      <c r="AG79" s="550">
        <v>0</v>
      </c>
      <c r="AH79" s="550">
        <v>0</v>
      </c>
      <c r="AI79" s="550">
        <v>0</v>
      </c>
      <c r="AJ79" s="550">
        <v>1401120000</v>
      </c>
      <c r="AK79" s="550">
        <v>655600000</v>
      </c>
      <c r="AL79" s="550">
        <v>0</v>
      </c>
      <c r="AM79" s="1622">
        <v>0</v>
      </c>
      <c r="AN79" s="509">
        <v>0</v>
      </c>
      <c r="AO79" s="1622">
        <v>0</v>
      </c>
      <c r="AP79" s="1623">
        <v>0</v>
      </c>
      <c r="AQ79" s="1624">
        <v>0</v>
      </c>
    </row>
    <row r="80" spans="1:43" ht="18" customHeight="1">
      <c r="A80" s="509"/>
      <c r="D80" s="1598" t="s">
        <v>321</v>
      </c>
      <c r="E80" s="1364" t="s">
        <v>314</v>
      </c>
      <c r="F80" s="1366">
        <v>402</v>
      </c>
      <c r="G80" s="1364" t="s">
        <v>322</v>
      </c>
      <c r="H80" s="498">
        <v>1039926768</v>
      </c>
      <c r="I80" s="498">
        <v>0</v>
      </c>
      <c r="J80" s="710">
        <v>18039465</v>
      </c>
      <c r="K80" s="710">
        <v>656373</v>
      </c>
      <c r="L80" s="510">
        <f t="shared" si="25"/>
        <v>1058622606</v>
      </c>
      <c r="N80" s="1473">
        <f>-ROUND(SUMIF('1.0'!$D:$D,T_IS!D80,'1.0'!$V:$V),0)</f>
        <v>0</v>
      </c>
      <c r="O80" s="509">
        <f>-ROUND(SUMIF('2.0'!$D:$D,T_IS!D80,'2.0'!$V:$V),0)</f>
        <v>0</v>
      </c>
      <c r="P80" s="509">
        <f>-ROUND(SUMIF('3.0'!$D:$D,T_IS!D80,'3.0'!$H:$H),0)</f>
        <v>0</v>
      </c>
      <c r="Q80" s="509">
        <f>-ROUND(SUMIF('4.0'!$D:$D,T_IS!D80,'4.0'!$V:$V),0)</f>
        <v>0</v>
      </c>
      <c r="R80" s="509">
        <f>-ROUND(SUMIF('5.0'!$D:$D,T_IS!D80,'5.0'!$V:$V),0)</f>
        <v>0</v>
      </c>
      <c r="S80" s="509">
        <f>ROUND(SUMIF('6.0'!$D:$D,T_IS!D80,'6.0'!$V:$V),0)</f>
        <v>0</v>
      </c>
      <c r="T80" s="509">
        <f>-ROUND(SUMIF('7.0'!$D:$D,T_IS!D80,'7.0'!$V:$V),0)</f>
        <v>0</v>
      </c>
      <c r="U80" s="509">
        <f>-ROUND(SUMIF('8.0'!$D:$D,T_IS!F80,'8.0'!$H:$H),0)</f>
        <v>0</v>
      </c>
      <c r="V80" s="1475">
        <f t="shared" si="26"/>
        <v>0</v>
      </c>
      <c r="X80" s="1622">
        <f t="shared" si="27"/>
        <v>1058622606</v>
      </c>
      <c r="Z80" s="1622">
        <f t="shared" si="28"/>
        <v>64371902</v>
      </c>
      <c r="AA80" s="1622">
        <f t="shared" si="29"/>
        <v>115204378</v>
      </c>
      <c r="AB80" s="1622">
        <f t="shared" si="30"/>
        <v>-50832476</v>
      </c>
      <c r="AD80" s="550">
        <v>994250704</v>
      </c>
      <c r="AE80" s="550">
        <v>879046326</v>
      </c>
      <c r="AF80" s="550">
        <v>764715971</v>
      </c>
      <c r="AG80" s="550">
        <v>608010487</v>
      </c>
      <c r="AH80" s="550">
        <v>254996474</v>
      </c>
      <c r="AI80" s="550">
        <v>1630679831</v>
      </c>
      <c r="AJ80" s="550">
        <v>186974329</v>
      </c>
      <c r="AK80" s="550">
        <v>171411160</v>
      </c>
      <c r="AL80" s="550">
        <v>74435482</v>
      </c>
      <c r="AM80" s="1622">
        <v>32680965</v>
      </c>
      <c r="AN80" s="509">
        <v>279732347</v>
      </c>
      <c r="AO80" s="1622">
        <v>200624250</v>
      </c>
      <c r="AP80" s="1623">
        <v>202025919</v>
      </c>
      <c r="AQ80" s="1624">
        <v>92741792</v>
      </c>
    </row>
    <row r="81" spans="1:43" ht="18" customHeight="1">
      <c r="A81" s="509"/>
      <c r="D81" s="1598" t="s">
        <v>323</v>
      </c>
      <c r="E81" s="1364" t="s">
        <v>314</v>
      </c>
      <c r="F81" s="1366">
        <v>402</v>
      </c>
      <c r="G81" s="1364" t="s">
        <v>324</v>
      </c>
      <c r="H81" s="498">
        <v>140352733</v>
      </c>
      <c r="I81" s="498">
        <v>0</v>
      </c>
      <c r="J81" s="710">
        <v>0</v>
      </c>
      <c r="K81" s="710">
        <v>0</v>
      </c>
      <c r="L81" s="510">
        <f t="shared" si="25"/>
        <v>140352733</v>
      </c>
      <c r="N81" s="1473">
        <f>-ROUND(SUMIF('1.0'!$D:$D,T_IS!D81,'1.0'!$V:$V),0)</f>
        <v>0</v>
      </c>
      <c r="O81" s="509">
        <f>-ROUND(SUMIF('2.0'!$D:$D,T_IS!D81,'2.0'!$V:$V),0)</f>
        <v>0</v>
      </c>
      <c r="P81" s="509">
        <f>-ROUND(SUMIF('3.0'!$D:$D,T_IS!D81,'3.0'!$H:$H),0)</f>
        <v>0</v>
      </c>
      <c r="Q81" s="509">
        <f>-ROUND(SUMIF('4.0'!$D:$D,T_IS!D81,'4.0'!$V:$V),0)</f>
        <v>0</v>
      </c>
      <c r="R81" s="509">
        <f>-ROUND(SUMIF('5.0'!$D:$D,T_IS!D81,'5.0'!$V:$V),0)</f>
        <v>0</v>
      </c>
      <c r="S81" s="509">
        <f>ROUND(SUMIF('6.0'!$D:$D,T_IS!D81,'6.0'!$V:$V),0)</f>
        <v>0</v>
      </c>
      <c r="T81" s="509">
        <f>-ROUND(SUMIF('7.0'!$D:$D,T_IS!D81,'7.0'!$V:$V),0)</f>
        <v>0</v>
      </c>
      <c r="U81" s="509">
        <f>-ROUND(SUMIF('8.0'!$D:$D,T_IS!F81,'8.0'!$H:$H),0)</f>
        <v>0</v>
      </c>
      <c r="V81" s="1475">
        <f t="shared" si="26"/>
        <v>0</v>
      </c>
      <c r="X81" s="1622">
        <f t="shared" si="27"/>
        <v>140352733</v>
      </c>
      <c r="Z81" s="1622">
        <f t="shared" si="28"/>
        <v>11448657</v>
      </c>
      <c r="AA81" s="1622">
        <f t="shared" si="29"/>
        <v>30691973</v>
      </c>
      <c r="AB81" s="1622">
        <f t="shared" si="30"/>
        <v>-19243316</v>
      </c>
      <c r="AD81" s="550">
        <v>128904076</v>
      </c>
      <c r="AE81" s="550">
        <v>98212103</v>
      </c>
      <c r="AF81" s="550">
        <v>81392218</v>
      </c>
      <c r="AG81" s="550">
        <v>57587203</v>
      </c>
      <c r="AH81" s="550">
        <v>11496545</v>
      </c>
      <c r="AI81" s="550">
        <v>245912714</v>
      </c>
      <c r="AJ81" s="550">
        <v>172776857</v>
      </c>
      <c r="AK81" s="550">
        <v>136991402</v>
      </c>
      <c r="AL81" s="550">
        <v>62561617</v>
      </c>
      <c r="AM81" s="1622">
        <v>11285102</v>
      </c>
      <c r="AN81" s="509">
        <v>112196721</v>
      </c>
      <c r="AO81" s="1622">
        <v>108781532</v>
      </c>
      <c r="AP81" s="1623">
        <v>83325137</v>
      </c>
      <c r="AQ81" s="1624">
        <v>21134887</v>
      </c>
    </row>
    <row r="82" spans="1:43" ht="18" customHeight="1">
      <c r="A82" s="509"/>
      <c r="D82" s="1598" t="s">
        <v>325</v>
      </c>
      <c r="E82" s="1364" t="s">
        <v>314</v>
      </c>
      <c r="F82" s="1366">
        <v>403</v>
      </c>
      <c r="G82" s="1364" t="s">
        <v>326</v>
      </c>
      <c r="H82" s="498">
        <v>1356793634</v>
      </c>
      <c r="I82" s="498">
        <v>0</v>
      </c>
      <c r="J82" s="710">
        <v>0</v>
      </c>
      <c r="K82" s="710">
        <v>0</v>
      </c>
      <c r="L82" s="510">
        <f t="shared" si="25"/>
        <v>1356793634</v>
      </c>
      <c r="N82" s="1473">
        <f>-ROUND(SUMIF('1.0'!$D:$D,T_IS!D82,'1.0'!$V:$V),0)</f>
        <v>0</v>
      </c>
      <c r="O82" s="509">
        <f>-ROUND(SUMIF('2.0'!$D:$D,T_IS!D82,'2.0'!$V:$V),0)</f>
        <v>0</v>
      </c>
      <c r="P82" s="509">
        <f>-ROUND(SUMIF('3.0'!$D:$D,T_IS!D82,'3.0'!$H:$H),0)</f>
        <v>0</v>
      </c>
      <c r="Q82" s="509">
        <f>-ROUND(SUMIF('4.0'!$D:$D,T_IS!D82,'4.0'!$V:$V),0)</f>
        <v>0</v>
      </c>
      <c r="R82" s="509">
        <f>-ROUND(SUMIF('5.0'!$D:$D,T_IS!D82,'5.0'!$V:$V),0)</f>
        <v>0</v>
      </c>
      <c r="S82" s="509">
        <f>ROUND(SUMIF('6.0'!$D:$D,T_IS!D82,'6.0'!$V:$V),0)</f>
        <v>0</v>
      </c>
      <c r="T82" s="509">
        <f>-ROUND(SUMIF('7.0'!$D:$D,T_IS!D82,'7.0'!$V:$V),0)</f>
        <v>0</v>
      </c>
      <c r="U82" s="509">
        <f>-ROUND(SUMIF('8.0'!$D:$D,T_IS!F82,'8.0'!$H:$H),0)</f>
        <v>0</v>
      </c>
      <c r="V82" s="1475">
        <f t="shared" si="26"/>
        <v>0</v>
      </c>
      <c r="X82" s="1622">
        <f t="shared" si="27"/>
        <v>1356793634</v>
      </c>
      <c r="Z82" s="1622">
        <f t="shared" si="28"/>
        <v>-200514005</v>
      </c>
      <c r="AA82" s="1622">
        <f t="shared" si="29"/>
        <v>579653734</v>
      </c>
      <c r="AB82" s="1622">
        <f t="shared" si="30"/>
        <v>-780167739</v>
      </c>
      <c r="AD82" s="550">
        <v>1557307639</v>
      </c>
      <c r="AE82" s="550">
        <v>977653905</v>
      </c>
      <c r="AF82" s="550">
        <v>738587080</v>
      </c>
      <c r="AG82" s="550">
        <v>794969390</v>
      </c>
      <c r="AH82" s="550">
        <v>226660429</v>
      </c>
      <c r="AI82" s="550">
        <v>1307769706</v>
      </c>
      <c r="AJ82" s="550">
        <v>1171741648</v>
      </c>
      <c r="AK82" s="550">
        <v>2131908328</v>
      </c>
      <c r="AL82" s="550">
        <v>1193376796</v>
      </c>
      <c r="AM82" s="1622">
        <v>1358765545</v>
      </c>
      <c r="AN82" s="509">
        <v>-9390546</v>
      </c>
      <c r="AO82" s="1622">
        <v>137282355</v>
      </c>
      <c r="AP82" s="1623">
        <v>711020905</v>
      </c>
      <c r="AQ82" s="1624">
        <v>1396746133</v>
      </c>
    </row>
    <row r="83" spans="1:43" ht="18" customHeight="1">
      <c r="A83" s="509"/>
      <c r="D83" s="1598" t="s">
        <v>327</v>
      </c>
      <c r="E83" s="1364" t="s">
        <v>314</v>
      </c>
      <c r="F83" s="1366">
        <v>403</v>
      </c>
      <c r="G83" s="1364" t="s">
        <v>328</v>
      </c>
      <c r="H83" s="498">
        <v>2292851</v>
      </c>
      <c r="I83" s="498">
        <v>0</v>
      </c>
      <c r="J83" s="710">
        <v>0</v>
      </c>
      <c r="K83" s="710">
        <v>0</v>
      </c>
      <c r="L83" s="510">
        <f t="shared" si="25"/>
        <v>2292851</v>
      </c>
      <c r="N83" s="1473">
        <f>-ROUND(SUMIF('1.0'!$D:$D,T_IS!D83,'1.0'!$V:$V),0)</f>
        <v>0</v>
      </c>
      <c r="O83" s="509">
        <f>-ROUND(SUMIF('2.0'!$D:$D,T_IS!D83,'2.0'!$V:$V),0)</f>
        <v>0</v>
      </c>
      <c r="P83" s="509">
        <f>-ROUND(SUMIF('3.0'!$D:$D,T_IS!D83,'3.0'!$H:$H),0)</f>
        <v>0</v>
      </c>
      <c r="Q83" s="509">
        <f>-ROUND(SUMIF('4.0'!$D:$D,T_IS!D83,'4.0'!$V:$V),0)</f>
        <v>0</v>
      </c>
      <c r="R83" s="509">
        <f>-ROUND(SUMIF('5.0'!$D:$D,T_IS!D83,'5.0'!$V:$V),0)</f>
        <v>0</v>
      </c>
      <c r="S83" s="509">
        <f>ROUND(SUMIF('6.0'!$D:$D,T_IS!D83,'6.0'!$V:$V),0)</f>
        <v>0</v>
      </c>
      <c r="T83" s="509">
        <f>-ROUND(SUMIF('7.0'!$D:$D,T_IS!D83,'7.0'!$V:$V),0)</f>
        <v>0</v>
      </c>
      <c r="U83" s="509">
        <f>-ROUND(SUMIF('8.0'!$D:$D,T_IS!F83,'8.0'!$H:$H),0)</f>
        <v>0</v>
      </c>
      <c r="V83" s="1475">
        <f t="shared" si="26"/>
        <v>0</v>
      </c>
      <c r="X83" s="1622">
        <f t="shared" si="27"/>
        <v>2292851</v>
      </c>
      <c r="Z83" s="1622">
        <f t="shared" si="28"/>
        <v>2292851</v>
      </c>
      <c r="AA83" s="1622">
        <f t="shared" si="29"/>
        <v>0</v>
      </c>
      <c r="AB83" s="1622">
        <f t="shared" si="30"/>
        <v>2292851</v>
      </c>
      <c r="AD83" s="550">
        <v>0</v>
      </c>
      <c r="AE83" s="550">
        <v>0</v>
      </c>
      <c r="AF83" s="550">
        <v>2861982</v>
      </c>
      <c r="AG83" s="550">
        <v>755385</v>
      </c>
      <c r="AH83" s="550">
        <v>455542</v>
      </c>
      <c r="AI83" s="550">
        <v>11094527</v>
      </c>
      <c r="AJ83" s="550">
        <v>6798751</v>
      </c>
      <c r="AK83" s="550">
        <v>2510283</v>
      </c>
      <c r="AL83" s="550">
        <v>248210</v>
      </c>
      <c r="AM83" s="1622">
        <v>246108</v>
      </c>
      <c r="AN83" s="509">
        <v>58368622</v>
      </c>
      <c r="AO83" s="1622">
        <v>7250734</v>
      </c>
      <c r="AP83" s="1623">
        <v>2635367</v>
      </c>
      <c r="AQ83" s="1624">
        <v>1300329</v>
      </c>
    </row>
    <row r="84" spans="1:43" ht="18" customHeight="1">
      <c r="A84" s="509"/>
      <c r="D84" s="1598" t="s">
        <v>329</v>
      </c>
      <c r="E84" s="1364" t="s">
        <v>314</v>
      </c>
      <c r="F84" s="1366">
        <v>404</v>
      </c>
      <c r="G84" s="1364" t="s">
        <v>330</v>
      </c>
      <c r="H84" s="498">
        <v>0</v>
      </c>
      <c r="I84" s="498">
        <v>0</v>
      </c>
      <c r="J84" s="710">
        <v>0</v>
      </c>
      <c r="K84" s="710">
        <v>0</v>
      </c>
      <c r="L84" s="510">
        <f t="shared" si="25"/>
        <v>0</v>
      </c>
      <c r="N84" s="1473">
        <f>-ROUND(SUMIF('1.0'!$D:$D,T_IS!D84,'1.0'!$V:$V),0)</f>
        <v>0</v>
      </c>
      <c r="O84" s="509">
        <f>-ROUND(SUMIF('2.0'!$D:$D,T_IS!D84,'2.0'!$V:$V),0)</f>
        <v>0</v>
      </c>
      <c r="P84" s="509">
        <f>-ROUND(SUMIF('3.0'!$D:$D,T_IS!D84,'3.0'!$H:$H),0)</f>
        <v>0</v>
      </c>
      <c r="Q84" s="509">
        <f>-ROUND(SUMIF('4.0'!$D:$D,T_IS!D84,'4.0'!$V:$V),0)</f>
        <v>0</v>
      </c>
      <c r="R84" s="509">
        <f>-ROUND(SUMIF('5.0'!$D:$D,T_IS!D84,'5.0'!$V:$V),0)</f>
        <v>0</v>
      </c>
      <c r="S84" s="509">
        <f>ROUND(SUMIF('6.0'!$D:$D,T_IS!D84,'6.0'!$V:$V),0)</f>
        <v>0</v>
      </c>
      <c r="T84" s="509">
        <f>-ROUND(SUMIF('7.0'!$D:$D,T_IS!D84,'7.0'!$V:$V),0)</f>
        <v>0</v>
      </c>
      <c r="U84" s="509">
        <f>-ROUND(SUMIF('8.0'!$D:$D,T_IS!F84,'8.0'!$H:$H),0)</f>
        <v>0</v>
      </c>
      <c r="V84" s="1475">
        <f t="shared" si="26"/>
        <v>0</v>
      </c>
      <c r="X84" s="1622">
        <f t="shared" si="27"/>
        <v>0</v>
      </c>
      <c r="Z84" s="1622">
        <f t="shared" si="28"/>
        <v>0</v>
      </c>
      <c r="AA84" s="1622">
        <f t="shared" si="29"/>
        <v>0</v>
      </c>
      <c r="AB84" s="1622">
        <f t="shared" si="30"/>
        <v>0</v>
      </c>
      <c r="AD84" s="550">
        <v>0</v>
      </c>
      <c r="AE84" s="550">
        <v>0</v>
      </c>
      <c r="AF84" s="550">
        <v>0</v>
      </c>
      <c r="AG84" s="550">
        <v>0</v>
      </c>
      <c r="AH84" s="550">
        <v>0</v>
      </c>
      <c r="AI84" s="550">
        <v>770071633</v>
      </c>
      <c r="AJ84" s="550">
        <v>0</v>
      </c>
      <c r="AK84" s="550">
        <v>0</v>
      </c>
      <c r="AL84" s="550">
        <v>0</v>
      </c>
      <c r="AM84" s="1622">
        <v>0</v>
      </c>
      <c r="AN84" s="509">
        <v>0</v>
      </c>
      <c r="AO84" s="1622">
        <v>0</v>
      </c>
      <c r="AP84" s="1623">
        <v>0</v>
      </c>
      <c r="AQ84" s="1624">
        <v>0</v>
      </c>
    </row>
    <row r="85" spans="1:43" ht="18" customHeight="1">
      <c r="A85" s="509"/>
      <c r="D85" s="1639">
        <v>713590</v>
      </c>
      <c r="E85" s="1506" t="s">
        <v>314</v>
      </c>
      <c r="F85" s="1640">
        <v>406</v>
      </c>
      <c r="G85" s="1364" t="s">
        <v>2498</v>
      </c>
      <c r="H85" s="498">
        <v>41363014942</v>
      </c>
      <c r="I85" s="498">
        <v>0</v>
      </c>
      <c r="J85" s="710">
        <v>0</v>
      </c>
      <c r="K85" s="710">
        <v>0</v>
      </c>
      <c r="L85" s="510">
        <f t="shared" si="25"/>
        <v>41363014942</v>
      </c>
      <c r="N85" s="1473">
        <f>-ROUND(SUMIF('1.0'!$D:$D,T_IS!D85,'1.0'!$V:$V),0)</f>
        <v>0</v>
      </c>
      <c r="O85" s="509">
        <f>-ROUND(SUMIF('2.0'!$D:$D,T_IS!D85,'2.0'!$V:$V),0)</f>
        <v>0</v>
      </c>
      <c r="P85" s="509">
        <f>-ROUND(SUMIF('3.0'!$D:$D,T_IS!D85,'3.0'!$H:$H),0)</f>
        <v>0</v>
      </c>
      <c r="Q85" s="509">
        <f>-ROUND(SUMIF('4.0'!$D:$D,T_IS!D85,'4.0'!$V:$V),0)</f>
        <v>0</v>
      </c>
      <c r="R85" s="509">
        <f>-ROUND(SUMIF('5.0'!$D:$D,T_IS!D85,'5.0'!$V:$V),0)</f>
        <v>0</v>
      </c>
      <c r="S85" s="509">
        <f>ROUND(SUMIF('6.0'!$D:$D,T_IS!D85,'6.0'!$V:$V),0)</f>
        <v>0</v>
      </c>
      <c r="T85" s="509">
        <f>-ROUND(SUMIF('7.0'!$D:$D,T_IS!D85,'7.0'!$V:$V),0)</f>
        <v>0</v>
      </c>
      <c r="U85" s="509">
        <f>-ROUND(SUMIF('8.0'!$D:$D,T_IS!F85,'8.0'!$H:$H),0)</f>
        <v>0</v>
      </c>
      <c r="V85" s="1475">
        <f>SUM(N85:U85)</f>
        <v>0</v>
      </c>
      <c r="X85" s="1622">
        <f t="shared" si="27"/>
        <v>41363014942</v>
      </c>
      <c r="Z85" s="1622">
        <f t="shared" si="28"/>
        <v>0</v>
      </c>
      <c r="AA85" s="1622">
        <f t="shared" si="29"/>
        <v>8348968070</v>
      </c>
      <c r="AB85" s="1622">
        <f t="shared" si="30"/>
        <v>-8348968070</v>
      </c>
      <c r="AD85" s="550">
        <v>41363014942</v>
      </c>
      <c r="AE85" s="550">
        <v>33014046872</v>
      </c>
      <c r="AF85" s="550">
        <v>33014046872</v>
      </c>
      <c r="AG85" s="550">
        <v>33014046872</v>
      </c>
      <c r="AH85" s="550">
        <v>9430022699</v>
      </c>
      <c r="AI85" s="550">
        <v>0</v>
      </c>
      <c r="AJ85" s="550">
        <v>0</v>
      </c>
      <c r="AK85" s="550">
        <v>0</v>
      </c>
      <c r="AL85" s="550">
        <v>0</v>
      </c>
      <c r="AM85" s="1622">
        <v>0</v>
      </c>
      <c r="AN85" s="509">
        <v>0</v>
      </c>
      <c r="AO85" s="1622">
        <v>0</v>
      </c>
      <c r="AP85" s="1623">
        <v>0</v>
      </c>
      <c r="AQ85" s="1624">
        <v>0</v>
      </c>
    </row>
    <row r="86" spans="1:43" ht="18" customHeight="1">
      <c r="A86" s="509"/>
      <c r="D86" s="1598" t="s">
        <v>331</v>
      </c>
      <c r="E86" s="1364" t="s">
        <v>314</v>
      </c>
      <c r="F86" s="1366">
        <v>405</v>
      </c>
      <c r="G86" s="1364" t="s">
        <v>332</v>
      </c>
      <c r="H86" s="498">
        <v>3510625687</v>
      </c>
      <c r="I86" s="498">
        <v>0</v>
      </c>
      <c r="J86" s="710">
        <v>0</v>
      </c>
      <c r="K86" s="710">
        <v>0</v>
      </c>
      <c r="L86" s="510">
        <f t="shared" si="25"/>
        <v>3510625687</v>
      </c>
      <c r="N86" s="1473">
        <f>-ROUND(SUMIF('1.0'!$D:$D,T_IS!D86,'1.0'!$V:$V),0)</f>
        <v>0</v>
      </c>
      <c r="O86" s="509">
        <f>-ROUND(SUMIF('2.0'!$D:$D,T_IS!D86,'2.0'!$V:$V),0)</f>
        <v>0</v>
      </c>
      <c r="P86" s="509">
        <f>-ROUND(SUMIF('3.0'!$D:$D,T_IS!D86,'3.0'!$H:$H),0)</f>
        <v>0</v>
      </c>
      <c r="Q86" s="509">
        <f>-ROUND(SUMIF('4.0'!$D:$D,T_IS!D86,'4.0'!$V:$V),0)</f>
        <v>0</v>
      </c>
      <c r="R86" s="509">
        <f>-ROUND(SUMIF('5.0'!$D:$D,T_IS!D86,'5.0'!$V:$V),0)</f>
        <v>0</v>
      </c>
      <c r="S86" s="509">
        <f>ROUND(SUMIF('6.0'!$D:$D,T_IS!D86,'6.0'!$V:$V),0)</f>
        <v>0</v>
      </c>
      <c r="T86" s="509">
        <f>-ROUND(SUMIF('7.0'!$D:$D,T_IS!D86,'7.0'!$V:$V),0)</f>
        <v>0</v>
      </c>
      <c r="U86" s="509">
        <f>-ROUND(SUMIF('8.0'!$D:$D,T_IS!F86,'8.0'!$H:$H),0)</f>
        <v>0</v>
      </c>
      <c r="V86" s="1475">
        <f t="shared" si="26"/>
        <v>0</v>
      </c>
      <c r="X86" s="1622">
        <f t="shared" si="27"/>
        <v>3510625687</v>
      </c>
      <c r="Z86" s="1622">
        <f t="shared" si="28"/>
        <v>0</v>
      </c>
      <c r="AA86" s="1622">
        <f t="shared" si="29"/>
        <v>0</v>
      </c>
      <c r="AB86" s="1622">
        <f t="shared" si="30"/>
        <v>0</v>
      </c>
      <c r="AD86" s="550">
        <v>3510625687</v>
      </c>
      <c r="AE86" s="550">
        <v>3510625687</v>
      </c>
      <c r="AF86" s="550">
        <v>3510625687</v>
      </c>
      <c r="AG86" s="550">
        <v>3510625687</v>
      </c>
      <c r="AH86" s="550">
        <v>3542125687</v>
      </c>
      <c r="AI86" s="550">
        <v>0</v>
      </c>
      <c r="AJ86" s="550">
        <v>0</v>
      </c>
      <c r="AK86" s="550">
        <v>0</v>
      </c>
      <c r="AL86" s="550">
        <v>0</v>
      </c>
      <c r="AM86" s="1622">
        <v>0</v>
      </c>
      <c r="AN86" s="509">
        <v>0</v>
      </c>
      <c r="AO86" s="1622">
        <v>0</v>
      </c>
      <c r="AP86" s="1623">
        <v>0</v>
      </c>
      <c r="AQ86" s="1624">
        <v>0</v>
      </c>
    </row>
    <row r="87" spans="1:43" ht="18" customHeight="1">
      <c r="A87" s="509"/>
      <c r="D87" s="1593"/>
      <c r="E87" s="1594"/>
      <c r="F87" s="1633"/>
      <c r="G87" s="1594" t="s">
        <v>333</v>
      </c>
      <c r="H87" s="520">
        <f>SUM(H88:H99)</f>
        <v>2942371664</v>
      </c>
      <c r="I87" s="506">
        <f>SUM(I88:I99)</f>
        <v>56206860</v>
      </c>
      <c r="J87" s="506">
        <f>SUM(J88:J99)</f>
        <v>908634</v>
      </c>
      <c r="K87" s="506">
        <f>SUM(K88:K99)</f>
        <v>74887796</v>
      </c>
      <c r="L87" s="507">
        <f>SUM(L88:L99)</f>
        <v>3074374954</v>
      </c>
      <c r="N87" s="1634">
        <f t="shared" ref="N87:V87" si="31">SUM(N88:N99)</f>
        <v>0</v>
      </c>
      <c r="O87" s="506">
        <f t="shared" si="31"/>
        <v>0</v>
      </c>
      <c r="P87" s="506">
        <f t="shared" si="31"/>
        <v>-46841095</v>
      </c>
      <c r="Q87" s="506">
        <f t="shared" si="31"/>
        <v>0</v>
      </c>
      <c r="R87" s="506">
        <f t="shared" si="31"/>
        <v>0</v>
      </c>
      <c r="S87" s="506">
        <f t="shared" si="31"/>
        <v>0</v>
      </c>
      <c r="T87" s="506">
        <f t="shared" si="31"/>
        <v>0</v>
      </c>
      <c r="U87" s="506">
        <f t="shared" si="31"/>
        <v>0</v>
      </c>
      <c r="V87" s="1635">
        <f t="shared" si="31"/>
        <v>-46841095</v>
      </c>
      <c r="X87" s="1636">
        <f>SUM(X88:X99)</f>
        <v>3027533859</v>
      </c>
      <c r="Z87" s="1636">
        <f>SUM(Z88:Z99)</f>
        <v>210906841</v>
      </c>
      <c r="AA87" s="1636">
        <f>SUM(AA88:AA99)</f>
        <v>-249255895</v>
      </c>
      <c r="AB87" s="1636">
        <f>SUM(AB88:AB99)</f>
        <v>460162736</v>
      </c>
      <c r="AD87" s="1637">
        <v>2816627018</v>
      </c>
      <c r="AE87" s="1637">
        <v>3065882913</v>
      </c>
      <c r="AF87" s="1637">
        <v>3019597304</v>
      </c>
      <c r="AG87" s="1637">
        <v>3009429455</v>
      </c>
      <c r="AH87" s="1637">
        <v>933678146</v>
      </c>
      <c r="AI87" s="1637">
        <v>23668309521</v>
      </c>
      <c r="AJ87" s="1637">
        <v>8454476540</v>
      </c>
      <c r="AK87" s="1637">
        <v>8364900992</v>
      </c>
      <c r="AL87" s="1637">
        <v>18947959777</v>
      </c>
      <c r="AM87" s="1636">
        <f>SUM(AM88:AM99)</f>
        <v>241245268</v>
      </c>
      <c r="AN87" s="506">
        <f>SUM(AN88:AN99)</f>
        <v>3900339065</v>
      </c>
      <c r="AO87" s="1636">
        <f>SUM(AO88:AO99)</f>
        <v>436783544</v>
      </c>
      <c r="AP87" s="1636">
        <f>SUM(AP88:AP99)</f>
        <v>197830038</v>
      </c>
      <c r="AQ87" s="1638">
        <f>SUM(AQ88:AQ99)</f>
        <v>123547107</v>
      </c>
    </row>
    <row r="88" spans="1:43" ht="18" customHeight="1">
      <c r="A88" s="509"/>
      <c r="D88" s="1598" t="s">
        <v>334</v>
      </c>
      <c r="E88" s="1364" t="s">
        <v>333</v>
      </c>
      <c r="F88" s="1366">
        <v>501</v>
      </c>
      <c r="G88" s="1364" t="s">
        <v>335</v>
      </c>
      <c r="H88" s="498">
        <v>0</v>
      </c>
      <c r="I88" s="498">
        <v>0</v>
      </c>
      <c r="J88" s="710">
        <v>0</v>
      </c>
      <c r="K88" s="710">
        <v>0</v>
      </c>
      <c r="L88" s="510">
        <f t="shared" ref="L88:L99" si="32">SUM(H88:K88)</f>
        <v>0</v>
      </c>
      <c r="N88" s="1473">
        <f>ROUND(SUMIF('1.0'!$D:$D,T_IS!D88,'1.0'!$V:$V),0)</f>
        <v>0</v>
      </c>
      <c r="O88" s="509">
        <f>ROUND(SUMIF('2.0'!$D:$D,T_IS!D88,'2.0'!$V:$V),0)</f>
        <v>0</v>
      </c>
      <c r="P88" s="509">
        <f>ROUND(SUMIF('3.0'!$D:$D,T_IS!D88,'3.0'!$H:$H),0)</f>
        <v>0</v>
      </c>
      <c r="Q88" s="509">
        <f>ROUND(SUMIF('4.0'!$D:$D,T_IS!D88,'4.0'!$V:$V),0)</f>
        <v>0</v>
      </c>
      <c r="R88" s="509">
        <f>ROUND(SUMIF('5.0'!$D:$D,T_IS!D88,'5.0'!$V:$V),0)</f>
        <v>0</v>
      </c>
      <c r="S88" s="509">
        <f>ROUND(SUMIF('6.0'!$D:$D,T_IS!D88,'6.0'!$V:$V),0)</f>
        <v>0</v>
      </c>
      <c r="T88" s="509">
        <f>ROUND(SUMIF('7.0'!$D:$D,T_IS!D88,'7.0'!$V:$V),0)</f>
        <v>0</v>
      </c>
      <c r="U88" s="509">
        <f>ROUND(SUMIF('8.0'!$D:$D,T_IS!F88,'8.0'!$H:$H),0)</f>
        <v>0</v>
      </c>
      <c r="V88" s="1475">
        <f t="shared" ref="V88:V99" si="33">SUM(N88:U88)</f>
        <v>0</v>
      </c>
      <c r="X88" s="1622">
        <f t="shared" ref="X88:X99" si="34">V88+L88</f>
        <v>0</v>
      </c>
      <c r="Z88" s="1622">
        <f t="shared" ref="Z88:Z99" si="35">X88-AD88</f>
        <v>0</v>
      </c>
      <c r="AA88" s="1622">
        <f t="shared" ref="AA88:AA99" si="36">AD88-AE88</f>
        <v>0</v>
      </c>
      <c r="AB88" s="1622">
        <f t="shared" ref="AB88:AB99" si="37">Z88-AA88</f>
        <v>0</v>
      </c>
      <c r="AD88" s="550">
        <v>0</v>
      </c>
      <c r="AE88" s="550">
        <v>0</v>
      </c>
      <c r="AF88" s="550">
        <v>0</v>
      </c>
      <c r="AG88" s="550">
        <v>0</v>
      </c>
      <c r="AH88" s="550">
        <v>0</v>
      </c>
      <c r="AI88" s="550">
        <v>0</v>
      </c>
      <c r="AJ88" s="550">
        <v>0</v>
      </c>
      <c r="AK88" s="550">
        <v>0</v>
      </c>
      <c r="AL88" s="550">
        <v>0</v>
      </c>
      <c r="AM88" s="1622">
        <v>0</v>
      </c>
      <c r="AN88" s="509">
        <v>0</v>
      </c>
      <c r="AO88" s="1622">
        <v>0</v>
      </c>
      <c r="AP88" s="1623">
        <v>0</v>
      </c>
      <c r="AQ88" s="1624">
        <v>0</v>
      </c>
    </row>
    <row r="89" spans="1:43" ht="18" customHeight="1">
      <c r="A89" s="509"/>
      <c r="D89" s="1639" t="s">
        <v>336</v>
      </c>
      <c r="E89" s="1506" t="s">
        <v>333</v>
      </c>
      <c r="F89" s="1640">
        <v>501</v>
      </c>
      <c r="G89" s="1364" t="s">
        <v>337</v>
      </c>
      <c r="H89" s="498">
        <v>0</v>
      </c>
      <c r="I89" s="498">
        <v>46841095</v>
      </c>
      <c r="J89" s="710">
        <v>0</v>
      </c>
      <c r="K89" s="710">
        <v>0</v>
      </c>
      <c r="L89" s="510">
        <f t="shared" si="32"/>
        <v>46841095</v>
      </c>
      <c r="N89" s="1473">
        <f>ROUND(SUMIF('1.0'!$D:$D,T_IS!D89,'1.0'!$V:$V),0)</f>
        <v>0</v>
      </c>
      <c r="O89" s="509">
        <f>ROUND(SUMIF('2.0'!$D:$D,T_IS!D89,'2.0'!$V:$V),0)</f>
        <v>0</v>
      </c>
      <c r="P89" s="509">
        <f>ROUND(SUMIF('3.0'!$D:$D,T_IS!D89,'3.0'!$H:$H),0)</f>
        <v>-46841095</v>
      </c>
      <c r="Q89" s="509">
        <f>ROUND(SUMIF('4.0'!$D:$D,T_IS!D89,'4.0'!$V:$V),0)</f>
        <v>0</v>
      </c>
      <c r="R89" s="509">
        <f>ROUND(SUMIF('5.0'!$D:$D,T_IS!D89,'5.0'!$V:$V),0)</f>
        <v>0</v>
      </c>
      <c r="S89" s="509">
        <f>ROUND(SUMIF('6.0'!$D:$D,T_IS!D89,'6.0'!$V:$V),0)</f>
        <v>0</v>
      </c>
      <c r="T89" s="509">
        <f>ROUND(SUMIF('7.0'!$D:$D,T_IS!D89,'7.0'!$V:$V),0)</f>
        <v>0</v>
      </c>
      <c r="U89" s="509">
        <f>ROUND(SUMIF('8.0'!$D:$D,T_IS!F89,'8.0'!$H:$H),0)</f>
        <v>0</v>
      </c>
      <c r="V89" s="1475">
        <f t="shared" si="33"/>
        <v>-46841095</v>
      </c>
      <c r="X89" s="1622">
        <f t="shared" si="34"/>
        <v>0</v>
      </c>
      <c r="Z89" s="1622">
        <f t="shared" si="35"/>
        <v>0</v>
      </c>
      <c r="AA89" s="1622">
        <f t="shared" si="36"/>
        <v>0</v>
      </c>
      <c r="AB89" s="1622">
        <f t="shared" si="37"/>
        <v>0</v>
      </c>
      <c r="AD89" s="550">
        <v>0</v>
      </c>
      <c r="AE89" s="550">
        <v>0</v>
      </c>
      <c r="AF89" s="550">
        <v>0</v>
      </c>
      <c r="AG89" s="550">
        <v>0</v>
      </c>
      <c r="AH89" s="550">
        <v>0</v>
      </c>
      <c r="AI89" s="550">
        <v>0</v>
      </c>
      <c r="AJ89" s="550">
        <v>0</v>
      </c>
      <c r="AK89" s="550">
        <v>0</v>
      </c>
      <c r="AL89" s="550">
        <v>0</v>
      </c>
      <c r="AM89" s="1622">
        <v>0</v>
      </c>
      <c r="AN89" s="509">
        <v>0</v>
      </c>
      <c r="AO89" s="1622">
        <v>341958</v>
      </c>
      <c r="AP89" s="1623">
        <v>290808</v>
      </c>
      <c r="AQ89" s="1624">
        <v>145464</v>
      </c>
    </row>
    <row r="90" spans="1:43" ht="18" customHeight="1">
      <c r="A90" s="509"/>
      <c r="D90" s="1639" t="s">
        <v>338</v>
      </c>
      <c r="E90" s="1506" t="s">
        <v>333</v>
      </c>
      <c r="F90" s="1640">
        <v>505</v>
      </c>
      <c r="G90" s="1364" t="s">
        <v>339</v>
      </c>
      <c r="H90" s="498">
        <v>141993427</v>
      </c>
      <c r="I90" s="498">
        <v>9365765</v>
      </c>
      <c r="J90" s="710">
        <v>384592</v>
      </c>
      <c r="K90" s="710">
        <v>51020303</v>
      </c>
      <c r="L90" s="510">
        <f t="shared" si="32"/>
        <v>202764087</v>
      </c>
      <c r="N90" s="1473">
        <f>ROUND(SUMIF('1.0'!$D:$D,T_IS!D90,'1.0'!$V:$V),0)</f>
        <v>0</v>
      </c>
      <c r="O90" s="509">
        <f>ROUND(SUMIF('2.0'!$D:$D,T_IS!D90,'2.0'!$V:$V),0)</f>
        <v>0</v>
      </c>
      <c r="P90" s="509">
        <f>ROUND(SUMIF('3.0'!$D:$D,T_IS!D90,'3.0'!$H:$H),0)</f>
        <v>0</v>
      </c>
      <c r="Q90" s="509">
        <f>ROUND(SUMIF('4.0'!$D:$D,T_IS!D90,'4.0'!$V:$V),0)</f>
        <v>0</v>
      </c>
      <c r="R90" s="509">
        <f>ROUND(SUMIF('5.0'!$D:$D,T_IS!D90,'5.0'!$V:$V),0)</f>
        <v>0</v>
      </c>
      <c r="S90" s="509">
        <f>ROUND(SUMIF('6.0'!$D:$D,T_IS!D90,'6.0'!$V:$V),0)</f>
        <v>0</v>
      </c>
      <c r="T90" s="509">
        <f>ROUND(SUMIF('7.0'!$D:$D,T_IS!D90,'7.0'!$V:$V),0)</f>
        <v>0</v>
      </c>
      <c r="U90" s="509">
        <f>ROUND(SUMIF('8.0'!$D:$D,T_IS!F90,'8.0'!$H:$H),0)</f>
        <v>0</v>
      </c>
      <c r="V90" s="1475">
        <f t="shared" si="33"/>
        <v>0</v>
      </c>
      <c r="X90" s="1622">
        <f t="shared" si="34"/>
        <v>202764087</v>
      </c>
      <c r="Z90" s="1622">
        <f t="shared" si="35"/>
        <v>6805812</v>
      </c>
      <c r="AA90" s="1622">
        <f t="shared" si="36"/>
        <v>19432937</v>
      </c>
      <c r="AB90" s="1622">
        <f t="shared" si="37"/>
        <v>-12627125</v>
      </c>
      <c r="AD90" s="550">
        <v>195958275</v>
      </c>
      <c r="AE90" s="550">
        <v>176525338</v>
      </c>
      <c r="AF90" s="550">
        <v>155431898</v>
      </c>
      <c r="AG90" s="550">
        <v>133120835</v>
      </c>
      <c r="AH90" s="550">
        <v>70777018</v>
      </c>
      <c r="AI90" s="550">
        <v>300912198</v>
      </c>
      <c r="AJ90" s="550">
        <v>254634747</v>
      </c>
      <c r="AK90" s="550">
        <v>230445961</v>
      </c>
      <c r="AL90" s="550">
        <v>155924169</v>
      </c>
      <c r="AM90" s="1622">
        <v>83985271</v>
      </c>
      <c r="AN90" s="509">
        <v>172075657</v>
      </c>
      <c r="AO90" s="1622">
        <v>124938956</v>
      </c>
      <c r="AP90" s="1623">
        <v>74217783</v>
      </c>
      <c r="AQ90" s="1624">
        <v>40708998</v>
      </c>
    </row>
    <row r="91" spans="1:43" ht="18" customHeight="1">
      <c r="A91" s="509"/>
      <c r="D91" s="1639" t="s">
        <v>1544</v>
      </c>
      <c r="E91" s="1506" t="s">
        <v>333</v>
      </c>
      <c r="F91" s="1640">
        <v>501</v>
      </c>
      <c r="G91" s="1364" t="s">
        <v>387</v>
      </c>
      <c r="H91" s="498">
        <v>0</v>
      </c>
      <c r="I91" s="498">
        <v>0</v>
      </c>
      <c r="J91" s="710">
        <v>0</v>
      </c>
      <c r="K91" s="710">
        <v>0</v>
      </c>
      <c r="L91" s="510">
        <f t="shared" si="32"/>
        <v>0</v>
      </c>
      <c r="N91" s="1473">
        <f>ROUND(SUMIF('1.0'!$D:$D,T_IS!D91,'1.0'!$V:$V),0)</f>
        <v>0</v>
      </c>
      <c r="O91" s="509">
        <f>ROUND(SUMIF('2.0'!$D:$D,T_IS!D91,'2.0'!$V:$V),0)</f>
        <v>0</v>
      </c>
      <c r="P91" s="509">
        <f>ROUND(SUMIF('3.0'!$D:$D,T_IS!D91,'3.0'!$H:$H),0)</f>
        <v>0</v>
      </c>
      <c r="Q91" s="509">
        <f>ROUND(SUMIF('4.0'!$D:$D,T_IS!D91,'4.0'!$V:$V),0)</f>
        <v>0</v>
      </c>
      <c r="R91" s="509">
        <f>ROUND(SUMIF('5.0'!$D:$D,T_IS!D91,'5.0'!$V:$V),0)</f>
        <v>0</v>
      </c>
      <c r="S91" s="509">
        <f>ROUND(SUMIF('6.0'!$D:$D,T_IS!D91,'6.0'!$V:$V),0)</f>
        <v>0</v>
      </c>
      <c r="T91" s="509">
        <f>ROUND(SUMIF('7.0'!$D:$D,T_IS!D91,'7.0'!$V:$V),0)</f>
        <v>0</v>
      </c>
      <c r="U91" s="509">
        <f>ROUND(SUMIF('8.0'!$D:$D,T_IS!F91,'8.0'!$H:$H),0)</f>
        <v>0</v>
      </c>
      <c r="V91" s="1475">
        <f t="shared" si="33"/>
        <v>0</v>
      </c>
      <c r="X91" s="1622">
        <f t="shared" si="34"/>
        <v>0</v>
      </c>
      <c r="Z91" s="1622">
        <f t="shared" si="35"/>
        <v>0</v>
      </c>
      <c r="AA91" s="1622">
        <f t="shared" si="36"/>
        <v>0</v>
      </c>
      <c r="AB91" s="1622">
        <f t="shared" si="37"/>
        <v>0</v>
      </c>
      <c r="AD91" s="550">
        <v>0</v>
      </c>
      <c r="AE91" s="550">
        <v>0</v>
      </c>
      <c r="AF91" s="550">
        <v>0</v>
      </c>
      <c r="AG91" s="550">
        <v>0</v>
      </c>
      <c r="AH91" s="550">
        <v>0</v>
      </c>
      <c r="AI91" s="550">
        <v>0</v>
      </c>
      <c r="AJ91" s="550">
        <v>0</v>
      </c>
      <c r="AK91" s="550">
        <v>0</v>
      </c>
      <c r="AL91" s="550">
        <v>0</v>
      </c>
      <c r="AM91" s="1622">
        <v>0</v>
      </c>
      <c r="AN91" s="509">
        <v>0</v>
      </c>
      <c r="AO91" s="1622">
        <v>0</v>
      </c>
      <c r="AP91" s="1623">
        <v>0</v>
      </c>
      <c r="AQ91" s="1624">
        <v>0</v>
      </c>
    </row>
    <row r="92" spans="1:43" ht="18" customHeight="1">
      <c r="A92" s="509"/>
      <c r="D92" s="1639" t="s">
        <v>340</v>
      </c>
      <c r="E92" s="1506" t="s">
        <v>333</v>
      </c>
      <c r="F92" s="1640">
        <v>502</v>
      </c>
      <c r="G92" s="1364" t="s">
        <v>341</v>
      </c>
      <c r="H92" s="498">
        <v>43617374</v>
      </c>
      <c r="I92" s="498">
        <v>0</v>
      </c>
      <c r="J92" s="710">
        <v>524042</v>
      </c>
      <c r="K92" s="710">
        <v>23867493</v>
      </c>
      <c r="L92" s="510">
        <f t="shared" si="32"/>
        <v>68008909</v>
      </c>
      <c r="N92" s="1473">
        <f>ROUND(SUMIF('1.0'!$D:$D,T_IS!D92,'1.0'!$V:$V),0)</f>
        <v>0</v>
      </c>
      <c r="O92" s="509">
        <f>ROUND(SUMIF('2.0'!$D:$D,T_IS!D92,'2.0'!$V:$V),0)</f>
        <v>0</v>
      </c>
      <c r="P92" s="509">
        <f>ROUND(SUMIF('3.0'!$D:$D,T_IS!D92,'3.0'!$H:$H),0)</f>
        <v>0</v>
      </c>
      <c r="Q92" s="509">
        <f>ROUND(SUMIF('4.0'!$D:$D,T_IS!D92,'4.0'!$V:$V),0)</f>
        <v>0</v>
      </c>
      <c r="R92" s="509">
        <f>ROUND(SUMIF('5.0'!$D:$D,T_IS!D92,'5.0'!$V:$V),0)</f>
        <v>0</v>
      </c>
      <c r="S92" s="509">
        <f>ROUND(SUMIF('6.0'!$D:$D,T_IS!D92,'6.0'!$V:$V),0)</f>
        <v>0</v>
      </c>
      <c r="T92" s="509">
        <f>ROUND(SUMIF('7.0'!$D:$D,T_IS!D92,'7.0'!$V:$V),0)</f>
        <v>0</v>
      </c>
      <c r="U92" s="509">
        <f>ROUND(SUMIF('8.0'!$D:$D,T_IS!F92,'8.0'!$H:$H),0)</f>
        <v>0</v>
      </c>
      <c r="V92" s="1475">
        <f t="shared" si="33"/>
        <v>0</v>
      </c>
      <c r="X92" s="1622">
        <f t="shared" si="34"/>
        <v>68008909</v>
      </c>
      <c r="Z92" s="1622">
        <f t="shared" si="35"/>
        <v>18265480</v>
      </c>
      <c r="AA92" s="1622">
        <f t="shared" si="36"/>
        <v>3835089</v>
      </c>
      <c r="AB92" s="1622">
        <f t="shared" si="37"/>
        <v>14430391</v>
      </c>
      <c r="AD92" s="550">
        <v>49743429</v>
      </c>
      <c r="AE92" s="550">
        <v>45908340</v>
      </c>
      <c r="AF92" s="550">
        <v>41414853</v>
      </c>
      <c r="AG92" s="550">
        <v>41270864</v>
      </c>
      <c r="AH92" s="550">
        <v>13385177</v>
      </c>
      <c r="AI92" s="550">
        <v>79435345</v>
      </c>
      <c r="AJ92" s="550">
        <v>71536929</v>
      </c>
      <c r="AK92" s="550">
        <v>66976250</v>
      </c>
      <c r="AL92" s="550">
        <v>62120392</v>
      </c>
      <c r="AM92" s="1622">
        <v>39532259</v>
      </c>
      <c r="AN92" s="509">
        <v>449020504</v>
      </c>
      <c r="AO92" s="1622">
        <v>125948871</v>
      </c>
      <c r="AP92" s="1623">
        <v>58129472</v>
      </c>
      <c r="AQ92" s="1624">
        <v>15345338</v>
      </c>
    </row>
    <row r="93" spans="1:43" ht="18" customHeight="1">
      <c r="A93" s="509"/>
      <c r="D93" s="1639" t="s">
        <v>342</v>
      </c>
      <c r="E93" s="1506" t="s">
        <v>333</v>
      </c>
      <c r="F93" s="1640">
        <v>502</v>
      </c>
      <c r="G93" s="1364" t="s">
        <v>343</v>
      </c>
      <c r="H93" s="498">
        <v>144765994</v>
      </c>
      <c r="I93" s="498">
        <v>0</v>
      </c>
      <c r="J93" s="710">
        <v>0</v>
      </c>
      <c r="K93" s="710">
        <v>0</v>
      </c>
      <c r="L93" s="510">
        <f t="shared" si="32"/>
        <v>144765994</v>
      </c>
      <c r="N93" s="1473">
        <f>ROUND(SUMIF('1.0'!$D:$D,T_IS!D93,'1.0'!$V:$V),0)</f>
        <v>0</v>
      </c>
      <c r="O93" s="509">
        <f>ROUND(SUMIF('2.0'!$D:$D,T_IS!D93,'2.0'!$V:$V),0)</f>
        <v>0</v>
      </c>
      <c r="P93" s="509">
        <f>ROUND(SUMIF('3.0'!$D:$D,T_IS!D93,'3.0'!$H:$H),0)</f>
        <v>0</v>
      </c>
      <c r="Q93" s="509">
        <f>ROUND(SUMIF('4.0'!$D:$D,T_IS!D93,'4.0'!$V:$V),0)</f>
        <v>0</v>
      </c>
      <c r="R93" s="509">
        <f>ROUND(SUMIF('5.0'!$D:$D,T_IS!D93,'5.0'!$V:$V),0)</f>
        <v>0</v>
      </c>
      <c r="S93" s="509">
        <f>ROUND(SUMIF('6.0'!$D:$D,T_IS!D93,'6.0'!$V:$V),0)</f>
        <v>0</v>
      </c>
      <c r="T93" s="509">
        <f>ROUND(SUMIF('7.0'!$D:$D,T_IS!D93,'7.0'!$V:$V),0)</f>
        <v>0</v>
      </c>
      <c r="U93" s="509">
        <f>ROUND(SUMIF('8.0'!$D:$D,T_IS!F93,'8.0'!$H:$H),0)</f>
        <v>0</v>
      </c>
      <c r="V93" s="1475">
        <f t="shared" si="33"/>
        <v>0</v>
      </c>
      <c r="X93" s="1622">
        <f t="shared" si="34"/>
        <v>144765994</v>
      </c>
      <c r="Z93" s="1622">
        <f t="shared" si="35"/>
        <v>71215684</v>
      </c>
      <c r="AA93" s="1622">
        <f t="shared" si="36"/>
        <v>16075030</v>
      </c>
      <c r="AB93" s="1622">
        <f t="shared" si="37"/>
        <v>55140654</v>
      </c>
      <c r="AD93" s="550">
        <v>73550310</v>
      </c>
      <c r="AE93" s="550">
        <v>57475280</v>
      </c>
      <c r="AF93" s="550">
        <v>31854641</v>
      </c>
      <c r="AG93" s="550">
        <v>2858577</v>
      </c>
      <c r="AH93" s="550">
        <v>1136362</v>
      </c>
      <c r="AI93" s="550">
        <v>82791665</v>
      </c>
      <c r="AJ93" s="550">
        <v>70449580</v>
      </c>
      <c r="AK93" s="550">
        <v>67019751</v>
      </c>
      <c r="AL93" s="550">
        <v>58781734</v>
      </c>
      <c r="AM93" s="1622">
        <v>49330912</v>
      </c>
      <c r="AN93" s="509">
        <v>112259037</v>
      </c>
      <c r="AO93" s="1622">
        <v>40527456</v>
      </c>
      <c r="AP93" s="1623">
        <v>22023337</v>
      </c>
      <c r="AQ93" s="1624">
        <v>11858852</v>
      </c>
    </row>
    <row r="94" spans="1:43" ht="18" customHeight="1">
      <c r="A94" s="509"/>
      <c r="D94" s="1639" t="s">
        <v>344</v>
      </c>
      <c r="E94" s="1506" t="s">
        <v>333</v>
      </c>
      <c r="F94" s="1640">
        <v>502</v>
      </c>
      <c r="G94" s="1364" t="s">
        <v>345</v>
      </c>
      <c r="H94" s="498">
        <v>0</v>
      </c>
      <c r="I94" s="498">
        <v>0</v>
      </c>
      <c r="J94" s="710">
        <v>0</v>
      </c>
      <c r="K94" s="710">
        <v>0</v>
      </c>
      <c r="L94" s="510">
        <f t="shared" si="32"/>
        <v>0</v>
      </c>
      <c r="N94" s="1473">
        <f>ROUND(SUMIF('1.0'!$D:$D,T_IS!D94,'1.0'!$V:$V),0)</f>
        <v>0</v>
      </c>
      <c r="O94" s="509">
        <f>ROUND(SUMIF('2.0'!$D:$D,T_IS!D94,'2.0'!$V:$V),0)</f>
        <v>0</v>
      </c>
      <c r="P94" s="509">
        <f>ROUND(SUMIF('3.0'!$D:$D,T_IS!D94,'3.0'!$H:$H),0)</f>
        <v>0</v>
      </c>
      <c r="Q94" s="509">
        <f>ROUND(SUMIF('4.0'!$D:$D,T_IS!D94,'4.0'!$V:$V),0)</f>
        <v>0</v>
      </c>
      <c r="R94" s="509">
        <f>ROUND(SUMIF('5.0'!$D:$D,T_IS!D94,'5.0'!$V:$V),0)</f>
        <v>0</v>
      </c>
      <c r="S94" s="509">
        <f>ROUND(SUMIF('6.0'!$D:$D,T_IS!D94,'6.0'!$V:$V),0)</f>
        <v>0</v>
      </c>
      <c r="T94" s="509">
        <f>ROUND(SUMIF('7.0'!$D:$D,T_IS!D94,'7.0'!$V:$V),0)</f>
        <v>0</v>
      </c>
      <c r="U94" s="509">
        <f>ROUND(SUMIF('8.0'!$D:$D,T_IS!F94,'8.0'!$H:$H),0)</f>
        <v>0</v>
      </c>
      <c r="V94" s="1475">
        <f t="shared" si="33"/>
        <v>0</v>
      </c>
      <c r="X94" s="1622">
        <f t="shared" si="34"/>
        <v>0</v>
      </c>
      <c r="Z94" s="1622">
        <f t="shared" si="35"/>
        <v>0</v>
      </c>
      <c r="AA94" s="1622">
        <f t="shared" si="36"/>
        <v>0</v>
      </c>
      <c r="AB94" s="1622">
        <f t="shared" si="37"/>
        <v>0</v>
      </c>
      <c r="AD94" s="550">
        <v>0</v>
      </c>
      <c r="AE94" s="550">
        <v>0</v>
      </c>
      <c r="AF94" s="550">
        <v>0</v>
      </c>
      <c r="AG94" s="550">
        <v>0</v>
      </c>
      <c r="AH94" s="550">
        <v>0</v>
      </c>
      <c r="AI94" s="550">
        <v>0</v>
      </c>
      <c r="AJ94" s="550">
        <v>0</v>
      </c>
      <c r="AK94" s="550">
        <v>0</v>
      </c>
      <c r="AL94" s="550">
        <v>546416</v>
      </c>
      <c r="AM94" s="1622">
        <v>0</v>
      </c>
      <c r="AN94" s="509">
        <v>0</v>
      </c>
      <c r="AO94" s="1622">
        <v>0</v>
      </c>
      <c r="AP94" s="1623">
        <v>0</v>
      </c>
      <c r="AQ94" s="1624">
        <v>0</v>
      </c>
    </row>
    <row r="95" spans="1:43" ht="18" customHeight="1">
      <c r="A95" s="509"/>
      <c r="D95" s="1639" t="s">
        <v>346</v>
      </c>
      <c r="E95" s="1506" t="s">
        <v>333</v>
      </c>
      <c r="F95" s="1640">
        <v>503</v>
      </c>
      <c r="G95" s="1364" t="s">
        <v>347</v>
      </c>
      <c r="H95" s="498">
        <v>168875404</v>
      </c>
      <c r="I95" s="498">
        <v>0</v>
      </c>
      <c r="J95" s="710">
        <v>0</v>
      </c>
      <c r="K95" s="710">
        <v>0</v>
      </c>
      <c r="L95" s="510">
        <f t="shared" si="32"/>
        <v>168875404</v>
      </c>
      <c r="N95" s="1473">
        <f>ROUND(SUMIF('1.0'!$D:$D,T_IS!D95,'1.0'!$V:$V),0)</f>
        <v>0</v>
      </c>
      <c r="O95" s="509">
        <f>ROUND(SUMIF('2.0'!$D:$D,T_IS!D95,'2.0'!$V:$V),0)</f>
        <v>0</v>
      </c>
      <c r="P95" s="509">
        <f>ROUND(SUMIF('3.0'!$D:$D,T_IS!D95,'3.0'!$H:$H),0)</f>
        <v>0</v>
      </c>
      <c r="Q95" s="509">
        <f>ROUND(SUMIF('4.0'!$D:$D,T_IS!D95,'4.0'!$V:$V),0)</f>
        <v>0</v>
      </c>
      <c r="R95" s="509">
        <f>ROUND(SUMIF('5.0'!$D:$D,T_IS!D95,'5.0'!$V:$V),0)</f>
        <v>0</v>
      </c>
      <c r="S95" s="509">
        <f>ROUND(SUMIF('6.0'!$D:$D,T_IS!D95,'6.0'!$V:$V),0)</f>
        <v>0</v>
      </c>
      <c r="T95" s="509">
        <f>ROUND(SUMIF('7.0'!$D:$D,T_IS!D95,'7.0'!$V:$V),0)</f>
        <v>0</v>
      </c>
      <c r="U95" s="509">
        <f>ROUND(SUMIF('8.0'!$D:$D,T_IS!F95,'8.0'!$H:$H),0)</f>
        <v>0</v>
      </c>
      <c r="V95" s="1475">
        <f t="shared" si="33"/>
        <v>0</v>
      </c>
      <c r="X95" s="1622">
        <f t="shared" si="34"/>
        <v>168875404</v>
      </c>
      <c r="Z95" s="1622">
        <f t="shared" si="35"/>
        <v>107541142</v>
      </c>
      <c r="AA95" s="1622">
        <f t="shared" si="36"/>
        <v>-61467019</v>
      </c>
      <c r="AB95" s="1622">
        <f t="shared" si="37"/>
        <v>169008161</v>
      </c>
      <c r="AD95" s="550">
        <v>61334262</v>
      </c>
      <c r="AE95" s="550">
        <v>122801281</v>
      </c>
      <c r="AF95" s="550">
        <v>123718602</v>
      </c>
      <c r="AG95" s="550">
        <v>181640411</v>
      </c>
      <c r="AH95" s="550">
        <v>82719614</v>
      </c>
      <c r="AI95" s="550">
        <v>55888254</v>
      </c>
      <c r="AJ95" s="550">
        <v>59592409</v>
      </c>
      <c r="AK95" s="550">
        <v>2092</v>
      </c>
      <c r="AL95" s="550">
        <v>63958516</v>
      </c>
      <c r="AM95" s="1622">
        <v>53748118</v>
      </c>
      <c r="AN95" s="509">
        <v>2168042128</v>
      </c>
      <c r="AO95" s="1622">
        <v>140274238</v>
      </c>
      <c r="AP95" s="1623">
        <v>23576173</v>
      </c>
      <c r="AQ95" s="1624">
        <v>4442377</v>
      </c>
    </row>
    <row r="96" spans="1:43" ht="18" customHeight="1">
      <c r="A96" s="509"/>
      <c r="D96" s="1639" t="s">
        <v>348</v>
      </c>
      <c r="E96" s="1506" t="s">
        <v>333</v>
      </c>
      <c r="F96" s="1640">
        <v>503</v>
      </c>
      <c r="G96" s="1364" t="s">
        <v>349</v>
      </c>
      <c r="H96" s="498">
        <v>49101265</v>
      </c>
      <c r="I96" s="498">
        <v>0</v>
      </c>
      <c r="J96" s="710">
        <v>0</v>
      </c>
      <c r="K96" s="710">
        <v>0</v>
      </c>
      <c r="L96" s="510">
        <f t="shared" si="32"/>
        <v>49101265</v>
      </c>
      <c r="N96" s="1473">
        <f>ROUND(SUMIF('1.0'!$D:$D,T_IS!D96,'1.0'!$V:$V),0)</f>
        <v>0</v>
      </c>
      <c r="O96" s="509">
        <f>ROUND(SUMIF('2.0'!$D:$D,T_IS!D96,'2.0'!$V:$V),0)</f>
        <v>0</v>
      </c>
      <c r="P96" s="509">
        <f>ROUND(SUMIF('3.0'!$D:$D,T_IS!D96,'3.0'!$H:$H),0)</f>
        <v>0</v>
      </c>
      <c r="Q96" s="509">
        <f>ROUND(SUMIF('4.0'!$D:$D,T_IS!D96,'4.0'!$V:$V),0)</f>
        <v>0</v>
      </c>
      <c r="R96" s="509">
        <f>ROUND(SUMIF('5.0'!$D:$D,T_IS!D96,'5.0'!$V:$V),0)</f>
        <v>0</v>
      </c>
      <c r="S96" s="509">
        <f>ROUND(SUMIF('6.0'!$D:$D,T_IS!D96,'6.0'!$V:$V),0)</f>
        <v>0</v>
      </c>
      <c r="T96" s="509">
        <f>ROUND(SUMIF('7.0'!$D:$D,T_IS!D96,'7.0'!$V:$V),0)</f>
        <v>0</v>
      </c>
      <c r="U96" s="509">
        <f>ROUND(SUMIF('8.0'!$D:$D,T_IS!F96,'8.0'!$H:$H),0)</f>
        <v>0</v>
      </c>
      <c r="V96" s="1475">
        <f t="shared" si="33"/>
        <v>0</v>
      </c>
      <c r="X96" s="1622">
        <f t="shared" si="34"/>
        <v>49101265</v>
      </c>
      <c r="Z96" s="1622">
        <f t="shared" si="35"/>
        <v>7078723</v>
      </c>
      <c r="AA96" s="1622">
        <f t="shared" si="36"/>
        <v>27968368</v>
      </c>
      <c r="AB96" s="1622">
        <f t="shared" si="37"/>
        <v>-20889645</v>
      </c>
      <c r="AD96" s="550">
        <v>42022542</v>
      </c>
      <c r="AE96" s="550">
        <v>14054174</v>
      </c>
      <c r="AF96" s="550">
        <v>18058810</v>
      </c>
      <c r="AG96" s="550">
        <v>1420268</v>
      </c>
      <c r="AH96" s="550">
        <v>359075</v>
      </c>
      <c r="AI96" s="550">
        <v>3904774</v>
      </c>
      <c r="AJ96" s="550">
        <v>2967815</v>
      </c>
      <c r="AK96" s="550">
        <v>5161878</v>
      </c>
      <c r="AL96" s="550">
        <v>6515582</v>
      </c>
      <c r="AM96" s="1622">
        <v>14648708</v>
      </c>
      <c r="AN96" s="509">
        <v>2582056</v>
      </c>
      <c r="AO96" s="1622">
        <v>4752065</v>
      </c>
      <c r="AP96" s="1623">
        <v>19592465</v>
      </c>
      <c r="AQ96" s="1624">
        <v>51046078</v>
      </c>
    </row>
    <row r="97" spans="1:43" ht="18" customHeight="1">
      <c r="A97" s="509"/>
      <c r="D97" s="1639" t="s">
        <v>2024</v>
      </c>
      <c r="E97" s="1506" t="s">
        <v>333</v>
      </c>
      <c r="F97" s="1640">
        <v>504</v>
      </c>
      <c r="G97" s="1364" t="s">
        <v>351</v>
      </c>
      <c r="H97" s="498">
        <v>2394018200</v>
      </c>
      <c r="I97" s="498">
        <v>0</v>
      </c>
      <c r="J97" s="710">
        <v>0</v>
      </c>
      <c r="K97" s="710">
        <v>0</v>
      </c>
      <c r="L97" s="510">
        <f t="shared" si="32"/>
        <v>2394018200</v>
      </c>
      <c r="N97" s="1473">
        <f>ROUND(SUMIF('1.0'!$D:$D,T_IS!D97,'1.0'!$V:$V),0)</f>
        <v>0</v>
      </c>
      <c r="O97" s="509">
        <f>ROUND(SUMIF('2.0'!$D:$D,T_IS!D97,'2.0'!$V:$V),0)</f>
        <v>0</v>
      </c>
      <c r="P97" s="509">
        <f>ROUND(SUMIF('3.0'!$D:$D,T_IS!D97,'3.0'!$H:$H),0)</f>
        <v>0</v>
      </c>
      <c r="Q97" s="509">
        <f>ROUND(SUMIF('4.0'!$D:$D,T_IS!D97,'4.0'!$V:$V),0)</f>
        <v>0</v>
      </c>
      <c r="R97" s="509">
        <f>ROUND(SUMIF('5.0'!$D:$D,T_IS!D97,'5.0'!$V:$V),0)</f>
        <v>0</v>
      </c>
      <c r="S97" s="509">
        <f>ROUND(SUMIF('6.0'!$D:$D,T_IS!D97,'6.0'!$V:$V),0)</f>
        <v>0</v>
      </c>
      <c r="T97" s="509">
        <f>ROUND(SUMIF('7.0'!$D:$D,T_IS!D97,'7.0'!$V:$V),0)</f>
        <v>0</v>
      </c>
      <c r="U97" s="509">
        <f>ROUND(SUMIF('8.0'!$D:$D,T_IS!F97,'8.0'!$H:$H),0)</f>
        <v>0</v>
      </c>
      <c r="V97" s="1475">
        <f t="shared" si="33"/>
        <v>0</v>
      </c>
      <c r="X97" s="1622">
        <f t="shared" si="34"/>
        <v>2394018200</v>
      </c>
      <c r="Z97" s="1622">
        <f t="shared" si="35"/>
        <v>0</v>
      </c>
      <c r="AA97" s="1622">
        <f t="shared" si="36"/>
        <v>-255100300</v>
      </c>
      <c r="AB97" s="1622">
        <f t="shared" si="37"/>
        <v>255100300</v>
      </c>
      <c r="AD97" s="550">
        <v>2394018200</v>
      </c>
      <c r="AE97" s="550">
        <v>2649118500</v>
      </c>
      <c r="AF97" s="550">
        <v>2649118500</v>
      </c>
      <c r="AG97" s="550">
        <v>2649118500</v>
      </c>
      <c r="AH97" s="550">
        <v>765300900</v>
      </c>
      <c r="AI97" s="550">
        <v>0</v>
      </c>
      <c r="AJ97" s="550">
        <v>0</v>
      </c>
      <c r="AK97" s="550">
        <v>0</v>
      </c>
      <c r="AL97" s="550">
        <v>0</v>
      </c>
      <c r="AM97" s="1622">
        <v>0</v>
      </c>
      <c r="AN97" s="509">
        <v>996359683</v>
      </c>
      <c r="AO97" s="1622">
        <v>0</v>
      </c>
      <c r="AP97" s="1623">
        <v>0</v>
      </c>
      <c r="AQ97" s="1624">
        <v>0</v>
      </c>
    </row>
    <row r="98" spans="1:43" ht="18" customHeight="1">
      <c r="A98" s="509"/>
      <c r="D98" s="1641">
        <v>734000</v>
      </c>
      <c r="E98" s="1545" t="s">
        <v>333</v>
      </c>
      <c r="F98" s="1640">
        <v>710</v>
      </c>
      <c r="G98" s="1432" t="s">
        <v>2201</v>
      </c>
      <c r="H98" s="498">
        <v>0</v>
      </c>
      <c r="I98" s="498">
        <v>0</v>
      </c>
      <c r="J98" s="710">
        <v>0</v>
      </c>
      <c r="K98" s="710">
        <v>0</v>
      </c>
      <c r="L98" s="510">
        <f t="shared" si="32"/>
        <v>0</v>
      </c>
      <c r="N98" s="1473">
        <f>ROUND(SUMIF('1.0'!$D:$D,T_IS!D98,'1.0'!$V:$V),0)</f>
        <v>0</v>
      </c>
      <c r="O98" s="509">
        <f>ROUND(SUMIF('2.0'!$D:$D,T_IS!D98,'2.0'!$V:$V),0)</f>
        <v>0</v>
      </c>
      <c r="P98" s="509">
        <f>ROUND(SUMIF('3.0'!$D:$D,T_IS!D98,'3.0'!$H:$H),0)</f>
        <v>0</v>
      </c>
      <c r="Q98" s="509">
        <f>ROUND(SUMIF('4.0'!$D:$D,T_IS!D98,'4.0'!$V:$V),0)</f>
        <v>0</v>
      </c>
      <c r="R98" s="509">
        <f>ROUND(SUMIF('5.0'!$D:$D,T_IS!D98,'5.0'!$V:$V),0)</f>
        <v>0</v>
      </c>
      <c r="S98" s="509">
        <f>ROUND(SUMIF('6.0'!$D:$D,T_IS!D98,'6.0'!$V:$V),0)</f>
        <v>0</v>
      </c>
      <c r="T98" s="509">
        <f>ROUND(SUMIF('7.0'!$D:$D,T_IS!D98,'7.0'!$V:$V),0)</f>
        <v>0</v>
      </c>
      <c r="U98" s="509">
        <f>ROUND(SUMIF('8.0'!$D:$D,T_IS!F98,'8.0'!$H:$H),0)</f>
        <v>0</v>
      </c>
      <c r="V98" s="1475">
        <f t="shared" si="33"/>
        <v>0</v>
      </c>
      <c r="X98" s="1622">
        <f t="shared" si="34"/>
        <v>0</v>
      </c>
      <c r="Z98" s="1622">
        <f t="shared" si="35"/>
        <v>0</v>
      </c>
      <c r="AA98" s="1622">
        <f t="shared" si="36"/>
        <v>0</v>
      </c>
      <c r="AB98" s="1622">
        <f t="shared" si="37"/>
        <v>0</v>
      </c>
      <c r="AD98" s="550">
        <v>0</v>
      </c>
      <c r="AE98" s="550">
        <v>0</v>
      </c>
      <c r="AF98" s="550">
        <v>0</v>
      </c>
      <c r="AG98" s="550">
        <v>0</v>
      </c>
      <c r="AH98" s="550">
        <v>0</v>
      </c>
      <c r="AI98" s="550">
        <v>23145377285</v>
      </c>
      <c r="AJ98" s="550">
        <v>7995295060</v>
      </c>
      <c r="AK98" s="550">
        <v>7995295060</v>
      </c>
      <c r="AL98" s="550">
        <v>18600112968</v>
      </c>
      <c r="AM98" s="1622">
        <v>0</v>
      </c>
      <c r="AN98" s="509">
        <v>0</v>
      </c>
      <c r="AO98" s="1622">
        <v>0</v>
      </c>
      <c r="AP98" s="1623">
        <v>0</v>
      </c>
      <c r="AQ98" s="1624">
        <v>0</v>
      </c>
    </row>
    <row r="99" spans="1:43" ht="18" customHeight="1">
      <c r="A99" s="509"/>
      <c r="D99" s="1639" t="s">
        <v>352</v>
      </c>
      <c r="E99" s="1506" t="s">
        <v>333</v>
      </c>
      <c r="F99" s="1640" t="s">
        <v>611</v>
      </c>
      <c r="G99" s="1364" t="s">
        <v>353</v>
      </c>
      <c r="H99" s="498">
        <v>0</v>
      </c>
      <c r="I99" s="498">
        <v>0</v>
      </c>
      <c r="J99" s="710">
        <v>0</v>
      </c>
      <c r="K99" s="710">
        <v>0</v>
      </c>
      <c r="L99" s="510">
        <f t="shared" si="32"/>
        <v>0</v>
      </c>
      <c r="N99" s="1473">
        <f>ROUND(SUMIF('1.0'!$D:$D,T_IS!D99,'1.0'!$V:$V),0)</f>
        <v>0</v>
      </c>
      <c r="O99" s="509">
        <f>ROUND(SUMIF('2.0'!$D:$D,T_IS!D99,'2.0'!$V:$V),0)</f>
        <v>0</v>
      </c>
      <c r="P99" s="509">
        <f>ROUND(SUMIF('3.0'!$D:$D,T_IS!D99,'3.0'!$H:$H),0)</f>
        <v>0</v>
      </c>
      <c r="Q99" s="509">
        <f>ROUND(SUMIF('4.0'!$D:$D,T_IS!D99,'4.0'!$V:$V),0)</f>
        <v>0</v>
      </c>
      <c r="R99" s="509">
        <f>ROUND(SUMIF('5.0'!$D:$D,T_IS!D99,'5.0'!$V:$V),0)</f>
        <v>0</v>
      </c>
      <c r="S99" s="509">
        <f>ROUND(SUMIF('6.0'!$D:$D,T_IS!D99,'6.0'!$V:$V),0)</f>
        <v>0</v>
      </c>
      <c r="T99" s="509">
        <f>ROUND(SUMIF('7.0'!$D:$D,T_IS!D99,'7.0'!$V:$V),0)</f>
        <v>0</v>
      </c>
      <c r="U99" s="509">
        <f>ROUND(SUMIF('8.0'!$D:$D,T_IS!F99,'8.0'!$H:$H),0)</f>
        <v>0</v>
      </c>
      <c r="V99" s="1475">
        <f t="shared" si="33"/>
        <v>0</v>
      </c>
      <c r="X99" s="1622">
        <f t="shared" si="34"/>
        <v>0</v>
      </c>
      <c r="Z99" s="1622">
        <f t="shared" si="35"/>
        <v>0</v>
      </c>
      <c r="AA99" s="1622">
        <f t="shared" si="36"/>
        <v>0</v>
      </c>
      <c r="AB99" s="1622">
        <f t="shared" si="37"/>
        <v>0</v>
      </c>
      <c r="AD99" s="550">
        <v>0</v>
      </c>
      <c r="AE99" s="550">
        <v>0</v>
      </c>
      <c r="AF99" s="550">
        <v>0</v>
      </c>
      <c r="AG99" s="550">
        <v>0</v>
      </c>
      <c r="AH99" s="550">
        <v>0</v>
      </c>
      <c r="AI99" s="550">
        <v>0</v>
      </c>
      <c r="AJ99" s="550">
        <v>0</v>
      </c>
      <c r="AK99" s="550">
        <v>0</v>
      </c>
      <c r="AL99" s="550">
        <v>0</v>
      </c>
      <c r="AM99" s="1622">
        <v>0</v>
      </c>
      <c r="AN99" s="509">
        <v>0</v>
      </c>
      <c r="AO99" s="1622">
        <v>0</v>
      </c>
      <c r="AP99" s="1623">
        <v>0</v>
      </c>
      <c r="AQ99" s="1624">
        <v>0</v>
      </c>
    </row>
    <row r="100" spans="1:43" ht="18" customHeight="1">
      <c r="A100" s="509"/>
      <c r="D100" s="1593"/>
      <c r="E100" s="1594"/>
      <c r="F100" s="1633"/>
      <c r="G100" s="1594" t="s">
        <v>354</v>
      </c>
      <c r="H100" s="520">
        <f>SUM(H101:H106)</f>
        <v>2662740813</v>
      </c>
      <c r="I100" s="506">
        <f>SUM(I101:I106)</f>
        <v>1947211</v>
      </c>
      <c r="J100" s="506">
        <f>SUM(J101:J106)</f>
        <v>165039008</v>
      </c>
      <c r="K100" s="506">
        <f>SUM(K101:K106)</f>
        <v>25766661</v>
      </c>
      <c r="L100" s="507">
        <f>SUM(L101:L106)</f>
        <v>2855493693</v>
      </c>
      <c r="N100" s="1634">
        <f t="shared" ref="N100:U100" si="38">SUM(N101:N106)</f>
        <v>0</v>
      </c>
      <c r="O100" s="506">
        <f t="shared" si="38"/>
        <v>0</v>
      </c>
      <c r="P100" s="506">
        <f t="shared" si="38"/>
        <v>-1570799645</v>
      </c>
      <c r="Q100" s="506">
        <f t="shared" si="38"/>
        <v>0</v>
      </c>
      <c r="R100" s="506">
        <f t="shared" si="38"/>
        <v>0</v>
      </c>
      <c r="S100" s="506">
        <f t="shared" si="38"/>
        <v>0</v>
      </c>
      <c r="T100" s="506">
        <f t="shared" si="38"/>
        <v>0</v>
      </c>
      <c r="U100" s="506">
        <f t="shared" si="38"/>
        <v>0</v>
      </c>
      <c r="V100" s="1635">
        <f>SUM(V101:V106)</f>
        <v>-1570799645</v>
      </c>
      <c r="X100" s="1636">
        <f>SUM(X101:X106)</f>
        <v>1284694048</v>
      </c>
      <c r="Z100" s="1636">
        <f>SUM(Z101:Z106)</f>
        <v>117308816</v>
      </c>
      <c r="AA100" s="1636">
        <f>SUM(AA101:AA106)</f>
        <v>105442402</v>
      </c>
      <c r="AB100" s="1636">
        <f>SUM(AB101:AB106)</f>
        <v>11866414</v>
      </c>
      <c r="AD100" s="1637">
        <v>1167385232</v>
      </c>
      <c r="AE100" s="1637">
        <v>1061942830</v>
      </c>
      <c r="AF100" s="1637">
        <v>1057092303</v>
      </c>
      <c r="AG100" s="1637">
        <v>356942081</v>
      </c>
      <c r="AH100" s="1637">
        <v>53324313</v>
      </c>
      <c r="AI100" s="1637">
        <v>67577330</v>
      </c>
      <c r="AJ100" s="1637">
        <v>66129175</v>
      </c>
      <c r="AK100" s="1637">
        <v>54977696</v>
      </c>
      <c r="AL100" s="1637">
        <v>32428201</v>
      </c>
      <c r="AM100" s="1636">
        <v>10949449</v>
      </c>
      <c r="AN100" s="506">
        <v>199414285</v>
      </c>
      <c r="AO100" s="1636">
        <v>70088560</v>
      </c>
      <c r="AP100" s="1636">
        <v>86852764</v>
      </c>
      <c r="AQ100" s="1638">
        <v>19298196</v>
      </c>
    </row>
    <row r="101" spans="1:43" ht="18" customHeight="1">
      <c r="A101" s="509"/>
      <c r="D101" s="1639">
        <v>712900</v>
      </c>
      <c r="E101" s="1506" t="s">
        <v>354</v>
      </c>
      <c r="F101" s="1640">
        <v>606</v>
      </c>
      <c r="G101" s="1364" t="s">
        <v>2499</v>
      </c>
      <c r="H101" s="498">
        <v>2360356206</v>
      </c>
      <c r="I101" s="498">
        <v>0</v>
      </c>
      <c r="J101" s="710">
        <v>0</v>
      </c>
      <c r="K101" s="710">
        <v>0</v>
      </c>
      <c r="L101" s="510">
        <f t="shared" ref="L101:L106" si="39">SUM(H101:K101)</f>
        <v>2360356206</v>
      </c>
      <c r="N101" s="1473">
        <f>-ROUND(SUMIF('1.0'!$D:$D,T_IS!D101,'1.0'!$V:$V),0)</f>
        <v>0</v>
      </c>
      <c r="O101" s="509">
        <f>-ROUND(SUMIF('2.0'!$D:$D,T_IS!D101,'2.0'!$V:$V),0)</f>
        <v>0</v>
      </c>
      <c r="P101" s="509">
        <f>-ROUND(SUMIF('3.0'!$D:$D,T_IS!D101,'3.0'!$H:$H),0)</f>
        <v>-1543857535</v>
      </c>
      <c r="Q101" s="509">
        <f>-ROUND(SUMIF('4.0'!$D:$D,T_IS!D101,'4.0'!$V:$V),0)</f>
        <v>0</v>
      </c>
      <c r="R101" s="509">
        <f>-ROUND(SUMIF('5.0'!$D:$D,T_IS!D101,'5.0'!$V:$V),0)</f>
        <v>0</v>
      </c>
      <c r="S101" s="509">
        <f>ROUND(SUMIF('6.0'!$D:$D,T_IS!D101,'6.0'!$V:$V),0)</f>
        <v>0</v>
      </c>
      <c r="T101" s="509">
        <f>-ROUND(SUMIF('7.0'!$D:$D,T_IS!D101,'7.0'!$V:$V),0)</f>
        <v>0</v>
      </c>
      <c r="U101" s="509">
        <f>-ROUND(SUMIF('8.0'!$D:$D,T_IS!F101,'8.0'!$H:$H),0)</f>
        <v>0</v>
      </c>
      <c r="V101" s="1475">
        <f t="shared" ref="V101:V106" si="40">SUM(N101:U101)</f>
        <v>-1543857535</v>
      </c>
      <c r="X101" s="1622">
        <f t="shared" ref="X101:X106" si="41">V101+L101</f>
        <v>816498671</v>
      </c>
      <c r="Z101" s="1622">
        <f t="shared" ref="Z101:Z106" si="42">X101-AD101</f>
        <v>0</v>
      </c>
      <c r="AA101" s="1622">
        <f t="shared" ref="AA101:AA106" si="43">AD101-AE101</f>
        <v>100694348</v>
      </c>
      <c r="AB101" s="1622">
        <f t="shared" ref="AB101:AB106" si="44">Z101-AA101</f>
        <v>-100694348</v>
      </c>
      <c r="AD101" s="1642">
        <v>816498671</v>
      </c>
      <c r="AE101" s="1642">
        <v>715804323</v>
      </c>
      <c r="AF101" s="1642">
        <v>715804323</v>
      </c>
      <c r="AG101" s="1642">
        <v>15804323</v>
      </c>
      <c r="AH101" s="1642">
        <v>15632478</v>
      </c>
      <c r="AI101" s="1642">
        <v>0</v>
      </c>
      <c r="AJ101" s="1642">
        <v>0</v>
      </c>
      <c r="AK101" s="550">
        <v>0</v>
      </c>
      <c r="AL101" s="550">
        <v>0</v>
      </c>
      <c r="AM101" s="1622">
        <v>0</v>
      </c>
      <c r="AN101" s="509">
        <v>0</v>
      </c>
      <c r="AO101" s="1622">
        <v>0</v>
      </c>
      <c r="AP101" s="1623">
        <v>0</v>
      </c>
      <c r="AQ101" s="1624">
        <v>0</v>
      </c>
    </row>
    <row r="102" spans="1:43" ht="18" customHeight="1">
      <c r="A102" s="509"/>
      <c r="D102" s="1639" t="s">
        <v>355</v>
      </c>
      <c r="E102" s="1506" t="s">
        <v>354</v>
      </c>
      <c r="F102" s="1640">
        <v>602</v>
      </c>
      <c r="G102" s="1364" t="s">
        <v>1841</v>
      </c>
      <c r="H102" s="498">
        <v>64817181</v>
      </c>
      <c r="I102" s="498">
        <v>0</v>
      </c>
      <c r="J102" s="710">
        <v>0</v>
      </c>
      <c r="K102" s="710">
        <v>292187</v>
      </c>
      <c r="L102" s="510">
        <f t="shared" si="39"/>
        <v>65109368</v>
      </c>
      <c r="N102" s="1473">
        <f>-ROUND(SUMIF('1.0'!$D:$D,T_IS!D102,'1.0'!$V:$V),0)</f>
        <v>0</v>
      </c>
      <c r="O102" s="509">
        <f>-ROUND(SUMIF('2.0'!$D:$D,T_IS!D102,'2.0'!$V:$V),0)</f>
        <v>0</v>
      </c>
      <c r="P102" s="509">
        <f>ROUND(SUMIF('3.0'!$D:$D,T_IS!D102,'3.0'!$H:$H),0)</f>
        <v>0</v>
      </c>
      <c r="Q102" s="509">
        <f>-ROUND(SUMIF('4.0'!$D:$D,T_IS!D102,'4.0'!$V:$V),0)</f>
        <v>0</v>
      </c>
      <c r="R102" s="509">
        <f>-ROUND(SUMIF('5.0'!$D:$D,T_IS!D102,'5.0'!$V:$V),0)</f>
        <v>0</v>
      </c>
      <c r="S102" s="509">
        <f>ROUND(SUMIF('6.0'!$D:$D,T_IS!D102,'6.0'!$V:$V),0)</f>
        <v>0</v>
      </c>
      <c r="T102" s="509">
        <f>-ROUND(SUMIF('7.0'!$D:$D,T_IS!D102,'7.0'!$V:$V),0)</f>
        <v>0</v>
      </c>
      <c r="U102" s="509">
        <f>-ROUND(SUMIF('8.0'!$D:$D,T_IS!F102,'8.0'!$H:$H),0)</f>
        <v>0</v>
      </c>
      <c r="V102" s="1475">
        <f t="shared" si="40"/>
        <v>0</v>
      </c>
      <c r="X102" s="1622">
        <f t="shared" si="41"/>
        <v>65109368</v>
      </c>
      <c r="Z102" s="1622">
        <f t="shared" si="42"/>
        <v>1473005</v>
      </c>
      <c r="AA102" s="1622">
        <f t="shared" si="43"/>
        <v>0</v>
      </c>
      <c r="AB102" s="1622">
        <f t="shared" si="44"/>
        <v>1473005</v>
      </c>
      <c r="AD102" s="1642">
        <v>63636363</v>
      </c>
      <c r="AE102" s="1642">
        <v>63636363</v>
      </c>
      <c r="AF102" s="1642">
        <v>63636363</v>
      </c>
      <c r="AG102" s="1642">
        <v>63636363</v>
      </c>
      <c r="AH102" s="1642">
        <v>0</v>
      </c>
      <c r="AI102" s="1642">
        <v>5241227</v>
      </c>
      <c r="AJ102" s="1642">
        <v>5241227</v>
      </c>
      <c r="AK102" s="550">
        <v>5241227</v>
      </c>
      <c r="AL102" s="550">
        <v>5241227</v>
      </c>
      <c r="AM102" s="1622">
        <v>0</v>
      </c>
      <c r="AN102" s="509">
        <v>2240200</v>
      </c>
      <c r="AO102" s="1622">
        <v>0</v>
      </c>
      <c r="AP102" s="1623">
        <v>0</v>
      </c>
      <c r="AQ102" s="1624">
        <v>0</v>
      </c>
    </row>
    <row r="103" spans="1:43" ht="18" customHeight="1">
      <c r="A103" s="509"/>
      <c r="D103" s="1639" t="s">
        <v>357</v>
      </c>
      <c r="E103" s="1506" t="s">
        <v>354</v>
      </c>
      <c r="F103" s="1640">
        <v>604</v>
      </c>
      <c r="G103" s="1364" t="s">
        <v>1842</v>
      </c>
      <c r="H103" s="498">
        <v>0</v>
      </c>
      <c r="I103" s="498">
        <v>0</v>
      </c>
      <c r="J103" s="710">
        <v>0</v>
      </c>
      <c r="K103" s="710">
        <v>0</v>
      </c>
      <c r="L103" s="510">
        <f t="shared" si="39"/>
        <v>0</v>
      </c>
      <c r="N103" s="1473">
        <f>-ROUND(SUMIF('1.0'!$D:$D,T_IS!D103,'1.0'!$V:$V),0)</f>
        <v>0</v>
      </c>
      <c r="O103" s="509">
        <f>-ROUND(SUMIF('2.0'!$D:$D,T_IS!D103,'2.0'!$V:$V),0)</f>
        <v>0</v>
      </c>
      <c r="P103" s="509">
        <f>ROUND(SUMIF('3.0'!$D:$D,T_IS!D103,'3.0'!$H:$H),0)</f>
        <v>0</v>
      </c>
      <c r="Q103" s="509">
        <f>-ROUND(SUMIF('4.0'!$D:$D,T_IS!D103,'4.0'!$V:$V),0)</f>
        <v>0</v>
      </c>
      <c r="R103" s="509">
        <f>-ROUND(SUMIF('5.0'!$D:$D,T_IS!D103,'5.0'!$V:$V),0)</f>
        <v>0</v>
      </c>
      <c r="S103" s="509">
        <f>ROUND(SUMIF('6.0'!$D:$D,T_IS!D103,'6.0'!$V:$V),0)</f>
        <v>0</v>
      </c>
      <c r="T103" s="509">
        <f>-ROUND(SUMIF('7.0'!$D:$D,T_IS!D103,'7.0'!$V:$V),0)</f>
        <v>0</v>
      </c>
      <c r="U103" s="509">
        <f>-ROUND(SUMIF('8.0'!$D:$D,T_IS!F103,'8.0'!$H:$H),0)</f>
        <v>0</v>
      </c>
      <c r="V103" s="1475">
        <f t="shared" si="40"/>
        <v>0</v>
      </c>
      <c r="X103" s="1622">
        <f t="shared" si="41"/>
        <v>0</v>
      </c>
      <c r="Z103" s="1622">
        <f t="shared" si="42"/>
        <v>0</v>
      </c>
      <c r="AA103" s="1622">
        <f t="shared" si="43"/>
        <v>0</v>
      </c>
      <c r="AB103" s="1622">
        <f t="shared" si="44"/>
        <v>0</v>
      </c>
      <c r="AD103" s="1642">
        <v>0</v>
      </c>
      <c r="AE103" s="1642">
        <v>0</v>
      </c>
      <c r="AF103" s="1642">
        <v>0</v>
      </c>
      <c r="AG103" s="1642">
        <v>0</v>
      </c>
      <c r="AH103" s="1642">
        <v>0</v>
      </c>
      <c r="AI103" s="1642">
        <v>0</v>
      </c>
      <c r="AJ103" s="1642">
        <v>0</v>
      </c>
      <c r="AK103" s="550">
        <v>0</v>
      </c>
      <c r="AL103" s="550">
        <v>0</v>
      </c>
      <c r="AM103" s="1622">
        <v>0</v>
      </c>
      <c r="AN103" s="509">
        <v>0</v>
      </c>
      <c r="AO103" s="1622">
        <v>0</v>
      </c>
      <c r="AP103" s="1623">
        <v>0</v>
      </c>
      <c r="AQ103" s="1624">
        <v>0</v>
      </c>
    </row>
    <row r="104" spans="1:43" ht="18" customHeight="1">
      <c r="A104" s="509"/>
      <c r="D104" s="1639" t="s">
        <v>1706</v>
      </c>
      <c r="E104" s="1506" t="s">
        <v>354</v>
      </c>
      <c r="F104" s="1640" t="s">
        <v>611</v>
      </c>
      <c r="G104" s="1364" t="s">
        <v>1843</v>
      </c>
      <c r="H104" s="498">
        <v>0</v>
      </c>
      <c r="I104" s="498">
        <v>0</v>
      </c>
      <c r="J104" s="710">
        <v>0</v>
      </c>
      <c r="K104" s="710">
        <v>0</v>
      </c>
      <c r="L104" s="510">
        <f t="shared" si="39"/>
        <v>0</v>
      </c>
      <c r="N104" s="1473">
        <f>-ROUND(SUMIF('1.0'!$D:$D,T_IS!D104,'1.0'!$V:$V),0)</f>
        <v>0</v>
      </c>
      <c r="O104" s="509">
        <f>-ROUND(SUMIF('2.0'!$D:$D,T_IS!D104,'2.0'!$V:$V),0)</f>
        <v>0</v>
      </c>
      <c r="P104" s="509">
        <f>ROUND(SUMIF('3.0'!$D:$D,T_IS!D104,'3.0'!$H:$H),0)</f>
        <v>0</v>
      </c>
      <c r="Q104" s="509"/>
      <c r="R104" s="509">
        <f>-ROUND(SUMIF('5.0'!$D:$D,T_IS!D104,'5.0'!$V:$V),0)</f>
        <v>0</v>
      </c>
      <c r="S104" s="509">
        <f>ROUND(SUMIF('6.0'!$D:$D,T_IS!D104,'6.0'!$V:$V),0)</f>
        <v>0</v>
      </c>
      <c r="T104" s="509">
        <f>-ROUND(SUMIF('7.0'!$D:$D,T_IS!D104,'7.0'!$V:$V),0)</f>
        <v>0</v>
      </c>
      <c r="U104" s="509">
        <f>-ROUND(SUMIF('8.0'!$D:$D,T_IS!F104,'8.0'!$H:$H),0)</f>
        <v>0</v>
      </c>
      <c r="V104" s="1475">
        <f t="shared" si="40"/>
        <v>0</v>
      </c>
      <c r="X104" s="1622">
        <f t="shared" si="41"/>
        <v>0</v>
      </c>
      <c r="Z104" s="1622">
        <f t="shared" si="42"/>
        <v>0</v>
      </c>
      <c r="AA104" s="1622">
        <f t="shared" si="43"/>
        <v>0</v>
      </c>
      <c r="AB104" s="1622">
        <f t="shared" si="44"/>
        <v>0</v>
      </c>
      <c r="AD104" s="1642">
        <v>0</v>
      </c>
      <c r="AE104" s="1642">
        <v>0</v>
      </c>
      <c r="AF104" s="1642">
        <v>0</v>
      </c>
      <c r="AG104" s="1642">
        <v>0</v>
      </c>
      <c r="AH104" s="1642">
        <v>0</v>
      </c>
      <c r="AI104" s="1642">
        <v>0</v>
      </c>
      <c r="AJ104" s="1642">
        <v>0</v>
      </c>
      <c r="AK104" s="550">
        <v>0</v>
      </c>
      <c r="AL104" s="550">
        <v>0</v>
      </c>
      <c r="AM104" s="1622">
        <v>0</v>
      </c>
      <c r="AN104" s="509">
        <v>0</v>
      </c>
      <c r="AO104" s="1622">
        <v>0</v>
      </c>
      <c r="AP104" s="1623">
        <v>0</v>
      </c>
      <c r="AQ104" s="1624">
        <v>0</v>
      </c>
    </row>
    <row r="105" spans="1:43" ht="18" customHeight="1">
      <c r="A105" s="509"/>
      <c r="D105" s="1639" t="s">
        <v>359</v>
      </c>
      <c r="E105" s="1506" t="s">
        <v>354</v>
      </c>
      <c r="F105" s="1640">
        <v>603</v>
      </c>
      <c r="G105" s="1364" t="s">
        <v>1844</v>
      </c>
      <c r="H105" s="498">
        <v>175794426</v>
      </c>
      <c r="I105" s="498">
        <v>1947211</v>
      </c>
      <c r="J105" s="710">
        <v>165039008</v>
      </c>
      <c r="K105" s="710">
        <v>25474474</v>
      </c>
      <c r="L105" s="510">
        <f t="shared" si="39"/>
        <v>368255119</v>
      </c>
      <c r="N105" s="1473">
        <f>-ROUND(SUMIF('1.0'!$D:$D,T_IS!D105,'1.0'!$V:$V),0)</f>
        <v>0</v>
      </c>
      <c r="O105" s="509">
        <f>-ROUND(SUMIF('2.0'!$D:$D,T_IS!D105,'2.0'!$V:$V),0)</f>
        <v>0</v>
      </c>
      <c r="P105" s="509">
        <f>-ROUND(SUMIF('3.0'!$D:$D,T_IS!D105,'3.0'!$H:$H),0)</f>
        <v>-26942110</v>
      </c>
      <c r="Q105" s="509">
        <f>-ROUND(SUMIF('4.0'!$D:$D,T_IS!D105,'4.0'!$V:$V),0)</f>
        <v>0</v>
      </c>
      <c r="R105" s="509">
        <f>-ROUND(SUMIF('5.0'!$D:$D,T_IS!D105,'5.0'!$V:$V),0)</f>
        <v>0</v>
      </c>
      <c r="S105" s="509">
        <f>ROUND(SUMIF('6.0'!$D:$D,T_IS!D105,'6.0'!$V:$V),0)</f>
        <v>0</v>
      </c>
      <c r="T105" s="509">
        <f>-ROUND(SUMIF('7.0'!$D:$D,T_IS!D105,'7.0'!$V:$V),0)</f>
        <v>0</v>
      </c>
      <c r="U105" s="509">
        <f>-ROUND(SUMIF('8.0'!$D:$D,T_IS!F105,'8.0'!$H:$H),0)</f>
        <v>0</v>
      </c>
      <c r="V105" s="1475">
        <f t="shared" si="40"/>
        <v>-26942110</v>
      </c>
      <c r="X105" s="1622">
        <f t="shared" si="41"/>
        <v>341313009</v>
      </c>
      <c r="Z105" s="1622">
        <f t="shared" si="42"/>
        <v>115835811</v>
      </c>
      <c r="AA105" s="1622">
        <f t="shared" si="43"/>
        <v>4748054</v>
      </c>
      <c r="AB105" s="1622">
        <f t="shared" si="44"/>
        <v>111087757</v>
      </c>
      <c r="AD105" s="1642">
        <v>225477198</v>
      </c>
      <c r="AE105" s="1642">
        <v>220729144</v>
      </c>
      <c r="AF105" s="1642">
        <v>215878617</v>
      </c>
      <c r="AG105" s="1642">
        <v>215728395</v>
      </c>
      <c r="AH105" s="1642">
        <v>37691835</v>
      </c>
      <c r="AI105" s="1642">
        <v>62336103</v>
      </c>
      <c r="AJ105" s="1642">
        <v>60887948</v>
      </c>
      <c r="AK105" s="550">
        <v>49736469</v>
      </c>
      <c r="AL105" s="550">
        <v>27186974</v>
      </c>
      <c r="AM105" s="1622">
        <v>10949449</v>
      </c>
      <c r="AN105" s="509">
        <v>197174085</v>
      </c>
      <c r="AO105" s="1622">
        <v>70088560</v>
      </c>
      <c r="AP105" s="1623">
        <v>86852764</v>
      </c>
      <c r="AQ105" s="1624">
        <v>19298196</v>
      </c>
    </row>
    <row r="106" spans="1:43" s="1089" customFormat="1" ht="18" customHeight="1">
      <c r="A106" s="925"/>
      <c r="D106" s="1643">
        <v>713700</v>
      </c>
      <c r="E106" s="1644" t="s">
        <v>354</v>
      </c>
      <c r="F106" s="1645">
        <v>607</v>
      </c>
      <c r="G106" s="1276" t="s">
        <v>2599</v>
      </c>
      <c r="H106" s="498">
        <v>61773000</v>
      </c>
      <c r="I106" s="498">
        <v>0</v>
      </c>
      <c r="J106" s="710">
        <v>0</v>
      </c>
      <c r="K106" s="710">
        <v>0</v>
      </c>
      <c r="L106" s="1646">
        <f t="shared" si="39"/>
        <v>61773000</v>
      </c>
      <c r="N106" s="1477">
        <f>-ROUND(SUMIF('1.0'!$D:$D,T_IS!D106,'1.0'!$V:$V),0)</f>
        <v>0</v>
      </c>
      <c r="O106" s="925">
        <f>-ROUND(SUMIF('2.0'!$D:$D,T_IS!D106,'2.0'!$V:$V),0)</f>
        <v>0</v>
      </c>
      <c r="P106" s="925">
        <f>-ROUND(SUMIF('3.0'!$D:$D,T_IS!D106,'3.0'!$H:$H),0)</f>
        <v>0</v>
      </c>
      <c r="Q106" s="925">
        <f>-ROUND(SUMIF('4.0'!$D:$D,T_IS!D106,'4.0'!$V:$V),0)</f>
        <v>0</v>
      </c>
      <c r="R106" s="925">
        <f>-ROUND(SUMIF('5.0'!$D:$D,T_IS!D106,'5.0'!$V:$V),0)</f>
        <v>0</v>
      </c>
      <c r="S106" s="925">
        <f>ROUND(SUMIF('6.0'!$D:$D,T_IS!D106,'6.0'!$V:$V),0)</f>
        <v>0</v>
      </c>
      <c r="T106" s="925">
        <f>-ROUND(SUMIF('7.0'!$D:$D,T_IS!D106,'7.0'!$V:$V),0)</f>
        <v>0</v>
      </c>
      <c r="U106" s="925">
        <f>-ROUND(SUMIF('8.0'!$D:$D,T_IS!F106,'8.0'!$H:$H),0)</f>
        <v>0</v>
      </c>
      <c r="V106" s="1476">
        <f t="shared" si="40"/>
        <v>0</v>
      </c>
      <c r="X106" s="1647">
        <f t="shared" si="41"/>
        <v>61773000</v>
      </c>
      <c r="Z106" s="1622">
        <f t="shared" si="42"/>
        <v>0</v>
      </c>
      <c r="AA106" s="1622">
        <f t="shared" si="43"/>
        <v>0</v>
      </c>
      <c r="AB106" s="1622">
        <f t="shared" si="44"/>
        <v>0</v>
      </c>
      <c r="AD106" s="1642">
        <v>61773000</v>
      </c>
      <c r="AE106" s="1642">
        <v>61773000</v>
      </c>
      <c r="AF106" s="1642">
        <v>61773000</v>
      </c>
      <c r="AG106" s="1642">
        <v>61773000</v>
      </c>
      <c r="AH106" s="1642">
        <v>0</v>
      </c>
      <c r="AI106" s="1642">
        <v>0</v>
      </c>
      <c r="AJ106" s="1642">
        <v>0</v>
      </c>
      <c r="AK106" s="1642">
        <v>0</v>
      </c>
      <c r="AL106" s="1642">
        <v>0</v>
      </c>
      <c r="AM106" s="1647">
        <v>0</v>
      </c>
      <c r="AN106" s="925">
        <v>0</v>
      </c>
      <c r="AO106" s="1647">
        <v>0</v>
      </c>
      <c r="AP106" s="1648">
        <v>0</v>
      </c>
      <c r="AQ106" s="1649">
        <v>0</v>
      </c>
    </row>
    <row r="107" spans="1:43" ht="18" customHeight="1">
      <c r="A107" s="509"/>
      <c r="D107" s="1593"/>
      <c r="E107" s="1594"/>
      <c r="F107" s="1633"/>
      <c r="G107" s="1594" t="s">
        <v>361</v>
      </c>
      <c r="H107" s="520">
        <f>SUM(H108:H116)</f>
        <v>327966598</v>
      </c>
      <c r="I107" s="506">
        <f>SUM(I108:I116)</f>
        <v>25224552</v>
      </c>
      <c r="J107" s="506">
        <f>SUM(J108:J116)</f>
        <v>0</v>
      </c>
      <c r="K107" s="506">
        <f>SUM(K108:K116)</f>
        <v>2409259</v>
      </c>
      <c r="L107" s="507">
        <f>SUM(L108:L116)</f>
        <v>355600409</v>
      </c>
      <c r="N107" s="1634">
        <f t="shared" ref="N107:V107" si="45">SUM(N108:N116)</f>
        <v>0</v>
      </c>
      <c r="O107" s="506">
        <f t="shared" si="45"/>
        <v>0</v>
      </c>
      <c r="P107" s="506">
        <f t="shared" si="45"/>
        <v>-24942110</v>
      </c>
      <c r="Q107" s="506">
        <f t="shared" si="45"/>
        <v>0</v>
      </c>
      <c r="R107" s="506">
        <f t="shared" si="45"/>
        <v>0</v>
      </c>
      <c r="S107" s="506">
        <f t="shared" si="45"/>
        <v>0</v>
      </c>
      <c r="T107" s="506">
        <f t="shared" si="45"/>
        <v>0</v>
      </c>
      <c r="U107" s="506">
        <f t="shared" si="45"/>
        <v>0</v>
      </c>
      <c r="V107" s="1635">
        <f t="shared" si="45"/>
        <v>-24942110</v>
      </c>
      <c r="X107" s="1636">
        <f>SUM(X108:X116)</f>
        <v>330658299</v>
      </c>
      <c r="Z107" s="1636">
        <f>SUM(Z108:Z116)</f>
        <v>-3944</v>
      </c>
      <c r="AA107" s="1636">
        <f>SUM(AA108:AA116)</f>
        <v>305331438</v>
      </c>
      <c r="AB107" s="1636">
        <f>SUM(AB108:AB116)</f>
        <v>-305335382</v>
      </c>
      <c r="AD107" s="1637">
        <v>330662243</v>
      </c>
      <c r="AE107" s="1637">
        <v>25330805</v>
      </c>
      <c r="AF107" s="1637">
        <v>24689871</v>
      </c>
      <c r="AG107" s="1637">
        <v>24630334</v>
      </c>
      <c r="AH107" s="1637">
        <v>2588810</v>
      </c>
      <c r="AI107" s="1637">
        <v>1792303289</v>
      </c>
      <c r="AJ107" s="1637">
        <v>532184471</v>
      </c>
      <c r="AK107" s="1637">
        <v>531823675</v>
      </c>
      <c r="AL107" s="1637">
        <v>1282503</v>
      </c>
      <c r="AM107" s="1636">
        <f>SUM(AM108:AM116)</f>
        <v>227347</v>
      </c>
      <c r="AN107" s="506">
        <f>SUM(AN108:AN116)</f>
        <v>10494735626</v>
      </c>
      <c r="AO107" s="1636">
        <f>SUM(AO108:AO116)</f>
        <v>200693002</v>
      </c>
      <c r="AP107" s="1636">
        <f>SUM(AP108:AP116)</f>
        <v>197313983</v>
      </c>
      <c r="AQ107" s="1638">
        <f>SUM(AQ108:AQ116)</f>
        <v>29457733</v>
      </c>
    </row>
    <row r="108" spans="1:43" ht="18" customHeight="1">
      <c r="A108" s="509"/>
      <c r="D108" s="1598" t="s">
        <v>362</v>
      </c>
      <c r="E108" s="1364" t="s">
        <v>361</v>
      </c>
      <c r="F108" s="1366">
        <v>706</v>
      </c>
      <c r="G108" s="1364" t="s">
        <v>1845</v>
      </c>
      <c r="H108" s="498">
        <v>242686686</v>
      </c>
      <c r="I108" s="498">
        <v>0</v>
      </c>
      <c r="J108" s="710">
        <v>0</v>
      </c>
      <c r="K108" s="710">
        <v>0</v>
      </c>
      <c r="L108" s="510">
        <f t="shared" ref="L108:L116" si="46">SUM(H108:K108)</f>
        <v>242686686</v>
      </c>
      <c r="N108" s="1473">
        <f>ROUND(SUMIF('1.0'!$D:$D,T_IS!D108,'1.0'!$V:$V),0)</f>
        <v>0</v>
      </c>
      <c r="O108" s="509">
        <f>ROUND(SUMIF('2.0'!$D:$D,T_IS!D108,'2.0'!$V:$V),0)</f>
        <v>0</v>
      </c>
      <c r="P108" s="509">
        <f>ROUND(SUMIF('3.0'!$D:$D,T_IS!D108,'3.0'!$H:$H),0)</f>
        <v>0</v>
      </c>
      <c r="Q108" s="509">
        <f>ROUND(SUMIF('4.0'!$D:$D,T_IS!D108,'4.0'!$V:$V),0)</f>
        <v>0</v>
      </c>
      <c r="R108" s="509">
        <f>ROUND(SUMIF('5.0'!$D:$D,T_IS!D108,'5.0'!$V:$V),0)</f>
        <v>0</v>
      </c>
      <c r="S108" s="509">
        <f>ROUND(SUMIF('6.0'!$D:$D,T_IS!D108,'6.0'!$V:$V),0)</f>
        <v>0</v>
      </c>
      <c r="T108" s="509">
        <f>ROUND(SUMIF('7.0'!$D:$D,T_IS!D108,'7.0'!$V:$V),0)</f>
        <v>0</v>
      </c>
      <c r="U108" s="509">
        <f>ROUND(SUMIF('8.0'!$D:$D,T_IS!F108,'8.0'!$H:$H),0)</f>
        <v>0</v>
      </c>
      <c r="V108" s="1475">
        <f t="shared" ref="V108:V116" si="47">SUM(N108:U108)</f>
        <v>0</v>
      </c>
      <c r="X108" s="1622">
        <f t="shared" ref="X108:X116" si="48">V108+L108</f>
        <v>242686686</v>
      </c>
      <c r="Z108" s="1622">
        <f t="shared" ref="Z108:Z116" si="49">X108-AD108</f>
        <v>0</v>
      </c>
      <c r="AA108" s="1622">
        <f t="shared" ref="AA108:AA116" si="50">AD108-AE108</f>
        <v>242686686</v>
      </c>
      <c r="AB108" s="1622">
        <f t="shared" ref="AB108:AB116" si="51">Z108-AA108</f>
        <v>-242686686</v>
      </c>
      <c r="AD108" s="1642">
        <v>242686686</v>
      </c>
      <c r="AE108" s="1642">
        <v>0</v>
      </c>
      <c r="AF108" s="1642">
        <v>0</v>
      </c>
      <c r="AG108" s="1642">
        <v>0</v>
      </c>
      <c r="AH108" s="1642">
        <v>0</v>
      </c>
      <c r="AI108" s="1642">
        <v>585423259</v>
      </c>
      <c r="AJ108" s="1642">
        <v>0</v>
      </c>
      <c r="AK108" s="550">
        <v>0</v>
      </c>
      <c r="AL108" s="550">
        <v>0</v>
      </c>
      <c r="AM108" s="1622">
        <v>0</v>
      </c>
      <c r="AN108" s="509">
        <v>5548640215</v>
      </c>
      <c r="AO108" s="1622">
        <v>0</v>
      </c>
      <c r="AP108" s="1623">
        <v>0</v>
      </c>
      <c r="AQ108" s="1624">
        <v>0</v>
      </c>
    </row>
    <row r="109" spans="1:43" ht="18" customHeight="1">
      <c r="A109" s="509"/>
      <c r="D109" s="1598" t="s">
        <v>364</v>
      </c>
      <c r="E109" s="1364" t="s">
        <v>361</v>
      </c>
      <c r="F109" s="1366">
        <v>701</v>
      </c>
      <c r="G109" s="1364" t="s">
        <v>1846</v>
      </c>
      <c r="H109" s="498">
        <v>0</v>
      </c>
      <c r="I109" s="498">
        <v>0</v>
      </c>
      <c r="J109" s="710">
        <v>0</v>
      </c>
      <c r="K109" s="710">
        <v>0</v>
      </c>
      <c r="L109" s="510">
        <f t="shared" si="46"/>
        <v>0</v>
      </c>
      <c r="N109" s="1473">
        <f>ROUND(SUMIF('1.0'!$D:$D,T_IS!D109,'1.0'!$V:$V),0)</f>
        <v>0</v>
      </c>
      <c r="O109" s="509">
        <f>ROUND(SUMIF('2.0'!$D:$D,T_IS!D109,'2.0'!$V:$V),0)</f>
        <v>0</v>
      </c>
      <c r="P109" s="509">
        <f>ROUND(SUMIF('3.0'!$D:$D,T_IS!D109,'3.0'!$H:$H),0)</f>
        <v>0</v>
      </c>
      <c r="Q109" s="509">
        <f>ROUND(SUMIF('4.0'!$D:$D,T_IS!D109,'4.0'!$V:$V),0)</f>
        <v>0</v>
      </c>
      <c r="R109" s="509">
        <f>ROUND(SUMIF('5.0'!$D:$D,T_IS!D109,'5.0'!$V:$V),0)</f>
        <v>0</v>
      </c>
      <c r="S109" s="509">
        <f>ROUND(SUMIF('6.0'!$D:$D,T_IS!D109,'6.0'!$V:$V),0)</f>
        <v>0</v>
      </c>
      <c r="T109" s="509">
        <f>ROUND(SUMIF('7.0'!$D:$D,T_IS!D109,'7.0'!$V:$V),0)</f>
        <v>0</v>
      </c>
      <c r="U109" s="509">
        <f>ROUND(SUMIF('8.0'!$D:$D,T_IS!F109,'8.0'!$H:$H),0)</f>
        <v>0</v>
      </c>
      <c r="V109" s="1475">
        <f t="shared" si="47"/>
        <v>0</v>
      </c>
      <c r="X109" s="1622">
        <f t="shared" si="48"/>
        <v>0</v>
      </c>
      <c r="Z109" s="1622">
        <f t="shared" si="49"/>
        <v>0</v>
      </c>
      <c r="AA109" s="1622">
        <f t="shared" si="50"/>
        <v>0</v>
      </c>
      <c r="AB109" s="1622">
        <f t="shared" si="51"/>
        <v>0</v>
      </c>
      <c r="AD109" s="1642">
        <v>0</v>
      </c>
      <c r="AE109" s="1642">
        <v>0</v>
      </c>
      <c r="AF109" s="1642">
        <v>0</v>
      </c>
      <c r="AG109" s="1642">
        <v>0</v>
      </c>
      <c r="AH109" s="1642">
        <v>0</v>
      </c>
      <c r="AI109" s="1642">
        <v>0</v>
      </c>
      <c r="AJ109" s="1642">
        <v>0</v>
      </c>
      <c r="AK109" s="550">
        <v>0</v>
      </c>
      <c r="AL109" s="550">
        <v>0</v>
      </c>
      <c r="AM109" s="1622">
        <v>0</v>
      </c>
      <c r="AN109" s="509">
        <v>1000</v>
      </c>
      <c r="AO109" s="1622">
        <v>1000</v>
      </c>
      <c r="AP109" s="1623">
        <v>1000</v>
      </c>
      <c r="AQ109" s="1624">
        <v>0</v>
      </c>
    </row>
    <row r="110" spans="1:43" s="1552" customFormat="1" ht="18" customHeight="1">
      <c r="A110" s="509"/>
      <c r="D110" s="1630" t="s">
        <v>1546</v>
      </c>
      <c r="E110" s="1552" t="s">
        <v>361</v>
      </c>
      <c r="F110" s="1631">
        <v>705</v>
      </c>
      <c r="G110" s="1552" t="s">
        <v>1847</v>
      </c>
      <c r="H110" s="498">
        <v>1000</v>
      </c>
      <c r="I110" s="498">
        <v>0</v>
      </c>
      <c r="J110" s="710">
        <v>0</v>
      </c>
      <c r="K110" s="710">
        <v>0</v>
      </c>
      <c r="L110" s="510">
        <f t="shared" si="46"/>
        <v>1000</v>
      </c>
      <c r="N110" s="1473">
        <f>ROUND(SUMIF('1.0'!$D:$D,T_IS!D110,'1.0'!$V:$V),0)</f>
        <v>0</v>
      </c>
      <c r="O110" s="509">
        <f>ROUND(SUMIF('2.0'!$D:$D,T_IS!D110,'2.0'!$V:$V),0)</f>
        <v>0</v>
      </c>
      <c r="P110" s="509">
        <f>ROUND(SUMIF('3.0'!$D:$D,T_IS!D110,'3.0'!$H:$H),0)</f>
        <v>0</v>
      </c>
      <c r="Q110" s="509">
        <f>ROUND(SUMIF('4.0'!$D:$D,T_IS!D110,'4.0'!$V:$V),0)</f>
        <v>216671</v>
      </c>
      <c r="R110" s="509">
        <f>ROUND(SUMIF('5.0'!$D:$D,T_IS!D110,'5.0'!$V:$V),0)</f>
        <v>0</v>
      </c>
      <c r="S110" s="509">
        <f>ROUND(SUMIF('6.0'!$D:$D,T_IS!D110,'6.0'!$V:$V),0)</f>
        <v>0</v>
      </c>
      <c r="T110" s="509">
        <f>ROUND(SUMIF('7.0'!$D:$D,T_IS!D110,'7.0'!$V:$V),0)</f>
        <v>0</v>
      </c>
      <c r="U110" s="509">
        <f>ROUND(SUMIF('8.0'!$D:$D,T_IS!F110,'8.0'!$H:$H),0)</f>
        <v>0</v>
      </c>
      <c r="V110" s="1475">
        <f t="shared" si="47"/>
        <v>216671</v>
      </c>
      <c r="X110" s="1622">
        <f t="shared" si="48"/>
        <v>217671</v>
      </c>
      <c r="Z110" s="1622">
        <f t="shared" si="49"/>
        <v>1000</v>
      </c>
      <c r="AA110" s="1622">
        <f t="shared" si="50"/>
        <v>216671</v>
      </c>
      <c r="AB110" s="1622">
        <f t="shared" si="51"/>
        <v>-215671</v>
      </c>
      <c r="AD110" s="1642">
        <v>216671</v>
      </c>
      <c r="AE110" s="1642">
        <v>0</v>
      </c>
      <c r="AF110" s="1642">
        <v>0</v>
      </c>
      <c r="AG110" s="1642">
        <v>0</v>
      </c>
      <c r="AH110" s="1642">
        <v>0</v>
      </c>
      <c r="AI110" s="1642">
        <v>8217770</v>
      </c>
      <c r="AJ110" s="1642">
        <v>6427556</v>
      </c>
      <c r="AK110" s="550">
        <v>6081752</v>
      </c>
      <c r="AL110" s="550">
        <v>0</v>
      </c>
      <c r="AM110" s="1622">
        <v>0</v>
      </c>
      <c r="AN110" s="509">
        <v>598158</v>
      </c>
      <c r="AO110" s="1622">
        <v>1000</v>
      </c>
      <c r="AP110" s="1623">
        <v>1000</v>
      </c>
      <c r="AQ110" s="1624">
        <v>1000</v>
      </c>
    </row>
    <row r="111" spans="1:43" s="1552" customFormat="1" ht="18" customHeight="1">
      <c r="A111" s="509"/>
      <c r="D111" s="1630" t="s">
        <v>1673</v>
      </c>
      <c r="E111" s="1552" t="s">
        <v>361</v>
      </c>
      <c r="F111" s="1631">
        <v>702</v>
      </c>
      <c r="G111" s="1552" t="s">
        <v>1675</v>
      </c>
      <c r="H111" s="498">
        <v>62881122</v>
      </c>
      <c r="I111" s="498">
        <v>0</v>
      </c>
      <c r="J111" s="710">
        <v>0</v>
      </c>
      <c r="K111" s="710">
        <v>0</v>
      </c>
      <c r="L111" s="510">
        <f t="shared" si="46"/>
        <v>62881122</v>
      </c>
      <c r="N111" s="1473">
        <f>ROUND(SUMIF('1.0'!$D:$D,T_IS!D111,'1.0'!$V:$V),0)</f>
        <v>0</v>
      </c>
      <c r="O111" s="509">
        <f>ROUND(SUMIF('2.0'!$D:$D,T_IS!D111,'2.0'!$V:$V),0)</f>
        <v>0</v>
      </c>
      <c r="P111" s="509">
        <f>ROUND(SUMIF('3.0'!$D:$D,T_IS!D111,'3.0'!$H:$H),0)</f>
        <v>0</v>
      </c>
      <c r="Q111" s="509">
        <f>ROUND(SUMIF('4.0'!$D:$D,T_IS!D111,'4.0'!$V:$V),0)</f>
        <v>0</v>
      </c>
      <c r="R111" s="509">
        <f>ROUND(SUMIF('5.0'!$D:$D,T_IS!D111,'5.0'!$V:$V),0)</f>
        <v>0</v>
      </c>
      <c r="S111" s="509">
        <f>ROUND(SUMIF('6.0'!$D:$D,T_IS!D111,'6.0'!$V:$V),0)</f>
        <v>0</v>
      </c>
      <c r="T111" s="509">
        <f>ROUND(SUMIF('7.0'!$D:$D,T_IS!D111,'7.0'!$V:$V),0)</f>
        <v>0</v>
      </c>
      <c r="U111" s="509">
        <f>ROUND(SUMIF('8.0'!$D:$D,T_IS!F111,'8.0'!$H:$H),0)</f>
        <v>0</v>
      </c>
      <c r="V111" s="1475">
        <f t="shared" si="47"/>
        <v>0</v>
      </c>
      <c r="X111" s="1622">
        <f t="shared" si="48"/>
        <v>62881122</v>
      </c>
      <c r="Z111" s="1622">
        <f t="shared" si="49"/>
        <v>0</v>
      </c>
      <c r="AA111" s="1622">
        <f t="shared" si="50"/>
        <v>62650038</v>
      </c>
      <c r="AB111" s="1622">
        <f t="shared" si="51"/>
        <v>-62650038</v>
      </c>
      <c r="AD111" s="1642">
        <v>62881122</v>
      </c>
      <c r="AE111" s="1642">
        <v>231084</v>
      </c>
      <c r="AF111" s="1642">
        <v>0</v>
      </c>
      <c r="AG111" s="1642">
        <v>0</v>
      </c>
      <c r="AH111" s="1642">
        <v>0</v>
      </c>
      <c r="AI111" s="1642">
        <v>0</v>
      </c>
      <c r="AJ111" s="1642">
        <v>0</v>
      </c>
      <c r="AK111" s="550">
        <v>0</v>
      </c>
      <c r="AL111" s="550">
        <v>0</v>
      </c>
      <c r="AM111" s="1622">
        <v>0</v>
      </c>
      <c r="AN111" s="509">
        <v>0</v>
      </c>
      <c r="AO111" s="1622">
        <v>0</v>
      </c>
      <c r="AP111" s="1623">
        <v>0</v>
      </c>
      <c r="AQ111" s="1624">
        <v>0</v>
      </c>
    </row>
    <row r="112" spans="1:43" s="1552" customFormat="1" ht="18" customHeight="1">
      <c r="A112" s="509"/>
      <c r="D112" s="1630" t="s">
        <v>366</v>
      </c>
      <c r="E112" s="1552" t="s">
        <v>361</v>
      </c>
      <c r="F112" s="1631">
        <v>333</v>
      </c>
      <c r="G112" s="1552" t="s">
        <v>1848</v>
      </c>
      <c r="H112" s="498">
        <v>0</v>
      </c>
      <c r="I112" s="498">
        <v>0</v>
      </c>
      <c r="J112" s="710">
        <v>0</v>
      </c>
      <c r="K112" s="710">
        <v>0</v>
      </c>
      <c r="L112" s="510">
        <f t="shared" si="46"/>
        <v>0</v>
      </c>
      <c r="N112" s="1473">
        <f>ROUND(SUMIF('1.0'!$D:$D,T_IS!D112,'1.0'!$V:$V),0)</f>
        <v>0</v>
      </c>
      <c r="O112" s="509">
        <f>ROUND(SUMIF('2.0'!$D:$D,T_IS!D112,'2.0'!$V:$V),0)</f>
        <v>0</v>
      </c>
      <c r="P112" s="509">
        <f>ROUND(SUMIF('3.0'!$D:$D,T_IS!D112,'3.0'!$H:$H),0)</f>
        <v>0</v>
      </c>
      <c r="Q112" s="509">
        <f>ROUND(SUMIF('4.0'!$D:$D,T_IS!D112,'4.0'!$V:$V),0)</f>
        <v>0</v>
      </c>
      <c r="R112" s="509">
        <f>ROUND(SUMIF('5.0'!$D:$D,T_IS!D112,'5.0'!$V:$V),0)</f>
        <v>0</v>
      </c>
      <c r="S112" s="509">
        <f>ROUND(SUMIF('6.0'!$D:$D,T_IS!D112,'6.0'!$V:$V),0)</f>
        <v>0</v>
      </c>
      <c r="T112" s="509">
        <f>ROUND(SUMIF('7.0'!$D:$D,T_IS!D112,'7.0'!$V:$V),0)</f>
        <v>0</v>
      </c>
      <c r="U112" s="509">
        <f>ROUND(SUMIF('8.0'!$D:$D,T_IS!F112,'8.0'!$H:$H),0)</f>
        <v>0</v>
      </c>
      <c r="V112" s="1475">
        <f t="shared" si="47"/>
        <v>0</v>
      </c>
      <c r="X112" s="1622">
        <f t="shared" si="48"/>
        <v>0</v>
      </c>
      <c r="Z112" s="1622">
        <f t="shared" si="49"/>
        <v>0</v>
      </c>
      <c r="AA112" s="1622">
        <f t="shared" si="50"/>
        <v>0</v>
      </c>
      <c r="AB112" s="1622">
        <f t="shared" si="51"/>
        <v>0</v>
      </c>
      <c r="AD112" s="1642">
        <v>0</v>
      </c>
      <c r="AE112" s="1642">
        <v>0</v>
      </c>
      <c r="AF112" s="1642">
        <v>0</v>
      </c>
      <c r="AG112" s="1642">
        <v>0</v>
      </c>
      <c r="AH112" s="1642">
        <v>0</v>
      </c>
      <c r="AI112" s="1642">
        <v>0</v>
      </c>
      <c r="AJ112" s="1642">
        <v>0</v>
      </c>
      <c r="AK112" s="550">
        <v>0</v>
      </c>
      <c r="AL112" s="550">
        <v>0</v>
      </c>
      <c r="AM112" s="1622">
        <v>0</v>
      </c>
      <c r="AN112" s="509">
        <v>0</v>
      </c>
      <c r="AO112" s="1622">
        <v>0</v>
      </c>
      <c r="AP112" s="1623">
        <v>0</v>
      </c>
      <c r="AQ112" s="1624">
        <v>0</v>
      </c>
    </row>
    <row r="113" spans="1:43" s="1552" customFormat="1" ht="18" customHeight="1">
      <c r="A113" s="509"/>
      <c r="D113" s="1630" t="s">
        <v>368</v>
      </c>
      <c r="E113" s="1552" t="s">
        <v>361</v>
      </c>
      <c r="F113" s="1631">
        <v>704</v>
      </c>
      <c r="G113" s="1552" t="s">
        <v>1849</v>
      </c>
      <c r="H113" s="498">
        <v>22397790</v>
      </c>
      <c r="I113" s="498">
        <v>25224552</v>
      </c>
      <c r="J113" s="710">
        <v>0</v>
      </c>
      <c r="K113" s="710">
        <v>2409259</v>
      </c>
      <c r="L113" s="510">
        <f t="shared" si="46"/>
        <v>50031601</v>
      </c>
      <c r="N113" s="1473">
        <f>ROUND(SUMIF('1.0'!$D:$D,T_IS!D113,'1.0'!$V:$V),0)</f>
        <v>0</v>
      </c>
      <c r="O113" s="509">
        <f>ROUND(SUMIF('2.0'!$D:$D,T_IS!D113,'2.0'!$V:$V),0)</f>
        <v>0</v>
      </c>
      <c r="P113" s="509">
        <f>ROUND(SUMIF('3.0'!$D:$D,T_IS!D113,'3.0'!$H:$H),0)</f>
        <v>-24942110</v>
      </c>
      <c r="Q113" s="509">
        <f>ROUND(SUMIF('4.0'!$D:$D,T_IS!D113,'4.0'!$V:$V),0)</f>
        <v>-216671</v>
      </c>
      <c r="R113" s="509">
        <f>ROUND(SUMIF('5.0'!$D:$D,T_IS!D113,'5.0'!$V:$V),0)</f>
        <v>0</v>
      </c>
      <c r="S113" s="509">
        <f>ROUND(SUMIF('6.0'!$D:$D,T_IS!D113,'6.0'!$V:$V),0)</f>
        <v>0</v>
      </c>
      <c r="T113" s="509">
        <f>ROUND(SUMIF('7.0'!$D:$D,T_IS!D113,'7.0'!$V:$V),0)</f>
        <v>0</v>
      </c>
      <c r="U113" s="509">
        <f>ROUND(SUMIF('8.0'!$D:$D,T_IS!F113,'8.0'!$H:$H),0)</f>
        <v>0</v>
      </c>
      <c r="V113" s="1475">
        <f t="shared" si="47"/>
        <v>-25158781</v>
      </c>
      <c r="X113" s="1622">
        <f t="shared" si="48"/>
        <v>24872820</v>
      </c>
      <c r="Z113" s="1622">
        <f t="shared" si="49"/>
        <v>-4944</v>
      </c>
      <c r="AA113" s="1622">
        <f t="shared" si="50"/>
        <v>-221957</v>
      </c>
      <c r="AB113" s="1622">
        <f t="shared" si="51"/>
        <v>217013</v>
      </c>
      <c r="AD113" s="1642">
        <v>24877764</v>
      </c>
      <c r="AE113" s="1642">
        <v>25099721</v>
      </c>
      <c r="AF113" s="1642">
        <v>24689871</v>
      </c>
      <c r="AG113" s="1642">
        <v>24630334</v>
      </c>
      <c r="AH113" s="1642">
        <v>2588810</v>
      </c>
      <c r="AI113" s="1642">
        <v>31027428</v>
      </c>
      <c r="AJ113" s="1642">
        <v>1293633</v>
      </c>
      <c r="AK113" s="550">
        <v>1279033</v>
      </c>
      <c r="AL113" s="550">
        <v>245153</v>
      </c>
      <c r="AM113" s="1622">
        <v>227347</v>
      </c>
      <c r="AN113" s="509">
        <v>742228141</v>
      </c>
      <c r="AO113" s="1622">
        <v>197404250</v>
      </c>
      <c r="AP113" s="1623">
        <v>197311983</v>
      </c>
      <c r="AQ113" s="1624">
        <v>29456733</v>
      </c>
    </row>
    <row r="114" spans="1:43" s="1552" customFormat="1" ht="18" customHeight="1">
      <c r="A114" s="509"/>
      <c r="D114" s="1630">
        <v>732100</v>
      </c>
      <c r="E114" s="1552" t="s">
        <v>361</v>
      </c>
      <c r="F114" s="1631">
        <v>708</v>
      </c>
      <c r="G114" s="1552" t="s">
        <v>1549</v>
      </c>
      <c r="H114" s="498">
        <v>0</v>
      </c>
      <c r="I114" s="498">
        <v>0</v>
      </c>
      <c r="J114" s="710">
        <v>0</v>
      </c>
      <c r="K114" s="710">
        <v>0</v>
      </c>
      <c r="L114" s="510">
        <f t="shared" si="46"/>
        <v>0</v>
      </c>
      <c r="N114" s="1473">
        <f>ROUND(SUMIF('1.0'!$D:$D,T_IS!D114,'1.0'!$V:$V),0)</f>
        <v>0</v>
      </c>
      <c r="O114" s="509">
        <f>ROUND(SUMIF('2.0'!$D:$D,T_IS!D114,'2.0'!$V:$V),0)</f>
        <v>0</v>
      </c>
      <c r="P114" s="509">
        <f>ROUND(SUMIF('3.0'!$D:$D,T_IS!D114,'3.0'!$H:$H),0)</f>
        <v>0</v>
      </c>
      <c r="Q114" s="509">
        <f>ROUND(SUMIF('4.0'!$D:$D,T_IS!D114,'4.0'!$V:$V),0)</f>
        <v>0</v>
      </c>
      <c r="R114" s="509">
        <f>ROUND(SUMIF('5.0'!$D:$D,T_IS!D114,'5.0'!$V:$V),0)</f>
        <v>0</v>
      </c>
      <c r="S114" s="509">
        <f>ROUND(SUMIF('6.0'!$D:$D,T_IS!D114,'6.0'!$V:$V),0)</f>
        <v>0</v>
      </c>
      <c r="T114" s="509">
        <f>ROUND(SUMIF('7.0'!$D:$D,T_IS!D114,'7.0'!$V:$V),0)</f>
        <v>0</v>
      </c>
      <c r="U114" s="509">
        <f>ROUND(SUMIF('8.0'!$D:$D,T_IS!F114,'8.0'!$H:$H),0)</f>
        <v>0</v>
      </c>
      <c r="V114" s="1475">
        <f t="shared" si="47"/>
        <v>0</v>
      </c>
      <c r="X114" s="1622">
        <f t="shared" si="48"/>
        <v>0</v>
      </c>
      <c r="Z114" s="1622">
        <f t="shared" si="49"/>
        <v>0</v>
      </c>
      <c r="AA114" s="1622">
        <f t="shared" si="50"/>
        <v>0</v>
      </c>
      <c r="AB114" s="1622">
        <f t="shared" si="51"/>
        <v>0</v>
      </c>
      <c r="AD114" s="1642">
        <v>0</v>
      </c>
      <c r="AE114" s="1642">
        <v>0</v>
      </c>
      <c r="AF114" s="1642">
        <v>0</v>
      </c>
      <c r="AG114" s="1642">
        <v>0</v>
      </c>
      <c r="AH114" s="1642">
        <v>0</v>
      </c>
      <c r="AI114" s="1642">
        <v>7634610</v>
      </c>
      <c r="AJ114" s="1642">
        <v>1459108</v>
      </c>
      <c r="AK114" s="550">
        <v>1458716</v>
      </c>
      <c r="AL114" s="550">
        <v>1037350</v>
      </c>
      <c r="AM114" s="1622">
        <v>0</v>
      </c>
      <c r="AN114" s="509">
        <v>3268112</v>
      </c>
      <c r="AO114" s="1622">
        <v>3286752</v>
      </c>
      <c r="AP114" s="1623">
        <v>0</v>
      </c>
      <c r="AQ114" s="1624">
        <v>0</v>
      </c>
    </row>
    <row r="115" spans="1:43" s="1552" customFormat="1" ht="18" customHeight="1">
      <c r="A115" s="509"/>
      <c r="D115" s="1650" t="s">
        <v>1751</v>
      </c>
      <c r="E115" s="1547" t="s">
        <v>361</v>
      </c>
      <c r="F115" s="1651">
        <v>703</v>
      </c>
      <c r="G115" s="1552" t="s">
        <v>762</v>
      </c>
      <c r="H115" s="498">
        <v>0</v>
      </c>
      <c r="I115" s="498">
        <v>0</v>
      </c>
      <c r="J115" s="710">
        <v>0</v>
      </c>
      <c r="K115" s="710">
        <v>0</v>
      </c>
      <c r="L115" s="510">
        <f t="shared" si="46"/>
        <v>0</v>
      </c>
      <c r="N115" s="1473">
        <f>ROUND(SUMIF('1.0'!$D:$D,T_IS!D115,'1.0'!$V:$V),0)</f>
        <v>0</v>
      </c>
      <c r="O115" s="509">
        <f>ROUND(SUMIF('2.0'!$D:$D,T_IS!D115,'2.0'!$V:$V),0)</f>
        <v>0</v>
      </c>
      <c r="P115" s="509">
        <f>ROUND(SUMIF('3.0'!$D:$D,T_IS!D115,'3.0'!$H:$H),0)</f>
        <v>0</v>
      </c>
      <c r="Q115" s="509">
        <f>ROUND(SUMIF('4.0'!$D:$D,T_IS!D115,'4.0'!$V:$V),0)</f>
        <v>0</v>
      </c>
      <c r="R115" s="509">
        <f>ROUND(SUMIF('5.0'!$D:$D,T_IS!D115,'5.0'!$V:$V),0)</f>
        <v>0</v>
      </c>
      <c r="S115" s="509">
        <f>ROUND(SUMIF('6.0'!$D:$D,T_IS!D115,'6.0'!$V:$V),0)</f>
        <v>0</v>
      </c>
      <c r="T115" s="509">
        <f>ROUND(SUMIF('7.0'!$D:$D,T_IS!D115,'7.0'!$V:$V),0)</f>
        <v>0</v>
      </c>
      <c r="U115" s="509">
        <f>ROUND(SUMIF('8.0'!$D:$D,T_IS!F115,'8.0'!$H:$H),0)</f>
        <v>0</v>
      </c>
      <c r="V115" s="1475">
        <f t="shared" si="47"/>
        <v>0</v>
      </c>
      <c r="X115" s="1622">
        <f t="shared" si="48"/>
        <v>0</v>
      </c>
      <c r="Z115" s="1622">
        <f t="shared" si="49"/>
        <v>0</v>
      </c>
      <c r="AA115" s="1622">
        <f t="shared" si="50"/>
        <v>0</v>
      </c>
      <c r="AB115" s="1622">
        <f t="shared" si="51"/>
        <v>0</v>
      </c>
      <c r="AD115" s="550">
        <v>0</v>
      </c>
      <c r="AE115" s="550">
        <v>0</v>
      </c>
      <c r="AF115" s="550">
        <v>0</v>
      </c>
      <c r="AG115" s="550">
        <v>0</v>
      </c>
      <c r="AH115" s="550">
        <v>0</v>
      </c>
      <c r="AI115" s="550">
        <v>1160000222</v>
      </c>
      <c r="AJ115" s="550">
        <v>523004174</v>
      </c>
      <c r="AK115" s="550">
        <v>523004174</v>
      </c>
      <c r="AL115" s="550">
        <v>0</v>
      </c>
      <c r="AM115" s="1622">
        <v>0</v>
      </c>
      <c r="AN115" s="509">
        <v>4200000000</v>
      </c>
      <c r="AO115" s="1622">
        <v>0</v>
      </c>
      <c r="AP115" s="1623">
        <v>0</v>
      </c>
      <c r="AQ115" s="1624">
        <v>0</v>
      </c>
    </row>
    <row r="116" spans="1:43" ht="18" customHeight="1">
      <c r="A116" s="509"/>
      <c r="D116" s="1639" t="s">
        <v>482</v>
      </c>
      <c r="E116" s="1506" t="s">
        <v>361</v>
      </c>
      <c r="F116" s="1640">
        <v>709</v>
      </c>
      <c r="G116" s="1364" t="s">
        <v>481</v>
      </c>
      <c r="H116" s="498">
        <v>0</v>
      </c>
      <c r="I116" s="498">
        <v>0</v>
      </c>
      <c r="J116" s="710">
        <v>0</v>
      </c>
      <c r="K116" s="710">
        <v>0</v>
      </c>
      <c r="L116" s="510">
        <f t="shared" si="46"/>
        <v>0</v>
      </c>
      <c r="N116" s="1473">
        <f>ROUND(SUMIF('1.0'!$D:$D,T_IS!D116,'1.0'!$V:$V),0)</f>
        <v>0</v>
      </c>
      <c r="O116" s="509">
        <f>ROUND(SUMIF('2.0'!$D:$D,T_IS!D116,'2.0'!$V:$V),0)</f>
        <v>0</v>
      </c>
      <c r="P116" s="509">
        <f>ROUND(SUMIF('3.0'!$D:$D,T_IS!D116,'3.0'!$H:$H),0)</f>
        <v>0</v>
      </c>
      <c r="Q116" s="509">
        <f>ROUND(SUMIF('4.0'!$D:$D,T_IS!D116,'4.0'!$V:$V),0)</f>
        <v>0</v>
      </c>
      <c r="R116" s="509">
        <f>ROUND(SUMIF('5.0'!$D:$D,T_IS!D116,'5.0'!$V:$V),0)</f>
        <v>0</v>
      </c>
      <c r="S116" s="509">
        <f>ROUND(SUMIF('6.0'!$D:$D,T_IS!D116,'6.0'!$V:$V),0)</f>
        <v>0</v>
      </c>
      <c r="T116" s="509">
        <f>ROUND(SUMIF('7.0'!$D:$D,T_IS!D116,'7.0'!$V:$V),0)</f>
        <v>0</v>
      </c>
      <c r="U116" s="509">
        <f>ROUND(SUMIF('8.0'!$D:$D,T_IS!F116,'8.0'!$H:$H),0)</f>
        <v>0</v>
      </c>
      <c r="V116" s="1475">
        <f t="shared" si="47"/>
        <v>0</v>
      </c>
      <c r="X116" s="1622">
        <f t="shared" si="48"/>
        <v>0</v>
      </c>
      <c r="Z116" s="1622">
        <f t="shared" si="49"/>
        <v>0</v>
      </c>
      <c r="AA116" s="1622">
        <f t="shared" si="50"/>
        <v>0</v>
      </c>
      <c r="AB116" s="1622">
        <f t="shared" si="51"/>
        <v>0</v>
      </c>
      <c r="AD116" s="550">
        <v>0</v>
      </c>
      <c r="AE116" s="550">
        <v>0</v>
      </c>
      <c r="AF116" s="550">
        <v>0</v>
      </c>
      <c r="AG116" s="550">
        <v>0</v>
      </c>
      <c r="AH116" s="550">
        <v>0</v>
      </c>
      <c r="AI116" s="550">
        <v>0</v>
      </c>
      <c r="AJ116" s="550">
        <v>0</v>
      </c>
      <c r="AK116" s="550">
        <v>0</v>
      </c>
      <c r="AL116" s="550">
        <v>0</v>
      </c>
      <c r="AM116" s="1622">
        <v>0</v>
      </c>
      <c r="AN116" s="509">
        <v>0</v>
      </c>
      <c r="AO116" s="1622">
        <v>0</v>
      </c>
      <c r="AP116" s="1623">
        <v>0</v>
      </c>
      <c r="AQ116" s="1624">
        <v>0</v>
      </c>
    </row>
    <row r="117" spans="1:43" ht="18" customHeight="1">
      <c r="A117" s="509"/>
      <c r="D117" s="1593"/>
      <c r="E117" s="1594"/>
      <c r="F117" s="1633"/>
      <c r="G117" s="1594" t="s">
        <v>370</v>
      </c>
      <c r="H117" s="520">
        <f>SUM(H118:H120)</f>
        <v>0</v>
      </c>
      <c r="I117" s="506">
        <f>SUM(I118:I120)</f>
        <v>0</v>
      </c>
      <c r="J117" s="506">
        <f>SUM(J118:J120)</f>
        <v>0</v>
      </c>
      <c r="K117" s="506">
        <f>SUM(K118:K120)</f>
        <v>0</v>
      </c>
      <c r="L117" s="507">
        <f>SUM(L118:L120)</f>
        <v>0</v>
      </c>
      <c r="N117" s="1634">
        <f t="shared" ref="N117:V117" si="52">SUM(N118:N120)</f>
        <v>0</v>
      </c>
      <c r="O117" s="506">
        <f t="shared" si="52"/>
        <v>0</v>
      </c>
      <c r="P117" s="506">
        <f t="shared" si="52"/>
        <v>0</v>
      </c>
      <c r="Q117" s="506">
        <f t="shared" si="52"/>
        <v>0</v>
      </c>
      <c r="R117" s="506">
        <f t="shared" si="52"/>
        <v>0</v>
      </c>
      <c r="S117" s="506">
        <f t="shared" si="52"/>
        <v>0</v>
      </c>
      <c r="T117" s="506">
        <f t="shared" si="52"/>
        <v>647140333</v>
      </c>
      <c r="U117" s="506">
        <f t="shared" si="52"/>
        <v>0</v>
      </c>
      <c r="V117" s="1635">
        <f t="shared" si="52"/>
        <v>647140333</v>
      </c>
      <c r="X117" s="1636">
        <f>SUM(X118:X120)</f>
        <v>647140333</v>
      </c>
      <c r="Z117" s="1636">
        <f>SUM(Z118:Z120)</f>
        <v>0</v>
      </c>
      <c r="AA117" s="1636">
        <f>SUM(AA118:AA120)</f>
        <v>-348209179</v>
      </c>
      <c r="AB117" s="1636">
        <f>SUM(AB118:AB120)</f>
        <v>348209179</v>
      </c>
      <c r="AD117" s="1637">
        <v>647140333</v>
      </c>
      <c r="AE117" s="1637">
        <v>995349512</v>
      </c>
      <c r="AF117" s="1637">
        <v>995349512</v>
      </c>
      <c r="AG117" s="1637">
        <v>995349512</v>
      </c>
      <c r="AH117" s="1637">
        <v>702464</v>
      </c>
      <c r="AI117" s="1637">
        <v>24157280</v>
      </c>
      <c r="AJ117" s="1637">
        <v>0</v>
      </c>
      <c r="AK117" s="1637">
        <v>0</v>
      </c>
      <c r="AL117" s="1637">
        <v>0</v>
      </c>
      <c r="AM117" s="1636">
        <f>SUM(AM118:AM120)</f>
        <v>0</v>
      </c>
      <c r="AN117" s="506">
        <f>SUM(AN118:AN120)</f>
        <v>0</v>
      </c>
      <c r="AO117" s="1636">
        <f>SUM(AO118:AO120)</f>
        <v>0</v>
      </c>
      <c r="AP117" s="1636">
        <f>SUM(AP118:AP120)</f>
        <v>0</v>
      </c>
      <c r="AQ117" s="1638">
        <f>SUM(AQ118:AQ120)</f>
        <v>0</v>
      </c>
    </row>
    <row r="118" spans="1:43" ht="18" customHeight="1">
      <c r="A118" s="509"/>
      <c r="D118" s="1598" t="s">
        <v>371</v>
      </c>
      <c r="E118" s="1364" t="s">
        <v>1783</v>
      </c>
      <c r="F118" s="1366">
        <v>903</v>
      </c>
      <c r="G118" s="1364" t="s">
        <v>372</v>
      </c>
      <c r="H118" s="498">
        <v>0</v>
      </c>
      <c r="I118" s="498">
        <v>0</v>
      </c>
      <c r="J118" s="710">
        <v>0</v>
      </c>
      <c r="K118" s="710">
        <v>0</v>
      </c>
      <c r="L118" s="510">
        <f>SUM(H118:K118)</f>
        <v>0</v>
      </c>
      <c r="N118" s="1473">
        <f>-ROUND(SUMIF('1.0'!$D:$D,T_IS!D118,'1.0'!$V:$V),0)</f>
        <v>0</v>
      </c>
      <c r="O118" s="509">
        <f>-ROUND(SUMIF('2.0'!$D:$D,T_IS!D118,'2.0'!$V:$V),0)</f>
        <v>0</v>
      </c>
      <c r="P118" s="509">
        <f>-ROUND(SUMIF('3.0'!$D:$D,T_IS!D118,'3.0'!$H:$H),0)</f>
        <v>0</v>
      </c>
      <c r="Q118" s="509">
        <f>-ROUND(SUMIF('4.0'!$D:$D,T_IS!D118,'4.0'!$V:$V),0)</f>
        <v>0</v>
      </c>
      <c r="R118" s="509">
        <f>ROUND(SUMIF('5.0'!$D:$D,T_IS!D118,'5.0'!$V:$V),0)</f>
        <v>0</v>
      </c>
      <c r="S118" s="509">
        <f>ROUND(SUMIF('6.0'!$D:$D,T_IS!D118,'6.0'!$V:$V),0)</f>
        <v>0</v>
      </c>
      <c r="T118" s="509">
        <f>-ROUND(SUMIF('7.0'!$D:$D,T_IS!D118,'7.0'!$V:$V),0)</f>
        <v>-766553853</v>
      </c>
      <c r="U118" s="509">
        <f>-ROUND(SUMIF('8.0'!$D:$D,T_IS!F118,'8.0'!$H:$H),0)</f>
        <v>0</v>
      </c>
      <c r="V118" s="1475">
        <f>SUM(N118:U118)</f>
        <v>-766553853</v>
      </c>
      <c r="X118" s="1622">
        <f>V118+L118</f>
        <v>-766553853</v>
      </c>
      <c r="Z118" s="1622">
        <f t="shared" ref="Z118:Z120" si="53">X118-AD118</f>
        <v>0</v>
      </c>
      <c r="AA118" s="1622">
        <f t="shared" ref="AA118:AA120" si="54">AD118-AE118</f>
        <v>-348209179</v>
      </c>
      <c r="AB118" s="1622">
        <f t="shared" ref="AB118:AB120" si="55">Z118-AA118</f>
        <v>348209179</v>
      </c>
      <c r="AD118" s="550">
        <v>-766553853</v>
      </c>
      <c r="AE118" s="550">
        <v>-418344674</v>
      </c>
      <c r="AF118" s="550">
        <v>-418344674</v>
      </c>
      <c r="AG118" s="550">
        <v>-418344674</v>
      </c>
      <c r="AH118" s="550">
        <v>702464</v>
      </c>
      <c r="AI118" s="550">
        <v>24157280</v>
      </c>
      <c r="AJ118" s="550">
        <v>0</v>
      </c>
      <c r="AK118" s="550">
        <v>0</v>
      </c>
      <c r="AL118" s="550">
        <v>0</v>
      </c>
      <c r="AM118" s="1622">
        <v>0</v>
      </c>
      <c r="AN118" s="509">
        <v>0</v>
      </c>
      <c r="AO118" s="1622">
        <v>0</v>
      </c>
      <c r="AP118" s="1623">
        <v>0</v>
      </c>
      <c r="AQ118" s="1624">
        <v>0</v>
      </c>
    </row>
    <row r="119" spans="1:43" ht="18" customHeight="1">
      <c r="A119" s="509"/>
      <c r="D119" s="1598" t="s">
        <v>373</v>
      </c>
      <c r="E119" s="1364" t="s">
        <v>1783</v>
      </c>
      <c r="F119" s="1579">
        <v>905</v>
      </c>
      <c r="G119" s="1364" t="s">
        <v>374</v>
      </c>
      <c r="H119" s="498">
        <v>0</v>
      </c>
      <c r="I119" s="498">
        <v>0</v>
      </c>
      <c r="J119" s="710">
        <v>0</v>
      </c>
      <c r="K119" s="710">
        <v>0</v>
      </c>
      <c r="L119" s="510">
        <f>SUM(H119:K119)</f>
        <v>0</v>
      </c>
      <c r="N119" s="1473">
        <f>-ROUND(SUMIF('1.0'!$D:$D,T_IS!D119,'1.0'!$V:$V),0)</f>
        <v>0</v>
      </c>
      <c r="O119" s="509">
        <f>-ROUND(SUMIF('2.0'!$D:$D,T_IS!D119,'2.0'!$V:$V),0)</f>
        <v>0</v>
      </c>
      <c r="P119" s="509">
        <f>-ROUND(SUMIF('3.0'!$D:$D,T_IS!D119,'3.0'!$H:$H),0)</f>
        <v>0</v>
      </c>
      <c r="Q119" s="509">
        <f>-ROUND(SUMIF('4.0'!$D:$D,T_IS!D119,'4.0'!$V:$V),0)</f>
        <v>0</v>
      </c>
      <c r="R119" s="509">
        <f>ROUND(SUMIF('5.0'!$D:$D,T_IS!D119,'5.0'!$V:$V),0)</f>
        <v>0</v>
      </c>
      <c r="S119" s="509">
        <f>ROUND(SUMIF('6.0'!$D:$D,T_IS!D119,'6.0'!$V:$V),0)</f>
        <v>0</v>
      </c>
      <c r="T119" s="509">
        <f>-ROUND(SUMIF('7.0'!$D:$D,T_IS!D119,'7.0'!$V:$V),0)</f>
        <v>1413694186</v>
      </c>
      <c r="U119" s="509">
        <f>-ROUND(SUMIF('8.0'!$D:$D,T_IS!F119,'8.0'!$H:$H),0)</f>
        <v>0</v>
      </c>
      <c r="V119" s="1475">
        <f>SUM(N119:U119)</f>
        <v>1413694186</v>
      </c>
      <c r="X119" s="1622">
        <f>V119+L119</f>
        <v>1413694186</v>
      </c>
      <c r="Z119" s="1622">
        <f t="shared" si="53"/>
        <v>0</v>
      </c>
      <c r="AA119" s="1622">
        <f t="shared" si="54"/>
        <v>0</v>
      </c>
      <c r="AB119" s="1622">
        <f t="shared" si="55"/>
        <v>0</v>
      </c>
      <c r="AD119" s="550">
        <v>1413694186</v>
      </c>
      <c r="AE119" s="550">
        <v>1413694186</v>
      </c>
      <c r="AF119" s="550">
        <v>1413694186</v>
      </c>
      <c r="AG119" s="550">
        <v>1413694186</v>
      </c>
      <c r="AH119" s="550">
        <v>0</v>
      </c>
      <c r="AI119" s="550">
        <v>0</v>
      </c>
      <c r="AJ119" s="550">
        <v>0</v>
      </c>
      <c r="AK119" s="550">
        <v>0</v>
      </c>
      <c r="AL119" s="550">
        <v>0</v>
      </c>
      <c r="AM119" s="1622">
        <v>0</v>
      </c>
      <c r="AN119" s="509">
        <v>0</v>
      </c>
      <c r="AO119" s="1622">
        <v>0</v>
      </c>
      <c r="AP119" s="1623">
        <v>0</v>
      </c>
      <c r="AQ119" s="1624">
        <v>0</v>
      </c>
    </row>
    <row r="120" spans="1:43" ht="18" customHeight="1">
      <c r="A120" s="509"/>
      <c r="D120" s="1598" t="s">
        <v>375</v>
      </c>
      <c r="E120" s="1364" t="s">
        <v>1783</v>
      </c>
      <c r="G120" s="1364" t="s">
        <v>376</v>
      </c>
      <c r="H120" s="498">
        <v>0</v>
      </c>
      <c r="I120" s="498">
        <v>0</v>
      </c>
      <c r="J120" s="710">
        <v>0</v>
      </c>
      <c r="K120" s="710">
        <v>0</v>
      </c>
      <c r="L120" s="510">
        <f>SUM(H120:K120)</f>
        <v>0</v>
      </c>
      <c r="N120" s="1473">
        <f>-ROUND(SUMIF('1.0'!$D:$D,T_IS!D120,'1.0'!$V:$V),0)</f>
        <v>0</v>
      </c>
      <c r="O120" s="509">
        <f>-ROUND(SUMIF('2.0'!$D:$D,T_IS!D120,'2.0'!$V:$V),0)</f>
        <v>0</v>
      </c>
      <c r="P120" s="509">
        <f>-ROUND(SUMIF('3.0'!$D:$D,T_IS!D120,'3.0'!$H:$H),0)</f>
        <v>0</v>
      </c>
      <c r="Q120" s="509">
        <f>-ROUND(SUMIF('4.0'!$D:$D,T_IS!D120,'4.0'!$V:$V),0)</f>
        <v>0</v>
      </c>
      <c r="R120" s="509">
        <f>ROUND(SUMIF('5.0'!$D:$D,T_IS!D120,'5.0'!$V:$V),0)</f>
        <v>0</v>
      </c>
      <c r="S120" s="509">
        <f>ROUND(SUMIF('6.0'!$D:$D,T_IS!D120,'6.0'!$V:$V),0)</f>
        <v>0</v>
      </c>
      <c r="T120" s="509">
        <f>-ROUND(SUMIF('7.0'!$D:$D,T_IS!D120,'7.0'!$V:$V),0)</f>
        <v>0</v>
      </c>
      <c r="U120" s="509">
        <f>-ROUND(SUMIF('8.0'!$D:$D,T_IS!F120,'8.0'!$H:$H),0)</f>
        <v>0</v>
      </c>
      <c r="V120" s="1475">
        <f>SUM(N120:U120)</f>
        <v>0</v>
      </c>
      <c r="X120" s="1622">
        <f>V120+L120</f>
        <v>0</v>
      </c>
      <c r="Z120" s="1622">
        <f t="shared" si="53"/>
        <v>0</v>
      </c>
      <c r="AA120" s="1622">
        <f t="shared" si="54"/>
        <v>0</v>
      </c>
      <c r="AB120" s="1622">
        <f t="shared" si="55"/>
        <v>0</v>
      </c>
      <c r="AD120" s="550">
        <v>0</v>
      </c>
      <c r="AE120" s="550">
        <v>0</v>
      </c>
      <c r="AF120" s="550">
        <v>0</v>
      </c>
      <c r="AG120" s="550">
        <v>0</v>
      </c>
      <c r="AH120" s="550">
        <v>0</v>
      </c>
      <c r="AI120" s="550">
        <v>0</v>
      </c>
      <c r="AJ120" s="550">
        <v>0</v>
      </c>
      <c r="AK120" s="550">
        <v>0</v>
      </c>
      <c r="AL120" s="550">
        <v>0</v>
      </c>
      <c r="AM120" s="1622">
        <v>0</v>
      </c>
      <c r="AN120" s="509">
        <v>0</v>
      </c>
      <c r="AO120" s="1622">
        <v>0</v>
      </c>
      <c r="AP120" s="1623">
        <v>0</v>
      </c>
      <c r="AQ120" s="1624">
        <v>0</v>
      </c>
    </row>
    <row r="121" spans="1:43" ht="18" customHeight="1">
      <c r="A121" s="509"/>
      <c r="D121" s="1593"/>
      <c r="E121" s="1594"/>
      <c r="F121" s="1633"/>
      <c r="G121" s="1594" t="s">
        <v>377</v>
      </c>
      <c r="H121" s="520">
        <f>SUM(H122:H123)</f>
        <v>0</v>
      </c>
      <c r="I121" s="506">
        <f>SUM(I122:I123)</f>
        <v>0</v>
      </c>
      <c r="J121" s="506">
        <f>SUM(J122:J123)</f>
        <v>0</v>
      </c>
      <c r="K121" s="506">
        <f>SUM(K122:K123)</f>
        <v>0</v>
      </c>
      <c r="L121" s="507">
        <f>SUM(L122:L123)</f>
        <v>0</v>
      </c>
      <c r="N121" s="1634">
        <f>SUM(N122:N123)</f>
        <v>0</v>
      </c>
      <c r="O121" s="506">
        <f>SUM(O122:O123)</f>
        <v>0</v>
      </c>
      <c r="P121" s="506">
        <f t="shared" ref="P121:U121" si="56">SUM(P122:P122)</f>
        <v>0</v>
      </c>
      <c r="Q121" s="506">
        <f t="shared" si="56"/>
        <v>0</v>
      </c>
      <c r="R121" s="506">
        <f t="shared" si="56"/>
        <v>0</v>
      </c>
      <c r="S121" s="506">
        <f t="shared" si="56"/>
        <v>0</v>
      </c>
      <c r="T121" s="506">
        <f t="shared" si="56"/>
        <v>0</v>
      </c>
      <c r="U121" s="506">
        <f t="shared" si="56"/>
        <v>0</v>
      </c>
      <c r="V121" s="1635">
        <f>SUM(V122:V123)</f>
        <v>0</v>
      </c>
      <c r="X121" s="1636">
        <f>SUM(X122:X123)</f>
        <v>0</v>
      </c>
      <c r="Z121" s="1636">
        <f>SUM(Z122:Z123)</f>
        <v>0</v>
      </c>
      <c r="AA121" s="1636">
        <f>SUM(AA122:AA123)</f>
        <v>0</v>
      </c>
      <c r="AB121" s="1636">
        <f>SUM(AB122:AB123)</f>
        <v>0</v>
      </c>
      <c r="AD121" s="1637">
        <v>0</v>
      </c>
      <c r="AE121" s="1637">
        <v>0</v>
      </c>
      <c r="AF121" s="1637">
        <v>0</v>
      </c>
      <c r="AG121" s="1637">
        <v>0</v>
      </c>
      <c r="AH121" s="1637">
        <v>0</v>
      </c>
      <c r="AI121" s="1637">
        <v>0</v>
      </c>
      <c r="AJ121" s="1637">
        <v>0</v>
      </c>
      <c r="AK121" s="1637">
        <v>0</v>
      </c>
      <c r="AL121" s="1637">
        <v>0</v>
      </c>
      <c r="AM121" s="1636">
        <f>SUM(AM122:AM123)</f>
        <v>0</v>
      </c>
      <c r="AN121" s="506">
        <f>SUM(AN122:AN123)</f>
        <v>0</v>
      </c>
      <c r="AO121" s="1636">
        <f>SUM(AO122:AO123)</f>
        <v>0</v>
      </c>
      <c r="AP121" s="1636">
        <f>SUM(AP122:AP123)</f>
        <v>0</v>
      </c>
      <c r="AQ121" s="1638">
        <f>SUM(AQ122:AQ123)</f>
        <v>0</v>
      </c>
    </row>
    <row r="122" spans="1:43" ht="18" customHeight="1">
      <c r="A122" s="509"/>
      <c r="D122" s="1598" t="s">
        <v>378</v>
      </c>
      <c r="E122" s="1364" t="s">
        <v>1783</v>
      </c>
      <c r="G122" s="1364" t="s">
        <v>377</v>
      </c>
      <c r="H122" s="498">
        <v>0</v>
      </c>
      <c r="I122" s="498">
        <v>0</v>
      </c>
      <c r="J122" s="710">
        <v>0</v>
      </c>
      <c r="K122" s="710">
        <v>0</v>
      </c>
      <c r="L122" s="510">
        <f>SUM(H122:K122)</f>
        <v>0</v>
      </c>
      <c r="N122" s="1473">
        <f>ROUND(SUMIF('1.0'!$D:$D,T_IS!D122,'1.0'!$V:$V),0)</f>
        <v>0</v>
      </c>
      <c r="O122" s="509">
        <f>ROUND(SUMIF('2.0'!$D:$D,T_IS!D122,'2.0'!$V:$V),0)</f>
        <v>0</v>
      </c>
      <c r="P122" s="509">
        <f>ROUND(SUMIF('3.0'!$D:$D,T_IS!D122,'3.0'!$H:$H),0)</f>
        <v>0</v>
      </c>
      <c r="Q122" s="509">
        <f>ROUND(SUMIF('4.0'!$D:$D,T_IS!D122,'4.0'!$V:$V),0)</f>
        <v>0</v>
      </c>
      <c r="R122" s="509">
        <f>ROUND(SUMIF('5.0'!$D:$D,T_IS!D122,'5.0'!$V:$V),0)</f>
        <v>0</v>
      </c>
      <c r="S122" s="509">
        <f>ROUND(SUMIF('6.0'!$D:$D,T_IS!D122,'6.0'!$V:$V),0)</f>
        <v>0</v>
      </c>
      <c r="T122" s="509">
        <f>ROUND(SUMIF('7.0'!$D:$D,T_IS!D122,'7.0'!$V:$V),0)</f>
        <v>0</v>
      </c>
      <c r="U122" s="509">
        <f>ROUND(SUMIF('8.0'!$D:$D,T_IS!F122,'8.0'!$H:$H),0)</f>
        <v>0</v>
      </c>
      <c r="V122" s="1475">
        <f>SUM(N122:U122)</f>
        <v>0</v>
      </c>
      <c r="X122" s="1622">
        <f>V122+L122</f>
        <v>0</v>
      </c>
      <c r="Z122" s="1622">
        <f t="shared" ref="Z122:Z123" si="57">X122-AD122</f>
        <v>0</v>
      </c>
      <c r="AA122" s="1622">
        <f t="shared" ref="AA122:AA123" si="58">AD122-AE122</f>
        <v>0</v>
      </c>
      <c r="AB122" s="1622">
        <f t="shared" ref="AB122:AB123" si="59">Z122-AA122</f>
        <v>0</v>
      </c>
      <c r="AD122" s="550">
        <v>0</v>
      </c>
      <c r="AE122" s="550">
        <v>0</v>
      </c>
      <c r="AF122" s="550">
        <v>0</v>
      </c>
      <c r="AG122" s="550">
        <v>0</v>
      </c>
      <c r="AH122" s="550">
        <v>0</v>
      </c>
      <c r="AI122" s="550">
        <v>0</v>
      </c>
      <c r="AJ122" s="550">
        <v>0</v>
      </c>
      <c r="AK122" s="550">
        <v>0</v>
      </c>
      <c r="AL122" s="550">
        <v>0</v>
      </c>
      <c r="AM122" s="1622">
        <v>0</v>
      </c>
      <c r="AN122" s="509">
        <v>0</v>
      </c>
      <c r="AO122" s="1622">
        <v>0</v>
      </c>
      <c r="AP122" s="1623">
        <v>0</v>
      </c>
      <c r="AQ122" s="1624">
        <v>0</v>
      </c>
    </row>
    <row r="123" spans="1:43" ht="18" customHeight="1">
      <c r="A123" s="509"/>
      <c r="D123" s="1598">
        <v>714000</v>
      </c>
      <c r="E123" s="1364" t="s">
        <v>1783</v>
      </c>
      <c r="G123" s="1364" t="s">
        <v>1696</v>
      </c>
      <c r="H123" s="498">
        <v>0</v>
      </c>
      <c r="I123" s="498">
        <v>0</v>
      </c>
      <c r="J123" s="710">
        <v>0</v>
      </c>
      <c r="K123" s="710">
        <v>0</v>
      </c>
      <c r="L123" s="510">
        <f>SUM(H123:K123)</f>
        <v>0</v>
      </c>
      <c r="N123" s="1473">
        <f>ROUND(SUMIF('1.0'!$D:$D,T_IS!D123,'1.0'!$V:$V),0)</f>
        <v>0</v>
      </c>
      <c r="O123" s="509">
        <f>ROUND(SUMIF('2.0'!$D:$D,T_IS!D123,'2.0'!$V:$V),0)</f>
        <v>0</v>
      </c>
      <c r="P123" s="509">
        <f>ROUND(SUMIF('3.0'!$D:$D,T_IS!D123,'3.0'!$H:$H),0)</f>
        <v>0</v>
      </c>
      <c r="Q123" s="509">
        <f>ROUND(SUMIF('4.0'!$D:$D,T_IS!D123,'4.0'!$V:$V),0)</f>
        <v>0</v>
      </c>
      <c r="R123" s="509">
        <f>ROUND(SUMIF('5.0'!$D:$D,T_IS!D123,'5.0'!$V:$V),0)</f>
        <v>0</v>
      </c>
      <c r="S123" s="509">
        <f>ROUND(SUMIF('6.0'!$D:$D,T_IS!D123,'6.0'!$V:$V),0)</f>
        <v>0</v>
      </c>
      <c r="T123" s="509">
        <f>ROUND(SUMIF('7.0'!$D:$D,T_IS!D123,'7.0'!$V:$V),0)</f>
        <v>0</v>
      </c>
      <c r="U123" s="509">
        <f>ROUND(SUMIF('8.0'!$D:$D,T_IS!F123,'8.0'!$H:$H),0)</f>
        <v>0</v>
      </c>
      <c r="V123" s="1475">
        <f>SUM(N123:U123)</f>
        <v>0</v>
      </c>
      <c r="X123" s="1622">
        <f>V123+L123</f>
        <v>0</v>
      </c>
      <c r="Z123" s="1622">
        <f t="shared" si="57"/>
        <v>0</v>
      </c>
      <c r="AA123" s="1622">
        <f t="shared" si="58"/>
        <v>0</v>
      </c>
      <c r="AB123" s="1622">
        <f t="shared" si="59"/>
        <v>0</v>
      </c>
      <c r="AD123" s="550">
        <v>0</v>
      </c>
      <c r="AE123" s="550">
        <v>0</v>
      </c>
      <c r="AF123" s="550">
        <v>0</v>
      </c>
      <c r="AG123" s="550">
        <v>0</v>
      </c>
      <c r="AH123" s="550">
        <v>0</v>
      </c>
      <c r="AI123" s="550">
        <v>0</v>
      </c>
      <c r="AJ123" s="550">
        <v>0</v>
      </c>
      <c r="AK123" s="550">
        <v>0</v>
      </c>
      <c r="AL123" s="550">
        <v>0</v>
      </c>
      <c r="AM123" s="1622">
        <v>0</v>
      </c>
      <c r="AN123" s="509">
        <v>0</v>
      </c>
      <c r="AO123" s="1622">
        <v>0</v>
      </c>
      <c r="AP123" s="1623">
        <v>0</v>
      </c>
      <c r="AQ123" s="1624">
        <v>0</v>
      </c>
    </row>
    <row r="124" spans="1:43" ht="18" customHeight="1">
      <c r="A124" s="509"/>
      <c r="D124" s="1588"/>
      <c r="E124" s="1589"/>
      <c r="F124" s="1613"/>
      <c r="G124" s="1589" t="s">
        <v>379</v>
      </c>
      <c r="H124" s="1625">
        <f>H75+H76-H87+H100-H107+H117+H123-H122</f>
        <v>45925840593</v>
      </c>
      <c r="I124" s="503">
        <f>I75+I76-I87+I100-I107+I117+I123-I122</f>
        <v>-15001515</v>
      </c>
      <c r="J124" s="503">
        <f>J75+J76-J87+J100-J107+J117+J123-J122</f>
        <v>234277127</v>
      </c>
      <c r="K124" s="503">
        <f>K75+K76-K87+K100-K107+K117+K123-K122</f>
        <v>1245089604</v>
      </c>
      <c r="L124" s="504">
        <f>L75+L76-L87+L100-L107+L117+L123-L122</f>
        <v>47390205809</v>
      </c>
      <c r="N124" s="1626">
        <f t="shared" ref="N124:V124" si="60">N75+N76-N87+N100-N107+N117-N121</f>
        <v>0</v>
      </c>
      <c r="O124" s="503">
        <f t="shared" si="60"/>
        <v>0</v>
      </c>
      <c r="P124" s="503">
        <f t="shared" si="60"/>
        <v>-1824873276</v>
      </c>
      <c r="Q124" s="503">
        <f t="shared" si="60"/>
        <v>-200232780</v>
      </c>
      <c r="R124" s="503">
        <f t="shared" si="60"/>
        <v>0</v>
      </c>
      <c r="S124" s="503">
        <f t="shared" si="60"/>
        <v>0</v>
      </c>
      <c r="T124" s="503">
        <f t="shared" si="60"/>
        <v>647140333</v>
      </c>
      <c r="U124" s="503">
        <f t="shared" si="60"/>
        <v>0</v>
      </c>
      <c r="V124" s="1627">
        <f t="shared" si="60"/>
        <v>-1377965723</v>
      </c>
      <c r="X124" s="1628">
        <f>X75+X76-X87+X100-X107+X117-X121</f>
        <v>46012240086</v>
      </c>
      <c r="Z124" s="1628">
        <f>Z75+Z76-Z87+Z100-Z107+Z117-Z121</f>
        <v>-31677229</v>
      </c>
      <c r="AA124" s="1628">
        <f>AA75+AA76-AA87+AA100-AA107+AA117-AA121</f>
        <v>9080634566</v>
      </c>
      <c r="AB124" s="1628">
        <f>AB75+AB76-AB87+AB100-AB107+AB117-AB121</f>
        <v>-9112311795</v>
      </c>
      <c r="AD124" s="1629">
        <v>46043917315</v>
      </c>
      <c r="AE124" s="1629">
        <v>36963282749</v>
      </c>
      <c r="AF124" s="1629">
        <v>36928215234</v>
      </c>
      <c r="AG124" s="1629">
        <v>36205034398</v>
      </c>
      <c r="AH124" s="1629">
        <v>12563565105</v>
      </c>
      <c r="AI124" s="1629">
        <v>-15844876543</v>
      </c>
      <c r="AJ124" s="1629">
        <v>166780455</v>
      </c>
      <c r="AK124" s="1629">
        <v>-658139430</v>
      </c>
      <c r="AL124" s="1629">
        <v>-14660494574</v>
      </c>
      <c r="AM124" s="1628">
        <f>AM75+AM76-AM87+AM100-AM107+AM117-AM121</f>
        <v>2292303761</v>
      </c>
      <c r="AN124" s="503">
        <f>AN75+AN76-AN87+AN100-AN107+AN117-AN121</f>
        <v>-25048195496</v>
      </c>
      <c r="AO124" s="1628">
        <f>AO75+AO76-AO87+AO100-AO107+AO117-AO121</f>
        <v>-9235216767</v>
      </c>
      <c r="AP124" s="1628">
        <f>AP75+AP76-AP87+AP100-AP107+AP117-AP121</f>
        <v>-4570284914</v>
      </c>
      <c r="AQ124" s="1820">
        <f>AQ75+AQ76-AQ87+AQ100-AQ107+AQ117-AQ121</f>
        <v>-86169462</v>
      </c>
    </row>
    <row r="125" spans="1:43" ht="18" customHeight="1">
      <c r="A125" s="509"/>
      <c r="D125" s="1593"/>
      <c r="E125" s="1594"/>
      <c r="F125" s="1633"/>
      <c r="G125" s="1594" t="s">
        <v>380</v>
      </c>
      <c r="H125" s="506">
        <f>H126</f>
        <v>312380950</v>
      </c>
      <c r="I125" s="506">
        <f>I126</f>
        <v>0</v>
      </c>
      <c r="J125" s="506">
        <f>J126</f>
        <v>0</v>
      </c>
      <c r="K125" s="506">
        <f>K126</f>
        <v>2868071</v>
      </c>
      <c r="L125" s="507">
        <f>L126</f>
        <v>315249021</v>
      </c>
      <c r="N125" s="1634">
        <f t="shared" ref="N125:V125" si="61">N126</f>
        <v>0</v>
      </c>
      <c r="O125" s="506">
        <f t="shared" si="61"/>
        <v>0</v>
      </c>
      <c r="P125" s="506">
        <f t="shared" si="61"/>
        <v>0</v>
      </c>
      <c r="Q125" s="506">
        <f t="shared" si="61"/>
        <v>0</v>
      </c>
      <c r="R125" s="506">
        <f t="shared" si="61"/>
        <v>0</v>
      </c>
      <c r="S125" s="506">
        <f t="shared" si="61"/>
        <v>0</v>
      </c>
      <c r="T125" s="506">
        <f t="shared" si="61"/>
        <v>0</v>
      </c>
      <c r="U125" s="506">
        <f t="shared" si="61"/>
        <v>0</v>
      </c>
      <c r="V125" s="1635">
        <f t="shared" si="61"/>
        <v>0</v>
      </c>
      <c r="X125" s="1636">
        <f>X126</f>
        <v>315249021</v>
      </c>
      <c r="Z125" s="1636">
        <f>Z126</f>
        <v>-5887</v>
      </c>
      <c r="AA125" s="1636">
        <f>AA126</f>
        <v>9094998</v>
      </c>
      <c r="AB125" s="1636">
        <f>AB126</f>
        <v>-9100885</v>
      </c>
      <c r="AD125" s="1637">
        <v>315254908</v>
      </c>
      <c r="AE125" s="1637">
        <v>306159910</v>
      </c>
      <c r="AF125" s="1637">
        <v>306168030</v>
      </c>
      <c r="AG125" s="1637">
        <v>306217823</v>
      </c>
      <c r="AH125" s="1637">
        <v>266200741</v>
      </c>
      <c r="AI125" s="1637">
        <v>258216482</v>
      </c>
      <c r="AJ125" s="1637">
        <v>480535403</v>
      </c>
      <c r="AK125" s="1637">
        <v>464597147</v>
      </c>
      <c r="AL125" s="1637">
        <v>241042872</v>
      </c>
      <c r="AM125" s="1636">
        <f>AM126</f>
        <v>116907703</v>
      </c>
      <c r="AN125" s="506">
        <f>AN126</f>
        <v>-1980322895</v>
      </c>
      <c r="AO125" s="1636">
        <f>AO126</f>
        <v>-190300445</v>
      </c>
      <c r="AP125" s="1636">
        <f>AP126</f>
        <v>-126707914</v>
      </c>
      <c r="AQ125" s="1821">
        <f>AQ126</f>
        <v>-62271284</v>
      </c>
    </row>
    <row r="126" spans="1:43" ht="18" customHeight="1">
      <c r="A126" s="509"/>
      <c r="D126" s="1598">
        <v>811100</v>
      </c>
      <c r="E126" s="1364" t="s">
        <v>380</v>
      </c>
      <c r="F126" s="1366">
        <v>801</v>
      </c>
      <c r="G126" s="1364" t="s">
        <v>380</v>
      </c>
      <c r="H126" s="498">
        <v>312380950</v>
      </c>
      <c r="I126" s="498">
        <v>0</v>
      </c>
      <c r="J126" s="710">
        <v>0</v>
      </c>
      <c r="K126" s="710">
        <v>2868071</v>
      </c>
      <c r="L126" s="510">
        <f>SUM(H126:K126)</f>
        <v>315249021</v>
      </c>
      <c r="N126" s="1473">
        <f>ROUND(SUMIF('1.0'!$D:$D,T_IS!D126,'1.0'!$V:$V),0)</f>
        <v>0</v>
      </c>
      <c r="O126" s="509">
        <f>ROUND(SUMIF('2.0'!$D:$D,T_IS!D126,'2.0'!$V:$V),0)</f>
        <v>0</v>
      </c>
      <c r="P126" s="509">
        <f>ROUND(SUMIF('3.0'!$D:$D,T_IS!D126,'3.0'!$H:$H),0)</f>
        <v>0</v>
      </c>
      <c r="Q126" s="509">
        <f>ROUND(SUMIF('4.0'!$D:$D,T_IS!D126,'4.0'!$V:$V),0)</f>
        <v>0</v>
      </c>
      <c r="R126" s="509">
        <f>ROUND(SUMIF('5.0'!$D:$D,T_IS!D126,'5.0'!$V:$V),0)</f>
        <v>0</v>
      </c>
      <c r="S126" s="509">
        <f>ROUND(SUMIF('6.0'!$D:$D,T_IS!D126,'6.0'!$V:$V),0)</f>
        <v>0</v>
      </c>
      <c r="T126" s="509">
        <f>ROUND(SUMIF('7.0'!$D:$D,T_IS!D126,'7.0'!$V:$V),0)</f>
        <v>0</v>
      </c>
      <c r="U126" s="509">
        <f>ROUND(SUMIF('8.0'!$D:$D,T_IS!F126,'8.0'!$H:$H),0)</f>
        <v>0</v>
      </c>
      <c r="V126" s="1475">
        <f>SUM(N126:U126)</f>
        <v>0</v>
      </c>
      <c r="X126" s="1622">
        <f>V126+L126</f>
        <v>315249021</v>
      </c>
      <c r="Z126" s="1622">
        <f>X126-AD126</f>
        <v>-5887</v>
      </c>
      <c r="AA126" s="1622">
        <f>AD126-AE126</f>
        <v>9094998</v>
      </c>
      <c r="AB126" s="1622">
        <f>Z126-AA126</f>
        <v>-9100885</v>
      </c>
      <c r="AD126" s="550">
        <v>315254908</v>
      </c>
      <c r="AE126" s="550">
        <v>306159910</v>
      </c>
      <c r="AF126" s="550">
        <v>306168030</v>
      </c>
      <c r="AG126" s="550">
        <v>306217823</v>
      </c>
      <c r="AH126" s="550">
        <v>266200741</v>
      </c>
      <c r="AI126" s="550">
        <v>258216482</v>
      </c>
      <c r="AJ126" s="550">
        <v>480535403</v>
      </c>
      <c r="AK126" s="550">
        <v>464597147</v>
      </c>
      <c r="AL126" s="550">
        <v>241042872</v>
      </c>
      <c r="AM126" s="1622">
        <v>116907703</v>
      </c>
      <c r="AN126" s="509">
        <v>-1980322895</v>
      </c>
      <c r="AO126" s="1622">
        <v>-190300445</v>
      </c>
      <c r="AP126" s="1622">
        <v>-126707914</v>
      </c>
      <c r="AQ126" s="1819">
        <v>-62271284</v>
      </c>
    </row>
    <row r="127" spans="1:43" ht="18" customHeight="1">
      <c r="A127" s="509"/>
      <c r="D127" s="1588"/>
      <c r="E127" s="1589"/>
      <c r="F127" s="1613"/>
      <c r="G127" s="1589" t="s">
        <v>2625</v>
      </c>
      <c r="H127" s="503">
        <f>H124-H125</f>
        <v>45613459643</v>
      </c>
      <c r="I127" s="503">
        <f>I124-I125</f>
        <v>-15001515</v>
      </c>
      <c r="J127" s="503">
        <f>J124-J125</f>
        <v>234277127</v>
      </c>
      <c r="K127" s="503">
        <f>K124-K125</f>
        <v>1242221533</v>
      </c>
      <c r="L127" s="504">
        <f>L124-L125</f>
        <v>47074956788</v>
      </c>
      <c r="N127" s="1626">
        <f t="shared" ref="N127:V127" si="62">N124-N125</f>
        <v>0</v>
      </c>
      <c r="O127" s="503">
        <f t="shared" si="62"/>
        <v>0</v>
      </c>
      <c r="P127" s="503">
        <f t="shared" si="62"/>
        <v>-1824873276</v>
      </c>
      <c r="Q127" s="503">
        <f t="shared" si="62"/>
        <v>-200232780</v>
      </c>
      <c r="R127" s="503">
        <f t="shared" si="62"/>
        <v>0</v>
      </c>
      <c r="S127" s="503">
        <f t="shared" si="62"/>
        <v>0</v>
      </c>
      <c r="T127" s="503">
        <f t="shared" si="62"/>
        <v>647140333</v>
      </c>
      <c r="U127" s="503">
        <f t="shared" si="62"/>
        <v>0</v>
      </c>
      <c r="V127" s="1627">
        <f t="shared" si="62"/>
        <v>-1377965723</v>
      </c>
      <c r="X127" s="1628">
        <f>X124-X125</f>
        <v>45696991065</v>
      </c>
      <c r="Z127" s="1628">
        <f>Z124-Z125</f>
        <v>-31671342</v>
      </c>
      <c r="AA127" s="1628">
        <f>AA124-AA125</f>
        <v>9071539568</v>
      </c>
      <c r="AB127" s="1628">
        <f>AB124-AB125</f>
        <v>-9103210910</v>
      </c>
      <c r="AD127" s="1629">
        <v>45728662407</v>
      </c>
      <c r="AE127" s="1629">
        <v>36657122839</v>
      </c>
      <c r="AF127" s="1629">
        <v>36622047204</v>
      </c>
      <c r="AG127" s="1629">
        <v>35898816575</v>
      </c>
      <c r="AH127" s="1629">
        <v>12297364364</v>
      </c>
      <c r="AI127" s="1629">
        <v>-16103093025</v>
      </c>
      <c r="AJ127" s="1629">
        <v>-313754948</v>
      </c>
      <c r="AK127" s="1629">
        <v>-1122736577</v>
      </c>
      <c r="AL127" s="1629">
        <v>-14901537446</v>
      </c>
      <c r="AM127" s="1628">
        <f>AM124-AM125</f>
        <v>2175396058</v>
      </c>
      <c r="AN127" s="503">
        <f>AN124-AN125</f>
        <v>-23067872601</v>
      </c>
      <c r="AO127" s="1628">
        <f>AO124-AO125</f>
        <v>-9044916322</v>
      </c>
      <c r="AP127" s="1628">
        <f>AP124-AP125</f>
        <v>-4443577000</v>
      </c>
      <c r="AQ127" s="1820">
        <f>AQ124-AQ125</f>
        <v>-23898178</v>
      </c>
    </row>
    <row r="128" spans="1:43" ht="18" customHeight="1">
      <c r="A128" s="509"/>
      <c r="D128" s="1598" t="s">
        <v>383</v>
      </c>
      <c r="E128" s="1364" t="s">
        <v>11</v>
      </c>
      <c r="G128" s="1364" t="s">
        <v>11</v>
      </c>
      <c r="H128" s="498">
        <f>H127</f>
        <v>45613459643</v>
      </c>
      <c r="I128" s="498">
        <f>I127</f>
        <v>-15001515</v>
      </c>
      <c r="J128" s="498">
        <f>J127</f>
        <v>234277127</v>
      </c>
      <c r="K128" s="498">
        <f>K127</f>
        <v>1242221533</v>
      </c>
      <c r="L128" s="510">
        <f>SUM(H128:K128)</f>
        <v>47074956788</v>
      </c>
      <c r="N128" s="1473">
        <f t="shared" ref="N128:U128" si="63">N127</f>
        <v>0</v>
      </c>
      <c r="O128" s="509">
        <f t="shared" si="63"/>
        <v>0</v>
      </c>
      <c r="P128" s="509">
        <f t="shared" si="63"/>
        <v>-1824873276</v>
      </c>
      <c r="Q128" s="509">
        <f t="shared" si="63"/>
        <v>-200232780</v>
      </c>
      <c r="R128" s="509">
        <f t="shared" si="63"/>
        <v>0</v>
      </c>
      <c r="S128" s="509">
        <f t="shared" si="63"/>
        <v>0</v>
      </c>
      <c r="T128" s="509">
        <f t="shared" si="63"/>
        <v>647140333</v>
      </c>
      <c r="U128" s="509">
        <f t="shared" si="63"/>
        <v>0</v>
      </c>
      <c r="V128" s="1475">
        <f>SUM(N128:U128)</f>
        <v>-1377965723</v>
      </c>
      <c r="X128" s="1622">
        <f>V128+L128</f>
        <v>45696991065</v>
      </c>
      <c r="Z128" s="1622">
        <f>Z127</f>
        <v>-31671342</v>
      </c>
      <c r="AA128" s="1622">
        <f t="shared" ref="AA128:AB128" si="64">AA127</f>
        <v>9071539568</v>
      </c>
      <c r="AB128" s="1622">
        <f t="shared" si="64"/>
        <v>-9103210910</v>
      </c>
      <c r="AD128" s="550">
        <v>45728662407</v>
      </c>
      <c r="AE128" s="550">
        <v>36657122839</v>
      </c>
      <c r="AF128" s="550">
        <v>36622047204</v>
      </c>
      <c r="AG128" s="550">
        <v>35898816575</v>
      </c>
      <c r="AH128" s="550">
        <v>12297364364</v>
      </c>
      <c r="AI128" s="550">
        <v>-16103093025</v>
      </c>
      <c r="AJ128" s="550">
        <v>-313754948</v>
      </c>
      <c r="AK128" s="550">
        <v>-1122736577</v>
      </c>
      <c r="AL128" s="550">
        <f>AL127</f>
        <v>-14901537446</v>
      </c>
      <c r="AM128" s="1622">
        <f>AM127</f>
        <v>2175396058</v>
      </c>
      <c r="AN128" s="509">
        <f>AN127</f>
        <v>-23067872601</v>
      </c>
      <c r="AO128" s="1622">
        <f>AO127</f>
        <v>-9044916322</v>
      </c>
      <c r="AP128" s="1622">
        <v>-4443577000</v>
      </c>
      <c r="AQ128" s="1819">
        <v>-23898178</v>
      </c>
    </row>
    <row r="129" spans="1:43" ht="18" customHeight="1" thickBot="1">
      <c r="A129" s="509"/>
      <c r="D129" s="1652" t="s">
        <v>384</v>
      </c>
      <c r="E129" s="1561" t="s">
        <v>210</v>
      </c>
      <c r="F129" s="1601"/>
      <c r="G129" s="1561" t="s">
        <v>210</v>
      </c>
      <c r="H129" s="513">
        <v>0</v>
      </c>
      <c r="I129" s="513">
        <v>0</v>
      </c>
      <c r="J129" s="513">
        <v>0</v>
      </c>
      <c r="K129" s="513">
        <v>0</v>
      </c>
      <c r="L129" s="514">
        <f>SUM(H129:K129)</f>
        <v>0</v>
      </c>
      <c r="N129" s="1502">
        <f t="shared" ref="N129:U129" si="65">N127-N128</f>
        <v>0</v>
      </c>
      <c r="O129" s="1503">
        <f t="shared" si="65"/>
        <v>0</v>
      </c>
      <c r="P129" s="1503">
        <f t="shared" si="65"/>
        <v>0</v>
      </c>
      <c r="Q129" s="1503">
        <f t="shared" si="65"/>
        <v>0</v>
      </c>
      <c r="R129" s="1503">
        <f t="shared" si="65"/>
        <v>0</v>
      </c>
      <c r="S129" s="1503">
        <f t="shared" si="65"/>
        <v>0</v>
      </c>
      <c r="T129" s="1503">
        <f t="shared" si="65"/>
        <v>0</v>
      </c>
      <c r="U129" s="1503">
        <f t="shared" si="65"/>
        <v>0</v>
      </c>
      <c r="V129" s="1504">
        <f>SUM(N129:U129)</f>
        <v>0</v>
      </c>
      <c r="X129" s="1653">
        <f>X127-X128</f>
        <v>0</v>
      </c>
      <c r="Z129" s="1653">
        <f>X129-AF129</f>
        <v>0</v>
      </c>
      <c r="AA129" s="1653">
        <v>0</v>
      </c>
      <c r="AB129" s="1653">
        <f t="shared" ref="AB129" si="66">Z129-AA129</f>
        <v>0</v>
      </c>
      <c r="AD129" s="1468">
        <v>0</v>
      </c>
      <c r="AE129" s="1468">
        <v>0</v>
      </c>
      <c r="AF129" s="1468">
        <v>0</v>
      </c>
      <c r="AG129" s="1468">
        <v>0</v>
      </c>
      <c r="AH129" s="1468">
        <v>0</v>
      </c>
      <c r="AI129" s="1468">
        <v>0</v>
      </c>
      <c r="AJ129" s="1468">
        <v>0</v>
      </c>
      <c r="AK129" s="1468">
        <v>0</v>
      </c>
      <c r="AL129" s="1468">
        <v>0</v>
      </c>
      <c r="AM129" s="1653"/>
      <c r="AN129" s="513">
        <v>0</v>
      </c>
      <c r="AO129" s="1653">
        <v>0</v>
      </c>
      <c r="AP129" s="1654">
        <v>0</v>
      </c>
      <c r="AQ129" s="1655">
        <v>0</v>
      </c>
    </row>
    <row r="130" spans="1:43" s="1367" customFormat="1" ht="18" customHeight="1">
      <c r="F130" s="1579"/>
      <c r="H130" s="840" t="b">
        <f>H127-T_BS!H249=0</f>
        <v>1</v>
      </c>
      <c r="I130" s="1367" t="b">
        <f>I127=T_BS!I249</f>
        <v>1</v>
      </c>
      <c r="J130" s="1367" t="b">
        <f>J127=T_BS!J249</f>
        <v>1</v>
      </c>
      <c r="K130" s="840" t="b">
        <f>K127=T_BS!K249</f>
        <v>1</v>
      </c>
      <c r="L130" s="840"/>
      <c r="N130" s="840">
        <f>N128-T_BS!N249</f>
        <v>0</v>
      </c>
      <c r="O130" s="840">
        <f>O128-T_BS!O249</f>
        <v>0</v>
      </c>
      <c r="P130" s="840">
        <f>P128-T_BS!P249</f>
        <v>0</v>
      </c>
      <c r="Q130" s="840">
        <f>Q128-T_BS!Q249</f>
        <v>0</v>
      </c>
      <c r="R130" s="840">
        <f>R128-T_BS!R249</f>
        <v>0</v>
      </c>
      <c r="S130" s="840">
        <f>S128-T_BS!S249</f>
        <v>0</v>
      </c>
      <c r="T130" s="840">
        <f>T128-T_BS!T249</f>
        <v>0</v>
      </c>
      <c r="U130" s="840">
        <f>U128-T_BS!U249</f>
        <v>0</v>
      </c>
      <c r="V130" s="840"/>
      <c r="X130" s="840"/>
      <c r="Z130" s="840" t="b">
        <f>T_BS!X249-T_BS!AC249=Z128</f>
        <v>0</v>
      </c>
      <c r="AA130" s="840"/>
      <c r="AB130" s="840"/>
      <c r="AD130" s="1376"/>
      <c r="AE130" s="1376"/>
      <c r="AF130" s="1376"/>
      <c r="AG130" s="1376"/>
      <c r="AH130" s="1376"/>
      <c r="AI130" s="1376"/>
      <c r="AJ130" s="1376"/>
      <c r="AK130" s="1376"/>
      <c r="AL130" s="1376"/>
      <c r="AM130" s="1376"/>
      <c r="AO130" s="540"/>
      <c r="AP130" s="966"/>
      <c r="AQ130" s="1376"/>
    </row>
    <row r="131" spans="1:43" ht="18" customHeight="1">
      <c r="L131" s="1656"/>
      <c r="N131" s="509"/>
      <c r="O131" s="509"/>
      <c r="R131" s="1657"/>
      <c r="T131" s="509"/>
      <c r="V131" s="509"/>
      <c r="X131" s="509"/>
      <c r="Z131" s="509"/>
      <c r="AA131" s="509"/>
      <c r="AB131" s="509"/>
      <c r="AO131" s="498"/>
      <c r="AP131" s="1376"/>
    </row>
    <row r="132" spans="1:43" ht="18" customHeight="1">
      <c r="H132" s="509"/>
      <c r="I132" s="509"/>
      <c r="L132" s="509"/>
      <c r="X132" s="509"/>
      <c r="Z132" s="509"/>
      <c r="AA132" s="509"/>
      <c r="AB132" s="509"/>
      <c r="AO132" s="498"/>
    </row>
    <row r="134" spans="1:43" ht="18" customHeight="1">
      <c r="H134" s="1658"/>
      <c r="I134" s="1658"/>
    </row>
    <row r="135" spans="1:43" ht="18" customHeight="1">
      <c r="H135" s="509"/>
      <c r="I135" s="509"/>
      <c r="L135" s="509"/>
    </row>
    <row r="136" spans="1:43" ht="18" customHeight="1">
      <c r="L136" s="509"/>
    </row>
  </sheetData>
  <autoFilter ref="D5:L130"/>
  <phoneticPr fontId="21" type="noConversion"/>
  <pageMargins left="0.7" right="0.7" top="0.75" bottom="0.75" header="0.3" footer="0.3"/>
  <pageSetup orientation="portrait" r:id="rId1"/>
  <ignoredErrors>
    <ignoredError sqref="M107:X107 I117 I121 I124:I125 I127 L133:X133 M130:N130 Q130:T130 M131:O131 Q131:S131 H4 H75:H76 H87 H107:I107 H117 H121 M117:X117 L109:S116 U108:X116 M121:X121 M118:S120 U118:X120 M124:X125 M122:S123 U122:X123 M127:X129 M126:S126 U126:X126 L126 L127:L129 L122:L123 L124:L125 L118:L120 L121 L117 L131 L130 K130:K131 J117 J121 J125 J127:J131 J124 V130:X130 H6 H36:H37 H26 I26:L26 I36:L37 M108:S108 L108 L107 K87:L87 K107 L27:L35 L38:L40 L88:L99 L101:L105 V100:X103 V26:X30 U131:X131 L132:S132 U132:X132 Z26:AB26 Z36:AB37 Z75:AB76 Z87:AB87 Z100:AB100 Z107:AB107 Z117:AB117 Z121:AB121 Z124:AB125 Z127:AB127 Z129:AB129 Z131:AB131 AA130:AB130" formula="1"/>
    <ignoredError sqref="D12:G51 D107:G118 D52:F52 D53:G74 D86:G100 D102:G105 D128:G130 D127:F127 D76:G84 D75:F75 D120:G126 D119:E119 G11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 tint="0.79998168889431442"/>
  </sheetPr>
  <dimension ref="D2:AF37"/>
  <sheetViews>
    <sheetView showGridLines="0" zoomScale="80" zoomScaleNormal="80" workbookViewId="0">
      <pane xSplit="7" ySplit="5" topLeftCell="J6" activePane="bottomRight" state="frozen"/>
      <selection activeCell="I248" sqref="I248"/>
      <selection pane="topRight" activeCell="I248" sqref="I248"/>
      <selection pane="bottomLeft" activeCell="I248" sqref="I248"/>
      <selection pane="bottomRight" activeCell="AB22" sqref="AB22"/>
    </sheetView>
  </sheetViews>
  <sheetFormatPr defaultColWidth="8.75" defaultRowHeight="18" customHeight="1"/>
  <cols>
    <col min="1" max="3" width="2.375" style="1364" customWidth="1"/>
    <col min="4" max="4" width="12.625" style="1364" customWidth="1"/>
    <col min="5" max="5" width="8.625" style="1364" customWidth="1"/>
    <col min="6" max="6" width="10.625" style="1364" customWidth="1"/>
    <col min="7" max="7" width="18.625" style="1507" customWidth="1"/>
    <col min="8" max="9" width="18.625" style="1364" hidden="1" customWidth="1"/>
    <col min="10" max="10" width="16.625" style="1364" hidden="1" customWidth="1"/>
    <col min="11" max="11" width="16.625" style="1364" customWidth="1"/>
    <col min="12" max="12" width="18.625" style="1364" hidden="1" customWidth="1"/>
    <col min="13" max="13" width="16.625" style="1364" customWidth="1"/>
    <col min="14" max="14" width="18.625" style="1364" hidden="1" customWidth="1"/>
    <col min="15" max="15" width="16.625" style="1364" customWidth="1"/>
    <col min="16" max="16" width="18.625" style="1364" hidden="1" customWidth="1"/>
    <col min="17" max="17" width="16.625" style="1364" customWidth="1"/>
    <col min="18" max="18" width="18.625" style="1364" hidden="1" customWidth="1"/>
    <col min="19" max="19" width="16.625" style="1364" customWidth="1"/>
    <col min="20" max="20" width="16.625" style="1364" hidden="1" customWidth="1"/>
    <col min="21" max="21" width="16.625" style="1364" customWidth="1"/>
    <col min="22" max="22" width="16.625" style="1364" hidden="1" customWidth="1"/>
    <col min="23" max="23" width="16.625" style="1364" customWidth="1"/>
    <col min="24" max="24" width="16.625" style="1364" hidden="1" customWidth="1"/>
    <col min="25" max="26" width="16.625" style="1364" customWidth="1"/>
    <col min="27" max="27" width="29.625" style="1364" customWidth="1"/>
    <col min="28" max="28" width="14.375" style="1364" bestFit="1" customWidth="1"/>
    <col min="29" max="29" width="15.5" style="1364" bestFit="1" customWidth="1"/>
    <col min="30" max="30" width="8.5" style="1367" customWidth="1"/>
    <col min="31" max="31" width="16.625" style="1364" customWidth="1"/>
    <col min="32" max="39" width="20.375" style="1364" customWidth="1"/>
    <col min="40" max="16384" width="8.75" style="1364"/>
  </cols>
  <sheetData>
    <row r="2" spans="4:29" ht="18" customHeight="1">
      <c r="H2" s="509"/>
      <c r="I2" s="509"/>
      <c r="J2" s="509"/>
      <c r="K2" s="509"/>
      <c r="Y2" s="509"/>
    </row>
    <row r="4" spans="4:29" ht="18" customHeight="1" thickBot="1">
      <c r="H4" s="1512"/>
      <c r="I4" s="1579" t="b">
        <f>'BS(공)'!N37=I6</f>
        <v>1</v>
      </c>
      <c r="J4" s="1579" t="b">
        <f>'BS(공)'!L37=J6</f>
        <v>1</v>
      </c>
      <c r="K4" s="1579" t="b">
        <f>K6=T_BS!AK228</f>
        <v>1</v>
      </c>
      <c r="L4" s="1580"/>
      <c r="M4" s="1579" t="b">
        <f>M6=T_BS!AJ228</f>
        <v>1</v>
      </c>
      <c r="N4" s="1580"/>
      <c r="O4" s="1579" t="b">
        <f>O6=T_BS!AI228</f>
        <v>1</v>
      </c>
      <c r="P4" s="1580"/>
      <c r="Q4" s="1579" t="b">
        <f>Q6=T_BS!AG228</f>
        <v>1</v>
      </c>
      <c r="R4" s="1580"/>
      <c r="S4" s="1579" t="b">
        <f>S6=T_BS!AF228</f>
        <v>1</v>
      </c>
      <c r="T4" s="1580"/>
      <c r="U4" s="1579" t="b">
        <f>U6=T_BS!AE228</f>
        <v>1</v>
      </c>
      <c r="V4" s="1580"/>
      <c r="W4" s="1579" t="b">
        <f>W6=T_BS!AB228</f>
        <v>1</v>
      </c>
      <c r="X4" s="1580"/>
      <c r="Y4" s="1579" t="b">
        <f>Y6=T_BS!X228</f>
        <v>1</v>
      </c>
      <c r="Z4" s="1580"/>
    </row>
    <row r="5" spans="4:29" ht="18" customHeight="1">
      <c r="D5" s="1517" t="s">
        <v>16</v>
      </c>
      <c r="E5" s="1518" t="s">
        <v>17</v>
      </c>
      <c r="F5" s="1518" t="s">
        <v>18</v>
      </c>
      <c r="G5" s="1518" t="s">
        <v>19</v>
      </c>
      <c r="H5" s="1518" t="s">
        <v>2595</v>
      </c>
      <c r="I5" s="1518" t="s">
        <v>2596</v>
      </c>
      <c r="J5" s="1518" t="s">
        <v>2597</v>
      </c>
      <c r="K5" s="1518" t="s">
        <v>2205</v>
      </c>
      <c r="L5" s="1518" t="s">
        <v>1630</v>
      </c>
      <c r="M5" s="1518" t="s">
        <v>2300</v>
      </c>
      <c r="N5" s="1518" t="s">
        <v>2301</v>
      </c>
      <c r="O5" s="1518" t="s">
        <v>2407</v>
      </c>
      <c r="P5" s="1518" t="s">
        <v>2301</v>
      </c>
      <c r="Q5" s="1518" t="s">
        <v>2363</v>
      </c>
      <c r="R5" s="1518" t="s">
        <v>2301</v>
      </c>
      <c r="S5" s="1518" t="s">
        <v>2576</v>
      </c>
      <c r="T5" s="1518" t="s">
        <v>1630</v>
      </c>
      <c r="U5" s="1518" t="s">
        <v>2814</v>
      </c>
      <c r="V5" s="1518" t="s">
        <v>1630</v>
      </c>
      <c r="W5" s="1518" t="s">
        <v>2896</v>
      </c>
      <c r="X5" s="1518" t="s">
        <v>1630</v>
      </c>
      <c r="Y5" s="1581" t="str">
        <f>T_IS!X5</f>
        <v>FY2022.10</v>
      </c>
      <c r="Z5" s="1518" t="s">
        <v>1630</v>
      </c>
      <c r="AA5" s="1518" t="s">
        <v>1456</v>
      </c>
      <c r="AB5" s="1518" t="s">
        <v>1457</v>
      </c>
      <c r="AC5" s="1582" t="s">
        <v>1634</v>
      </c>
    </row>
    <row r="6" spans="4:29" ht="18" customHeight="1">
      <c r="D6" s="1583"/>
      <c r="E6" s="1584"/>
      <c r="F6" s="1585"/>
      <c r="G6" s="1586" t="s">
        <v>14</v>
      </c>
      <c r="H6" s="500">
        <f t="shared" ref="H6:Z6" si="0">SUM(H7,H28)</f>
        <v>159858811329</v>
      </c>
      <c r="I6" s="500">
        <f t="shared" si="0"/>
        <v>117917039839</v>
      </c>
      <c r="J6" s="500">
        <f t="shared" si="0"/>
        <v>95801398968</v>
      </c>
      <c r="K6" s="500">
        <f t="shared" si="0"/>
        <v>97962288029</v>
      </c>
      <c r="L6" s="500">
        <f t="shared" si="0"/>
        <v>2160889061</v>
      </c>
      <c r="M6" s="500">
        <f t="shared" si="0"/>
        <v>81128321240</v>
      </c>
      <c r="N6" s="500">
        <f>SUM(N7,N28)</f>
        <v>-14673077728</v>
      </c>
      <c r="O6" s="500">
        <f>SUM(O7,O28)</f>
        <v>95168013581</v>
      </c>
      <c r="P6" s="500">
        <f>SUM(P7,P28)</f>
        <v>-633385387</v>
      </c>
      <c r="Q6" s="500">
        <f>SUM(Q7,Q28)</f>
        <v>79639214477</v>
      </c>
      <c r="R6" s="500">
        <f>SUM(R7,R28)</f>
        <v>-16162184491</v>
      </c>
      <c r="S6" s="500">
        <v>91716882595</v>
      </c>
      <c r="T6" s="500">
        <v>12077668118</v>
      </c>
      <c r="U6" s="500">
        <v>116259659086</v>
      </c>
      <c r="V6" s="500">
        <v>36620444609</v>
      </c>
      <c r="W6" s="500">
        <v>126285242180</v>
      </c>
      <c r="X6" s="500">
        <v>46646027703</v>
      </c>
      <c r="Y6" s="500">
        <f t="shared" si="0"/>
        <v>126082156761</v>
      </c>
      <c r="Z6" s="500">
        <f t="shared" si="0"/>
        <v>46442942284</v>
      </c>
      <c r="AA6" s="1587"/>
      <c r="AB6" s="500"/>
      <c r="AC6" s="501"/>
    </row>
    <row r="7" spans="4:29" ht="18" customHeight="1">
      <c r="D7" s="1588"/>
      <c r="E7" s="1589"/>
      <c r="F7" s="1590"/>
      <c r="G7" s="1591" t="s">
        <v>11</v>
      </c>
      <c r="H7" s="503">
        <f t="shared" ref="H7:Z7" si="1">SUM(H8,H10,H14,H24)</f>
        <v>159858811329</v>
      </c>
      <c r="I7" s="503">
        <f t="shared" si="1"/>
        <v>117917039839</v>
      </c>
      <c r="J7" s="503">
        <f t="shared" si="1"/>
        <v>95801398968</v>
      </c>
      <c r="K7" s="503">
        <f t="shared" si="1"/>
        <v>97962288029</v>
      </c>
      <c r="L7" s="503">
        <f t="shared" si="1"/>
        <v>2160889061</v>
      </c>
      <c r="M7" s="503">
        <f t="shared" si="1"/>
        <v>81128321240</v>
      </c>
      <c r="N7" s="503">
        <f>SUM(N8,N10,N14,N24)</f>
        <v>-14673077728</v>
      </c>
      <c r="O7" s="503">
        <f>SUM(O8,O10,O14,O24)</f>
        <v>95168013581</v>
      </c>
      <c r="P7" s="503">
        <f>SUM(P8,P10,P14,P24)</f>
        <v>-633385387</v>
      </c>
      <c r="Q7" s="503">
        <f>SUM(Q8,Q10,Q14,Q24)</f>
        <v>79639214477</v>
      </c>
      <c r="R7" s="503">
        <f>SUM(R8,R10,R14,R24)</f>
        <v>-16162184491</v>
      </c>
      <c r="S7" s="503">
        <v>91716882595</v>
      </c>
      <c r="T7" s="503">
        <v>12077668118</v>
      </c>
      <c r="U7" s="503">
        <v>116259659086</v>
      </c>
      <c r="V7" s="503">
        <v>36620444609</v>
      </c>
      <c r="W7" s="503">
        <v>126285242180</v>
      </c>
      <c r="X7" s="503">
        <v>46646027703</v>
      </c>
      <c r="Y7" s="503">
        <f t="shared" si="1"/>
        <v>126082156761</v>
      </c>
      <c r="Z7" s="503">
        <f t="shared" si="1"/>
        <v>46442942284</v>
      </c>
      <c r="AA7" s="1592"/>
      <c r="AB7" s="503"/>
      <c r="AC7" s="504"/>
    </row>
    <row r="8" spans="4:29" ht="18" customHeight="1">
      <c r="D8" s="1593"/>
      <c r="E8" s="1594"/>
      <c r="F8" s="1595"/>
      <c r="G8" s="1596" t="s">
        <v>10</v>
      </c>
      <c r="H8" s="506">
        <f t="shared" ref="H8:Z8" si="2">H9</f>
        <v>27779139500</v>
      </c>
      <c r="I8" s="506">
        <f t="shared" si="2"/>
        <v>28429923500</v>
      </c>
      <c r="J8" s="506">
        <f t="shared" si="2"/>
        <v>28429923500</v>
      </c>
      <c r="K8" s="506">
        <f t="shared" si="2"/>
        <v>28429923500</v>
      </c>
      <c r="L8" s="506">
        <f t="shared" si="2"/>
        <v>0</v>
      </c>
      <c r="M8" s="506">
        <f t="shared" si="2"/>
        <v>28429923500</v>
      </c>
      <c r="N8" s="506">
        <f t="shared" si="2"/>
        <v>0</v>
      </c>
      <c r="O8" s="506">
        <f t="shared" si="2"/>
        <v>28429923500</v>
      </c>
      <c r="P8" s="506">
        <f t="shared" si="2"/>
        <v>0</v>
      </c>
      <c r="Q8" s="506">
        <f t="shared" si="2"/>
        <v>28429923500</v>
      </c>
      <c r="R8" s="506">
        <f t="shared" si="2"/>
        <v>0</v>
      </c>
      <c r="S8" s="506">
        <v>28429923500</v>
      </c>
      <c r="T8" s="506">
        <v>0</v>
      </c>
      <c r="U8" s="506">
        <v>28429923500</v>
      </c>
      <c r="V8" s="506">
        <v>0</v>
      </c>
      <c r="W8" s="506">
        <v>28429923500</v>
      </c>
      <c r="X8" s="506">
        <v>0</v>
      </c>
      <c r="Y8" s="506">
        <f t="shared" si="2"/>
        <v>28429923500</v>
      </c>
      <c r="Z8" s="506">
        <f t="shared" si="2"/>
        <v>0</v>
      </c>
      <c r="AA8" s="1597"/>
      <c r="AB8" s="506"/>
      <c r="AC8" s="507"/>
    </row>
    <row r="9" spans="4:29" ht="18" customHeight="1">
      <c r="D9" s="1598">
        <v>310100</v>
      </c>
      <c r="F9" s="1366">
        <v>5101</v>
      </c>
      <c r="G9" s="1507" t="s">
        <v>190</v>
      </c>
      <c r="H9" s="509">
        <v>27779139500</v>
      </c>
      <c r="I9" s="498">
        <v>28429923500</v>
      </c>
      <c r="J9" s="498">
        <v>28429923500</v>
      </c>
      <c r="K9" s="509">
        <f>SUMIF(T_BS!$D:$D,T_CE!$D9,T_BS!$AK:$AK)</f>
        <v>28429923500</v>
      </c>
      <c r="L9" s="509">
        <f>K9-J9</f>
        <v>0</v>
      </c>
      <c r="M9" s="509">
        <f>SUMIF(T_BS!$D:$D,T_CE!$D9,T_BS!$AJ:$AJ)</f>
        <v>28429923500</v>
      </c>
      <c r="N9" s="509">
        <f>M9-J9</f>
        <v>0</v>
      </c>
      <c r="O9" s="509">
        <f>SUMIF(T_BS!$D:$D,T_CE!$D9,T_BS!$AI:$AI)</f>
        <v>28429923500</v>
      </c>
      <c r="P9" s="509">
        <f>O9-J9</f>
        <v>0</v>
      </c>
      <c r="Q9" s="509">
        <f>SUMIF(T_BS!$D:$D,T_CE!$D9,T_BS!$AG:$AG)</f>
        <v>28429923500</v>
      </c>
      <c r="R9" s="509">
        <f>Q9-J9</f>
        <v>0</v>
      </c>
      <c r="S9" s="509">
        <v>28429923500</v>
      </c>
      <c r="T9" s="509">
        <v>0</v>
      </c>
      <c r="U9" s="509">
        <v>28429923500</v>
      </c>
      <c r="V9" s="509">
        <v>0</v>
      </c>
      <c r="W9" s="509">
        <v>28429923500</v>
      </c>
      <c r="X9" s="509">
        <v>0</v>
      </c>
      <c r="Y9" s="509">
        <f>SUMIF(T_BS!$D:$D,T_CE!D9,T_BS!$X:$X)</f>
        <v>28429923500</v>
      </c>
      <c r="Z9" s="509">
        <f>Y9-Q9</f>
        <v>0</v>
      </c>
      <c r="AA9" s="563"/>
      <c r="AB9" s="509"/>
      <c r="AC9" s="510">
        <f>Z9-AB9</f>
        <v>0</v>
      </c>
    </row>
    <row r="10" spans="4:29" ht="18" customHeight="1">
      <c r="D10" s="1593"/>
      <c r="E10" s="1594"/>
      <c r="F10" s="1595"/>
      <c r="G10" s="1596" t="s">
        <v>12</v>
      </c>
      <c r="H10" s="506">
        <f t="shared" ref="H10:Z10" si="3">SUM(H11:H13)</f>
        <v>173855395328</v>
      </c>
      <c r="I10" s="506">
        <f t="shared" si="3"/>
        <v>178559577856</v>
      </c>
      <c r="J10" s="506">
        <f t="shared" si="3"/>
        <v>178559577856</v>
      </c>
      <c r="K10" s="506">
        <f t="shared" si="3"/>
        <v>178559577856</v>
      </c>
      <c r="L10" s="506">
        <f t="shared" si="3"/>
        <v>0</v>
      </c>
      <c r="M10" s="506">
        <f t="shared" si="3"/>
        <v>178605820232</v>
      </c>
      <c r="N10" s="506">
        <f>SUM(N11:N13)</f>
        <v>46242376</v>
      </c>
      <c r="O10" s="506">
        <f>SUM(O11:O13)</f>
        <v>178678131785</v>
      </c>
      <c r="P10" s="506">
        <f>SUM(P11:P13)</f>
        <v>118553929</v>
      </c>
      <c r="Q10" s="506">
        <f>SUM(Q11:Q13)</f>
        <v>178743993103</v>
      </c>
      <c r="R10" s="506">
        <f>SUM(R11:R13)</f>
        <v>184415247</v>
      </c>
      <c r="S10" s="506">
        <v>59989124475</v>
      </c>
      <c r="T10" s="506">
        <v>-118754868628</v>
      </c>
      <c r="U10" s="506">
        <v>60086299529</v>
      </c>
      <c r="V10" s="506">
        <v>-118657693574</v>
      </c>
      <c r="W10" s="506">
        <v>60141828383</v>
      </c>
      <c r="X10" s="506">
        <v>-118602164720</v>
      </c>
      <c r="Y10" s="506">
        <f t="shared" si="3"/>
        <v>60141828383</v>
      </c>
      <c r="Z10" s="506">
        <f t="shared" si="3"/>
        <v>-118602164720</v>
      </c>
      <c r="AA10" s="1597"/>
      <c r="AB10" s="506"/>
      <c r="AC10" s="507"/>
    </row>
    <row r="11" spans="4:29" ht="18" customHeight="1">
      <c r="D11" s="1598">
        <v>320100</v>
      </c>
      <c r="F11" s="1366">
        <v>5201</v>
      </c>
      <c r="G11" s="1507" t="s">
        <v>191</v>
      </c>
      <c r="H11" s="509">
        <v>172351901382</v>
      </c>
      <c r="I11" s="509">
        <v>177997002186</v>
      </c>
      <c r="J11" s="509">
        <v>177997002186</v>
      </c>
      <c r="K11" s="509">
        <f>SUMIF(T_BS!$D:$D,T_CE!$D11,T_BS!$AK:$AK)</f>
        <v>177997002186</v>
      </c>
      <c r="L11" s="509">
        <f>K11-J11</f>
        <v>0</v>
      </c>
      <c r="M11" s="509">
        <f>SUMIF(T_BS!$D:$D,T_CE!$D11,T_BS!$AJ:$AJ)</f>
        <v>177997002186</v>
      </c>
      <c r="N11" s="509">
        <f>M11-J11</f>
        <v>0</v>
      </c>
      <c r="O11" s="509">
        <f>SUMIF(T_BS!$D:$D,T_CE!$D11,T_BS!$AI:$AI)</f>
        <v>177997002186</v>
      </c>
      <c r="P11" s="509">
        <f>O11-J11</f>
        <v>0</v>
      </c>
      <c r="Q11" s="509">
        <f>SUMIF(T_BS!$D:$D,T_CE!$D11,T_BS!$AG:$AG)</f>
        <v>177997002186</v>
      </c>
      <c r="R11" s="509">
        <f>Q11-J11</f>
        <v>0</v>
      </c>
      <c r="S11" s="509">
        <v>59065212344</v>
      </c>
      <c r="T11" s="509">
        <v>-118931789842</v>
      </c>
      <c r="U11" s="509">
        <v>59065212344</v>
      </c>
      <c r="V11" s="509">
        <v>-118931789842</v>
      </c>
      <c r="W11" s="509">
        <v>59065212344</v>
      </c>
      <c r="X11" s="509">
        <v>-118931789842</v>
      </c>
      <c r="Y11" s="509">
        <f>SUMIF(T_BS!$D:$D,T_CE!D11,T_BS!$X:$X)</f>
        <v>59065212344</v>
      </c>
      <c r="Z11" s="509">
        <f t="shared" ref="Z11:Z23" si="4">Y11-Q11</f>
        <v>-118931789842</v>
      </c>
      <c r="AA11" s="563" t="s">
        <v>2769</v>
      </c>
      <c r="AB11" s="509"/>
      <c r="AC11" s="510">
        <f>Z11-AB11</f>
        <v>-118931789842</v>
      </c>
    </row>
    <row r="12" spans="4:29" ht="18" customHeight="1">
      <c r="D12" s="1598">
        <v>320500</v>
      </c>
      <c r="F12" s="1366">
        <v>5203</v>
      </c>
      <c r="G12" s="1507" t="s">
        <v>192</v>
      </c>
      <c r="H12" s="509">
        <v>940918276</v>
      </c>
      <c r="I12" s="509">
        <v>0</v>
      </c>
      <c r="J12" s="509">
        <v>0</v>
      </c>
      <c r="K12" s="509">
        <f>SUMIF(T_BS!$D:$D,T_CE!$D12,T_BS!$AK:$AK)</f>
        <v>0</v>
      </c>
      <c r="L12" s="509">
        <f>K12-J12</f>
        <v>0</v>
      </c>
      <c r="M12" s="509">
        <f>SUMIF(T_BS!$D:$D,T_CE!$D12,T_BS!$AJ:$AJ)</f>
        <v>0</v>
      </c>
      <c r="N12" s="509">
        <f t="shared" ref="N12:N21" si="5">M12-J12</f>
        <v>0</v>
      </c>
      <c r="O12" s="509">
        <f>SUMIF(T_BS!$D:$D,T_CE!$D12,T_BS!$AI:$AI)</f>
        <v>0</v>
      </c>
      <c r="P12" s="509">
        <f>O12-J12</f>
        <v>0</v>
      </c>
      <c r="Q12" s="509">
        <f>SUMIF(T_BS!$D:$D,T_CE!$D12,T_BS!$AG:$AG)</f>
        <v>0</v>
      </c>
      <c r="R12" s="509">
        <f>Q12-J12</f>
        <v>0</v>
      </c>
      <c r="S12" s="509">
        <v>0</v>
      </c>
      <c r="T12" s="509">
        <v>0</v>
      </c>
      <c r="U12" s="509">
        <v>0</v>
      </c>
      <c r="V12" s="509">
        <v>0</v>
      </c>
      <c r="W12" s="509">
        <v>0</v>
      </c>
      <c r="X12" s="509">
        <v>0</v>
      </c>
      <c r="Y12" s="509">
        <f>SUMIF(T_BS!$D:$D,T_CE!D12,T_BS!$X:$X)</f>
        <v>0</v>
      </c>
      <c r="Z12" s="509">
        <f t="shared" si="4"/>
        <v>0</v>
      </c>
      <c r="AA12" s="563"/>
      <c r="AB12" s="509"/>
      <c r="AC12" s="510">
        <f>Z12-AB12</f>
        <v>0</v>
      </c>
    </row>
    <row r="13" spans="4:29" ht="18" customHeight="1">
      <c r="D13" s="1598">
        <v>320300</v>
      </c>
      <c r="F13" s="1366">
        <v>5202</v>
      </c>
      <c r="G13" s="1507" t="s">
        <v>193</v>
      </c>
      <c r="H13" s="509">
        <v>562575670</v>
      </c>
      <c r="I13" s="509">
        <v>562575670</v>
      </c>
      <c r="J13" s="509">
        <v>562575670</v>
      </c>
      <c r="K13" s="509">
        <f>SUMIF(T_BS!$D:$D,T_CE!$D13,T_BS!$AK:$AK)</f>
        <v>562575670</v>
      </c>
      <c r="L13" s="509">
        <f>K13-J13</f>
        <v>0</v>
      </c>
      <c r="M13" s="509">
        <f>SUMIF(T_BS!$D:$D,T_CE!$D13,T_BS!$AJ:$AJ)</f>
        <v>608818046</v>
      </c>
      <c r="N13" s="509">
        <f t="shared" si="5"/>
        <v>46242376</v>
      </c>
      <c r="O13" s="509">
        <f>SUMIF(T_BS!$D:$D,T_CE!$D13,T_BS!$AI:$AI)</f>
        <v>681129599</v>
      </c>
      <c r="P13" s="509">
        <f>O13-J13</f>
        <v>118553929</v>
      </c>
      <c r="Q13" s="509">
        <f>SUMIF(T_BS!$D:$D,T_CE!$D13,T_BS!$AG:$AG)</f>
        <v>746990917</v>
      </c>
      <c r="R13" s="509">
        <f>Q13-J13</f>
        <v>184415247</v>
      </c>
      <c r="S13" s="509">
        <v>923912131</v>
      </c>
      <c r="T13" s="509">
        <v>176921214</v>
      </c>
      <c r="U13" s="509">
        <v>1021087185</v>
      </c>
      <c r="V13" s="509">
        <v>274096268</v>
      </c>
      <c r="W13" s="509">
        <v>1076616039</v>
      </c>
      <c r="X13" s="509">
        <v>329625122</v>
      </c>
      <c r="Y13" s="509">
        <f>SUMIF(T_BS!$D:$D,T_CE!D13,T_BS!$X:$X)</f>
        <v>1076616039</v>
      </c>
      <c r="Z13" s="509">
        <f t="shared" si="4"/>
        <v>329625122</v>
      </c>
      <c r="AA13" s="563" t="s">
        <v>2773</v>
      </c>
      <c r="AB13" s="509"/>
      <c r="AC13" s="510">
        <f>Z13-AB13</f>
        <v>329625122</v>
      </c>
    </row>
    <row r="14" spans="4:29" ht="18" customHeight="1">
      <c r="D14" s="1593"/>
      <c r="E14" s="1594"/>
      <c r="F14" s="1595"/>
      <c r="G14" s="1596" t="s">
        <v>194</v>
      </c>
      <c r="H14" s="506">
        <f t="shared" ref="H14:Z14" si="6">SUM(H15:H23)</f>
        <v>-2776797396</v>
      </c>
      <c r="I14" s="506">
        <f t="shared" si="6"/>
        <v>-1301501750</v>
      </c>
      <c r="J14" s="506">
        <f t="shared" si="6"/>
        <v>-310683954</v>
      </c>
      <c r="K14" s="506">
        <f t="shared" si="6"/>
        <v>-325190951</v>
      </c>
      <c r="L14" s="506">
        <f t="shared" si="6"/>
        <v>-14506997</v>
      </c>
      <c r="M14" s="506">
        <f t="shared" si="6"/>
        <v>-375677574</v>
      </c>
      <c r="N14" s="506">
        <f>SUM(N15:N23)</f>
        <v>-64993620</v>
      </c>
      <c r="O14" s="506">
        <f>SUM(O15:O23)</f>
        <v>-187097655</v>
      </c>
      <c r="P14" s="506">
        <f>SUM(P15:P23)</f>
        <v>123586299</v>
      </c>
      <c r="Q14" s="506">
        <f>SUM(Q15:Q23)</f>
        <v>-315281392</v>
      </c>
      <c r="R14" s="506">
        <f>SUM(R15:R23)</f>
        <v>-4597438</v>
      </c>
      <c r="S14" s="506">
        <v>-711898852</v>
      </c>
      <c r="T14" s="506">
        <v>-396617460</v>
      </c>
      <c r="U14" s="506">
        <v>-1080384069</v>
      </c>
      <c r="V14" s="506">
        <v>-765102677</v>
      </c>
      <c r="W14" s="506">
        <v>-940175661</v>
      </c>
      <c r="X14" s="506">
        <v>-624894269</v>
      </c>
      <c r="Y14" s="506">
        <f t="shared" si="6"/>
        <v>-1111589738</v>
      </c>
      <c r="Z14" s="506">
        <f t="shared" si="6"/>
        <v>-796308346</v>
      </c>
      <c r="AA14" s="1597"/>
      <c r="AB14" s="506"/>
      <c r="AC14" s="507"/>
    </row>
    <row r="15" spans="4:29" ht="18" customHeight="1">
      <c r="D15" s="1598">
        <v>350300</v>
      </c>
      <c r="F15" s="1366">
        <v>5304</v>
      </c>
      <c r="G15" s="1507" t="s">
        <v>195</v>
      </c>
      <c r="H15" s="509">
        <v>-4240000</v>
      </c>
      <c r="I15" s="509">
        <v>-4240000</v>
      </c>
      <c r="J15" s="509">
        <v>-4240000</v>
      </c>
      <c r="K15" s="509">
        <f>SUMIF(T_BS!$D:$D,T_CE!$D15,T_BS!$AK:$AK)</f>
        <v>-4240000</v>
      </c>
      <c r="L15" s="509">
        <f t="shared" ref="L15:L27" si="7">K15-J15</f>
        <v>0</v>
      </c>
      <c r="M15" s="509">
        <f>SUMIF(T_BS!$D:$D,T_CE!$D15,T_BS!$AJ:$AJ)</f>
        <v>-4240000</v>
      </c>
      <c r="N15" s="509">
        <f t="shared" si="5"/>
        <v>0</v>
      </c>
      <c r="O15" s="509">
        <f>SUMIF(T_BS!$D:$D,T_CE!$D15,T_BS!$AI:$AI)</f>
        <v>-4240000</v>
      </c>
      <c r="P15" s="509">
        <f t="shared" ref="P15:P23" si="8">O15-J15</f>
        <v>0</v>
      </c>
      <c r="Q15" s="509">
        <f>SUMIF(T_BS!$D:$D,T_CE!$D15,T_BS!$AG:$AG)</f>
        <v>-4240000</v>
      </c>
      <c r="R15" s="509">
        <f t="shared" ref="R15:R23" si="9">Q15-J15</f>
        <v>0</v>
      </c>
      <c r="S15" s="509">
        <v>-4240000</v>
      </c>
      <c r="T15" s="509">
        <v>0</v>
      </c>
      <c r="U15" s="509">
        <v>-4240000</v>
      </c>
      <c r="V15" s="509">
        <v>0</v>
      </c>
      <c r="W15" s="509">
        <v>0</v>
      </c>
      <c r="X15" s="509">
        <v>4240000</v>
      </c>
      <c r="Y15" s="509">
        <f>SUMIF(T_BS!$D:$D,T_CE!D15,T_BS!$X:$X)</f>
        <v>0</v>
      </c>
      <c r="Z15" s="509">
        <f t="shared" si="4"/>
        <v>4240000</v>
      </c>
      <c r="AA15" s="563"/>
      <c r="AB15" s="509"/>
      <c r="AC15" s="510"/>
    </row>
    <row r="16" spans="4:29" ht="18" customHeight="1">
      <c r="D16" s="1676">
        <v>350350</v>
      </c>
      <c r="E16" s="1089"/>
      <c r="F16" s="1677">
        <v>5301</v>
      </c>
      <c r="G16" s="1850" t="s">
        <v>196</v>
      </c>
      <c r="H16" s="509">
        <v>-1292039719</v>
      </c>
      <c r="I16" s="509">
        <v>-1292039719</v>
      </c>
      <c r="J16" s="509">
        <v>-1292039719</v>
      </c>
      <c r="K16" s="509">
        <f>SUMIF(T_BS!$D:$D,T_CE!$D16,T_BS!$AK:$AK)</f>
        <v>-1292039719</v>
      </c>
      <c r="L16" s="509">
        <f t="shared" si="7"/>
        <v>0</v>
      </c>
      <c r="M16" s="509">
        <f>SUMIF(T_BS!$D:$D,T_CE!$D16,T_BS!$AJ:$AJ)</f>
        <v>-1292039719</v>
      </c>
      <c r="N16" s="509">
        <f t="shared" si="5"/>
        <v>0</v>
      </c>
      <c r="O16" s="509">
        <f>SUMIF(T_BS!$D:$D,T_CE!$D16,T_BS!$AI:$AI)</f>
        <v>-1292039719</v>
      </c>
      <c r="P16" s="509">
        <f t="shared" si="8"/>
        <v>0</v>
      </c>
      <c r="Q16" s="509">
        <f>SUMIF(T_BS!$D:$D,T_CE!$D16,T_BS!$AG:$AG)</f>
        <v>-1292039719</v>
      </c>
      <c r="R16" s="509">
        <f t="shared" si="9"/>
        <v>0</v>
      </c>
      <c r="S16" s="509">
        <v>-1292039719</v>
      </c>
      <c r="T16" s="509">
        <v>0</v>
      </c>
      <c r="U16" s="509">
        <v>-1292039719</v>
      </c>
      <c r="V16" s="509">
        <v>0</v>
      </c>
      <c r="W16" s="509">
        <v>-1293810742</v>
      </c>
      <c r="X16" s="509">
        <v>-1771023</v>
      </c>
      <c r="Y16" s="509">
        <f>SUMIF(T_BS!$D:$D,T_CE!D16,T_BS!$X:$X)</f>
        <v>-1293810742</v>
      </c>
      <c r="Z16" s="509">
        <f t="shared" si="4"/>
        <v>-1771023</v>
      </c>
      <c r="AA16" s="563"/>
      <c r="AB16" s="509"/>
      <c r="AC16" s="510"/>
    </row>
    <row r="17" spans="4:32" ht="18" customHeight="1">
      <c r="D17" s="1676" t="s">
        <v>1347</v>
      </c>
      <c r="E17" s="1089"/>
      <c r="F17" s="1677" t="s">
        <v>611</v>
      </c>
      <c r="G17" s="1850" t="s">
        <v>225</v>
      </c>
      <c r="H17" s="509">
        <v>0</v>
      </c>
      <c r="I17" s="509">
        <v>0</v>
      </c>
      <c r="J17" s="509">
        <v>0</v>
      </c>
      <c r="K17" s="509">
        <f>SUMIF(T_BS!$D:$D,T_CE!$D17,T_BS!$AK:$AK)</f>
        <v>0</v>
      </c>
      <c r="L17" s="509">
        <f t="shared" si="7"/>
        <v>0</v>
      </c>
      <c r="M17" s="509">
        <f>SUMIF(T_BS!$D:$D,T_CE!$D17,T_BS!$AJ:$AJ)</f>
        <v>0</v>
      </c>
      <c r="N17" s="509">
        <f t="shared" si="5"/>
        <v>0</v>
      </c>
      <c r="O17" s="509">
        <f>SUMIF(T_BS!$D:$D,T_CE!$D17,T_BS!$AI:$AI)</f>
        <v>0</v>
      </c>
      <c r="P17" s="509">
        <f t="shared" si="8"/>
        <v>0</v>
      </c>
      <c r="Q17" s="509">
        <f>SUMIF(T_BS!$D:$D,T_CE!$D17,T_BS!$AG:$AG)</f>
        <v>0</v>
      </c>
      <c r="R17" s="509">
        <f t="shared" si="9"/>
        <v>0</v>
      </c>
      <c r="S17" s="509">
        <v>0</v>
      </c>
      <c r="T17" s="509">
        <v>0</v>
      </c>
      <c r="U17" s="509">
        <v>0</v>
      </c>
      <c r="V17" s="509">
        <v>0</v>
      </c>
      <c r="W17" s="509">
        <v>0</v>
      </c>
      <c r="X17" s="509">
        <v>0</v>
      </c>
      <c r="Y17" s="509">
        <f>SUMIF(T_BS!$D:$D,T_CE!D17,T_BS!$X:$X)</f>
        <v>0</v>
      </c>
      <c r="Z17" s="509">
        <f t="shared" si="4"/>
        <v>0</v>
      </c>
      <c r="AA17" s="563"/>
      <c r="AB17" s="509"/>
      <c r="AC17" s="510"/>
    </row>
    <row r="18" spans="4:32" ht="18" customHeight="1">
      <c r="D18" s="1676">
        <v>350400</v>
      </c>
      <c r="E18" s="1089"/>
      <c r="F18" s="1677">
        <v>4664</v>
      </c>
      <c r="G18" s="1850" t="s">
        <v>197</v>
      </c>
      <c r="H18" s="509">
        <v>0</v>
      </c>
      <c r="I18" s="509">
        <v>674683389</v>
      </c>
      <c r="J18" s="509">
        <v>1298943576</v>
      </c>
      <c r="K18" s="509">
        <f>SUMIF(T_BS!$D:$D,T_CE!$D18,T_BS!$AK:$AK)</f>
        <v>1430524615</v>
      </c>
      <c r="L18" s="509">
        <f t="shared" si="7"/>
        <v>131581039</v>
      </c>
      <c r="M18" s="509">
        <f>SUMIF(T_BS!$D:$D,T_CE!$D18,T_BS!$AJ:$AJ)</f>
        <v>1445992555</v>
      </c>
      <c r="N18" s="509">
        <f t="shared" si="5"/>
        <v>147048979</v>
      </c>
      <c r="O18" s="509">
        <f>SUMIF(T_BS!$D:$D,T_CE!$D18,T_BS!$AI:$AI)</f>
        <v>1448605611</v>
      </c>
      <c r="P18" s="509">
        <f t="shared" si="8"/>
        <v>149662035</v>
      </c>
      <c r="Q18" s="509">
        <f>SUMIF(T_BS!$D:$D,T_CE!$D18,T_BS!$AG:$AG)</f>
        <v>1444251253</v>
      </c>
      <c r="R18" s="509">
        <f t="shared" si="9"/>
        <v>145307677</v>
      </c>
      <c r="S18" s="509">
        <v>1225924657</v>
      </c>
      <c r="T18" s="509">
        <v>-218326596</v>
      </c>
      <c r="U18" s="509">
        <v>1114512718</v>
      </c>
      <c r="V18" s="509">
        <v>-329738535</v>
      </c>
      <c r="W18" s="509">
        <v>1058492431</v>
      </c>
      <c r="X18" s="509">
        <v>-385758822</v>
      </c>
      <c r="Y18" s="509">
        <f>SUMIF(T_BS!$D:$D,T_CE!D18,T_BS!$X:$X)</f>
        <v>1066837445</v>
      </c>
      <c r="Z18" s="509">
        <f t="shared" si="4"/>
        <v>-377413808</v>
      </c>
      <c r="AA18" s="563" t="s">
        <v>1631</v>
      </c>
      <c r="AB18" s="509">
        <f>T_IS!L40</f>
        <v>-47788686</v>
      </c>
      <c r="AC18" s="510">
        <f t="shared" ref="AC18:AC23" si="10">Z18-AB18</f>
        <v>-329625122</v>
      </c>
    </row>
    <row r="19" spans="4:32" ht="18" customHeight="1">
      <c r="D19" s="1676">
        <v>350210</v>
      </c>
      <c r="E19" s="1089"/>
      <c r="F19" s="1677">
        <v>5304</v>
      </c>
      <c r="G19" s="1850" t="s">
        <v>198</v>
      </c>
      <c r="H19" s="509">
        <v>-2731869088</v>
      </c>
      <c r="I19" s="509">
        <v>-2731869088</v>
      </c>
      <c r="J19" s="509">
        <v>-2731869088</v>
      </c>
      <c r="K19" s="509">
        <f>SUMIF(T_BS!$D:$D,T_CE!$D19,T_BS!$AK:$AK)</f>
        <v>-2731869088</v>
      </c>
      <c r="L19" s="509">
        <f t="shared" si="7"/>
        <v>0</v>
      </c>
      <c r="M19" s="509">
        <f>SUMIF(T_BS!$D:$D,T_CE!$D19,T_BS!$AJ:$AJ)</f>
        <v>-2731869088</v>
      </c>
      <c r="N19" s="509">
        <f t="shared" si="5"/>
        <v>0</v>
      </c>
      <c r="O19" s="509">
        <f>SUMIF(T_BS!$D:$D,T_CE!$D19,T_BS!$AI:$AI)</f>
        <v>-2731869088</v>
      </c>
      <c r="P19" s="509">
        <f t="shared" si="8"/>
        <v>0</v>
      </c>
      <c r="Q19" s="509">
        <f>SUMIF(T_BS!$D:$D,T_CE!$D19,T_BS!$AG:$AG)</f>
        <v>-2731869088</v>
      </c>
      <c r="R19" s="509">
        <f t="shared" si="9"/>
        <v>0</v>
      </c>
      <c r="S19" s="509">
        <v>-2731869088</v>
      </c>
      <c r="T19" s="509">
        <v>0</v>
      </c>
      <c r="U19" s="509">
        <v>-2731869088</v>
      </c>
      <c r="V19" s="509">
        <v>0</v>
      </c>
      <c r="W19" s="509">
        <v>-2731869088</v>
      </c>
      <c r="X19" s="509">
        <v>0</v>
      </c>
      <c r="Y19" s="509">
        <f>SUMIF(T_BS!$D:$D,T_CE!D19,T_BS!$X:$X)</f>
        <v>-2731869088</v>
      </c>
      <c r="Z19" s="509">
        <f t="shared" si="4"/>
        <v>0</v>
      </c>
      <c r="AA19" s="563"/>
      <c r="AB19" s="509"/>
      <c r="AC19" s="510">
        <f t="shared" si="10"/>
        <v>0</v>
      </c>
    </row>
    <row r="20" spans="4:32" ht="18" customHeight="1">
      <c r="D20" s="1681" t="s">
        <v>1350</v>
      </c>
      <c r="E20" s="1276"/>
      <c r="F20" s="1680">
        <v>5305</v>
      </c>
      <c r="G20" s="1539" t="s">
        <v>200</v>
      </c>
      <c r="H20" s="509">
        <v>0</v>
      </c>
      <c r="I20" s="509">
        <v>0</v>
      </c>
      <c r="J20" s="509">
        <v>0</v>
      </c>
      <c r="K20" s="509">
        <f>SUMIF(T_BS!$D:$D,T_CE!$D20,T_BS!$AK:$AK)</f>
        <v>0</v>
      </c>
      <c r="L20" s="509">
        <f t="shared" si="7"/>
        <v>0</v>
      </c>
      <c r="M20" s="509">
        <f>SUMIF(T_BS!$D:$D,T_CE!$D20,T_BS!$AJ:$AJ)</f>
        <v>0</v>
      </c>
      <c r="N20" s="509">
        <f t="shared" si="5"/>
        <v>0</v>
      </c>
      <c r="O20" s="509">
        <f>SUMIF(T_BS!$D:$D,T_CE!$D20,T_BS!$AI:$AI)</f>
        <v>0</v>
      </c>
      <c r="P20" s="509">
        <f t="shared" si="8"/>
        <v>0</v>
      </c>
      <c r="Q20" s="509">
        <f>SUMIF(T_BS!$D:$D,T_CE!$D20,T_BS!$AG:$AG)</f>
        <v>0</v>
      </c>
      <c r="R20" s="509">
        <f t="shared" si="9"/>
        <v>0</v>
      </c>
      <c r="S20" s="509">
        <v>0</v>
      </c>
      <c r="T20" s="509">
        <v>0</v>
      </c>
      <c r="U20" s="509">
        <v>2520421</v>
      </c>
      <c r="V20" s="509">
        <v>2520421</v>
      </c>
      <c r="W20" s="509">
        <v>7009247</v>
      </c>
      <c r="X20" s="509">
        <v>7009247</v>
      </c>
      <c r="Y20" s="509">
        <f>SUMIF(T_BS!$D:$D,T_CE!D20,T_BS!$X:$X)</f>
        <v>7009247</v>
      </c>
      <c r="Z20" s="509">
        <f t="shared" si="4"/>
        <v>7009247</v>
      </c>
      <c r="AA20" s="563" t="s">
        <v>2771</v>
      </c>
      <c r="AB20" s="509">
        <f>'IS(공)'!H26</f>
        <v>7009247</v>
      </c>
      <c r="AC20" s="510">
        <f t="shared" si="10"/>
        <v>0</v>
      </c>
    </row>
    <row r="21" spans="4:32" ht="18" customHeight="1">
      <c r="D21" s="1676" t="s">
        <v>1351</v>
      </c>
      <c r="E21" s="1089"/>
      <c r="F21" s="1677" t="s">
        <v>611</v>
      </c>
      <c r="G21" s="1850" t="s">
        <v>202</v>
      </c>
      <c r="H21" s="509">
        <v>0</v>
      </c>
      <c r="I21" s="509">
        <v>0</v>
      </c>
      <c r="J21" s="509">
        <v>0</v>
      </c>
      <c r="K21" s="509">
        <f>SUMIF(T_BS!$D:$D,T_CE!$D21,T_BS!$AK:$AK)</f>
        <v>0</v>
      </c>
      <c r="L21" s="509">
        <f t="shared" si="7"/>
        <v>0</v>
      </c>
      <c r="M21" s="509">
        <f>SUMIF(T_BS!$D:$D,T_CE!$D21,T_BS!$AJ:$AJ)</f>
        <v>0</v>
      </c>
      <c r="N21" s="509">
        <f t="shared" si="5"/>
        <v>0</v>
      </c>
      <c r="O21" s="509">
        <f>SUMIF(T_BS!$D:$D,T_CE!$D21,T_BS!$AI:$AI)</f>
        <v>0</v>
      </c>
      <c r="P21" s="509">
        <f t="shared" si="8"/>
        <v>0</v>
      </c>
      <c r="Q21" s="509">
        <f>SUMIF(T_BS!$D:$D,T_CE!$D21,T_BS!$AG:$AG)</f>
        <v>0</v>
      </c>
      <c r="R21" s="509">
        <f t="shared" si="9"/>
        <v>0</v>
      </c>
      <c r="S21" s="509">
        <v>0</v>
      </c>
      <c r="T21" s="509">
        <v>0</v>
      </c>
      <c r="U21" s="509">
        <v>0</v>
      </c>
      <c r="V21" s="509">
        <v>0</v>
      </c>
      <c r="W21" s="509">
        <v>0</v>
      </c>
      <c r="X21" s="509">
        <v>0</v>
      </c>
      <c r="Y21" s="509">
        <f>SUMIF(T_BS!$D:$D,T_CE!D21,T_BS!$X:$X)</f>
        <v>0</v>
      </c>
      <c r="Z21" s="509">
        <f t="shared" si="4"/>
        <v>0</v>
      </c>
      <c r="AA21" s="563"/>
      <c r="AB21" s="509"/>
      <c r="AC21" s="510">
        <f t="shared" si="10"/>
        <v>0</v>
      </c>
    </row>
    <row r="22" spans="4:32" ht="18" customHeight="1">
      <c r="D22" s="1676" t="s">
        <v>1352</v>
      </c>
      <c r="E22" s="1089"/>
      <c r="F22" s="1677">
        <v>5307</v>
      </c>
      <c r="G22" s="1850" t="s">
        <v>1348</v>
      </c>
      <c r="H22" s="509">
        <v>1251351411</v>
      </c>
      <c r="I22" s="509">
        <v>2051963668</v>
      </c>
      <c r="J22" s="509">
        <v>2418521277</v>
      </c>
      <c r="K22" s="509">
        <f>SUMIF(T_BS!$D:$D,T_CE!$D22,T_BS!$AK:$AK)</f>
        <v>2272433241</v>
      </c>
      <c r="L22" s="509">
        <f t="shared" si="7"/>
        <v>-146088036</v>
      </c>
      <c r="M22" s="509">
        <f>SUMIF(T_BS!$D:$D,T_CE!$D22,T_BS!$AJ:$AJ)</f>
        <v>2206478678</v>
      </c>
      <c r="N22" s="509">
        <f>M22-J22</f>
        <v>-212042599</v>
      </c>
      <c r="O22" s="509">
        <f>SUMIF(T_BS!$D:$D,T_CE!$D22,T_BS!$AI:$AI)</f>
        <v>2392445541</v>
      </c>
      <c r="P22" s="509">
        <f t="shared" si="8"/>
        <v>-26075736</v>
      </c>
      <c r="Q22" s="509">
        <f>SUMIF(T_BS!$D:$D,T_CE!$D22,T_BS!$AG:$AG)</f>
        <v>2268616162</v>
      </c>
      <c r="R22" s="509">
        <f t="shared" si="9"/>
        <v>-149905115</v>
      </c>
      <c r="S22" s="509">
        <v>2090325298</v>
      </c>
      <c r="T22" s="509">
        <v>-178290864</v>
      </c>
      <c r="U22" s="509">
        <v>1830731599</v>
      </c>
      <c r="V22" s="509">
        <v>-437884563</v>
      </c>
      <c r="W22" s="509">
        <v>2020002491</v>
      </c>
      <c r="X22" s="509">
        <v>-248613671</v>
      </c>
      <c r="Y22" s="509">
        <f>SUMIF(T_BS!$D:$D,T_CE!D22,T_BS!$X:$X)</f>
        <v>1840243400</v>
      </c>
      <c r="Z22" s="509">
        <f t="shared" si="4"/>
        <v>-428372762</v>
      </c>
      <c r="AA22" s="563" t="s">
        <v>1632</v>
      </c>
      <c r="AB22" s="509">
        <f>Z22</f>
        <v>-428372762</v>
      </c>
      <c r="AC22" s="510">
        <f t="shared" si="10"/>
        <v>0</v>
      </c>
    </row>
    <row r="23" spans="4:32" ht="18" customHeight="1">
      <c r="D23" s="1676" t="s">
        <v>1353</v>
      </c>
      <c r="E23" s="1089"/>
      <c r="F23" s="1851" t="s">
        <v>2772</v>
      </c>
      <c r="G23" s="1850" t="s">
        <v>1349</v>
      </c>
      <c r="H23" s="509">
        <v>0</v>
      </c>
      <c r="I23" s="509">
        <v>0</v>
      </c>
      <c r="J23" s="509">
        <v>0</v>
      </c>
      <c r="K23" s="509">
        <f>SUMIF(T_BS!$D:$D,T_CE!$D23,T_BS!$AK:$AK)</f>
        <v>0</v>
      </c>
      <c r="L23" s="509">
        <f t="shared" si="7"/>
        <v>0</v>
      </c>
      <c r="M23" s="509">
        <f>SUMIF(T_BS!$D:$D,T_CE!$D23,T_BS!$AJ:$AJ)</f>
        <v>0</v>
      </c>
      <c r="N23" s="509">
        <f>M23-J23</f>
        <v>0</v>
      </c>
      <c r="O23" s="509">
        <f>SUMIF(T_BS!$D:$D,T_CE!$D23,T_BS!$AI:$AI)</f>
        <v>0</v>
      </c>
      <c r="P23" s="509">
        <f t="shared" si="8"/>
        <v>0</v>
      </c>
      <c r="Q23" s="509">
        <f>SUMIF(T_BS!$D:$D,T_CE!$D23,T_BS!$AG:$AG)</f>
        <v>0</v>
      </c>
      <c r="R23" s="509">
        <f t="shared" si="9"/>
        <v>0</v>
      </c>
      <c r="S23" s="509">
        <v>0</v>
      </c>
      <c r="T23" s="509">
        <v>0</v>
      </c>
      <c r="U23" s="509">
        <v>0</v>
      </c>
      <c r="V23" s="509">
        <v>0</v>
      </c>
      <c r="W23" s="509">
        <v>0</v>
      </c>
      <c r="X23" s="509">
        <v>0</v>
      </c>
      <c r="Y23" s="509">
        <f>SUMIF(T_BS!$D:$D,T_CE!D23,T_BS!$X:$X)</f>
        <v>0</v>
      </c>
      <c r="Z23" s="509">
        <f t="shared" si="4"/>
        <v>0</v>
      </c>
      <c r="AA23" s="563"/>
      <c r="AB23" s="509"/>
      <c r="AC23" s="510">
        <f t="shared" si="10"/>
        <v>0</v>
      </c>
    </row>
    <row r="24" spans="4:32" ht="18" customHeight="1">
      <c r="D24" s="1593"/>
      <c r="E24" s="1594"/>
      <c r="F24" s="1595"/>
      <c r="G24" s="1596" t="s">
        <v>13</v>
      </c>
      <c r="H24" s="506">
        <f t="shared" ref="H24:Z24" si="11">SUM(H25:H27)</f>
        <v>-38998926103</v>
      </c>
      <c r="I24" s="506">
        <f t="shared" si="11"/>
        <v>-87770959767</v>
      </c>
      <c r="J24" s="506">
        <f t="shared" si="11"/>
        <v>-110877418434</v>
      </c>
      <c r="K24" s="506">
        <f t="shared" si="11"/>
        <v>-108702022376</v>
      </c>
      <c r="L24" s="506">
        <f t="shared" si="11"/>
        <v>2175396058</v>
      </c>
      <c r="M24" s="506">
        <f t="shared" si="11"/>
        <v>-125531744918</v>
      </c>
      <c r="N24" s="506">
        <f>SUM(N25:N27)</f>
        <v>-14654326484</v>
      </c>
      <c r="O24" s="506">
        <f>SUM(O25:O27)</f>
        <v>-111752944049</v>
      </c>
      <c r="P24" s="506">
        <f>SUM(P25:P27)</f>
        <v>-875525615</v>
      </c>
      <c r="Q24" s="506">
        <f>SUM(Q25:Q27)</f>
        <v>-127219420734</v>
      </c>
      <c r="R24" s="506">
        <f>SUM(R25:R27)</f>
        <v>-16342002300</v>
      </c>
      <c r="S24" s="506">
        <v>4009733472</v>
      </c>
      <c r="T24" s="506">
        <v>131229154206</v>
      </c>
      <c r="U24" s="506">
        <v>28823820126</v>
      </c>
      <c r="V24" s="506">
        <v>156043240860</v>
      </c>
      <c r="W24" s="506">
        <v>38653665958</v>
      </c>
      <c r="X24" s="506">
        <v>165873086692</v>
      </c>
      <c r="Y24" s="506">
        <f t="shared" si="11"/>
        <v>38621994616</v>
      </c>
      <c r="Z24" s="506">
        <f t="shared" si="11"/>
        <v>165841415350</v>
      </c>
      <c r="AA24" s="1597"/>
      <c r="AB24" s="506"/>
      <c r="AC24" s="507"/>
      <c r="AE24" s="1883" t="s">
        <v>2810</v>
      </c>
    </row>
    <row r="25" spans="4:32" ht="18" customHeight="1">
      <c r="D25" s="1639">
        <v>350951</v>
      </c>
      <c r="F25" s="1366">
        <v>5401</v>
      </c>
      <c r="G25" s="1507" t="s">
        <v>205</v>
      </c>
      <c r="H25" s="509">
        <v>525952518</v>
      </c>
      <c r="I25" s="509">
        <v>-240559000</v>
      </c>
      <c r="J25" s="509">
        <v>-279145066</v>
      </c>
      <c r="K25" s="509">
        <f>SUMIF(T_BS!$D:$D,T_CE!$D25,T_BS!$AK:$AK)</f>
        <v>-279145066</v>
      </c>
      <c r="L25" s="509">
        <f t="shared" si="7"/>
        <v>0</v>
      </c>
      <c r="M25" s="509">
        <f>SUMIF(T_BS!$D:$D,T_CE!$D25,T_BS!$AJ:$AJ)</f>
        <v>-31934104</v>
      </c>
      <c r="N25" s="509">
        <f>M25-J25</f>
        <v>247210962</v>
      </c>
      <c r="O25" s="509">
        <f>SUMIF(T_BS!$D:$D,T_CE!$D25,T_BS!$AI:$AI)</f>
        <v>-31934104</v>
      </c>
      <c r="P25" s="509">
        <f>O25-J25</f>
        <v>247210962</v>
      </c>
      <c r="Q25" s="509">
        <f>SUMIF(T_BS!$D:$D,T_CE!$D25,T_BS!$AG:$AG)</f>
        <v>-518054341</v>
      </c>
      <c r="R25" s="509">
        <f>Q25-J25</f>
        <v>-238909275</v>
      </c>
      <c r="S25" s="509">
        <v>622390102</v>
      </c>
      <c r="T25" s="509">
        <v>1140444443</v>
      </c>
      <c r="U25" s="509">
        <v>1835024545</v>
      </c>
      <c r="V25" s="509">
        <v>1212634443</v>
      </c>
      <c r="W25" s="509">
        <v>1835024545</v>
      </c>
      <c r="X25" s="509">
        <v>1212634443</v>
      </c>
      <c r="Y25" s="509">
        <f>SUMIF(T_BS!$D:$D,T_CE!D25,T_BS!$X:$X)</f>
        <v>1835024545</v>
      </c>
      <c r="Z25" s="509">
        <f>Y25-Q25+AF25</f>
        <v>1212634443</v>
      </c>
      <c r="AA25" s="563" t="s">
        <v>527</v>
      </c>
      <c r="AB25" s="509">
        <f>Z25</f>
        <v>1212634443</v>
      </c>
      <c r="AC25" s="510">
        <f>Z25-AB25</f>
        <v>0</v>
      </c>
      <c r="AE25" s="1884" t="s">
        <v>2774</v>
      </c>
      <c r="AF25" s="1892">
        <v>-1140444443</v>
      </c>
    </row>
    <row r="26" spans="4:32" ht="18" customHeight="1" thickBot="1">
      <c r="D26" s="1639" t="s">
        <v>1354</v>
      </c>
      <c r="F26" s="1366">
        <v>5402</v>
      </c>
      <c r="G26" s="1507" t="s">
        <v>207</v>
      </c>
      <c r="H26" s="509">
        <v>-39524878621</v>
      </c>
      <c r="I26" s="509">
        <v>-87530400767</v>
      </c>
      <c r="J26" s="509">
        <v>-87530400767</v>
      </c>
      <c r="K26" s="509">
        <f>SUMIF(T_BS!$D:$D,T_CE!$D26,T_BS!$AK:$AK)</f>
        <v>-110598273368</v>
      </c>
      <c r="L26" s="509">
        <f t="shared" si="7"/>
        <v>-23067872601</v>
      </c>
      <c r="M26" s="509">
        <f>SUMIF(T_BS!$D:$D,T_CE!$D26,T_BS!$AJ:$AJ)</f>
        <v>-110598273368</v>
      </c>
      <c r="N26" s="509">
        <f>M26-J26</f>
        <v>-23067872601</v>
      </c>
      <c r="O26" s="509">
        <f>SUMIF(T_BS!$D:$D,T_CE!$D26,T_BS!$AI:$AI)</f>
        <v>-110598273368</v>
      </c>
      <c r="P26" s="509">
        <f>O26-J26</f>
        <v>-23067872601</v>
      </c>
      <c r="Q26" s="509">
        <f>SUMIF(T_BS!$D:$D,T_CE!$D26,T_BS!$AG:$AG)</f>
        <v>-110598273368</v>
      </c>
      <c r="R26" s="509">
        <f>Q26-J26</f>
        <v>-23067872601</v>
      </c>
      <c r="S26" s="509">
        <v>-8910020994</v>
      </c>
      <c r="T26" s="509">
        <v>101688252374</v>
      </c>
      <c r="U26" s="509">
        <v>-8910020994</v>
      </c>
      <c r="V26" s="509">
        <v>118931789842</v>
      </c>
      <c r="W26" s="509">
        <v>-8910020994</v>
      </c>
      <c r="X26" s="509">
        <v>118931789842</v>
      </c>
      <c r="Y26" s="509">
        <f>SUMIF(T_BS!$D:$D,T_CE!D26,T_BS!$X:$X)</f>
        <v>-8910020994</v>
      </c>
      <c r="Z26" s="509">
        <f>Y26-Q27-Q26-AF25</f>
        <v>118931789842</v>
      </c>
      <c r="AA26" s="563" t="s">
        <v>2770</v>
      </c>
      <c r="AB26" s="509">
        <f>-AF27</f>
        <v>118931789842</v>
      </c>
      <c r="AC26" s="510">
        <f t="shared" ref="AC26:AC27" si="12">Z26-AB26</f>
        <v>0</v>
      </c>
      <c r="AE26" s="1885" t="s">
        <v>2775</v>
      </c>
      <c r="AF26" s="1893">
        <v>-117791345399</v>
      </c>
    </row>
    <row r="27" spans="4:32" ht="18" customHeight="1" thickTop="1">
      <c r="D27" s="1639" t="s">
        <v>1355</v>
      </c>
      <c r="F27" s="1366" t="s">
        <v>611</v>
      </c>
      <c r="G27" s="1507" t="s">
        <v>209</v>
      </c>
      <c r="H27" s="509">
        <v>0</v>
      </c>
      <c r="I27" s="509"/>
      <c r="J27" s="509">
        <v>-23067872601</v>
      </c>
      <c r="K27" s="509">
        <f>SUMIF(T_BS!$D:$D,T_CE!$D27,T_BS!$AK:$AK)</f>
        <v>2175396058</v>
      </c>
      <c r="L27" s="509">
        <f t="shared" si="7"/>
        <v>25243268659</v>
      </c>
      <c r="M27" s="509">
        <f>SUMIF(T_BS!$D:$D,T_CE!$D27,T_BS!$AJ:$AJ)</f>
        <v>-14901537446</v>
      </c>
      <c r="N27" s="509">
        <f>M27-J27</f>
        <v>8166335155</v>
      </c>
      <c r="O27" s="509">
        <f>SUMIF(T_BS!$D:$D,T_CE!$D27,T_BS!$AI:$AI)</f>
        <v>-1122736577</v>
      </c>
      <c r="P27" s="509">
        <f>O27-J27</f>
        <v>21945136024</v>
      </c>
      <c r="Q27" s="509">
        <f>SUMIF(T_BS!$D:$D,T_CE!$D27,T_BS!$AG:$AG)</f>
        <v>-16103093025</v>
      </c>
      <c r="R27" s="509">
        <f>Q27-J27</f>
        <v>6964779576</v>
      </c>
      <c r="S27" s="509">
        <v>12297364364</v>
      </c>
      <c r="T27" s="509">
        <v>28400457389</v>
      </c>
      <c r="U27" s="509">
        <v>35898816575</v>
      </c>
      <c r="V27" s="509">
        <v>35898816575</v>
      </c>
      <c r="W27" s="509">
        <v>45728662407</v>
      </c>
      <c r="X27" s="509">
        <v>45728662407</v>
      </c>
      <c r="Y27" s="509">
        <f>SUMIF(T_BS!$D:$D,T_CE!D27,T_BS!$X:$X)</f>
        <v>45696991065</v>
      </c>
      <c r="Z27" s="509">
        <f>Y27</f>
        <v>45696991065</v>
      </c>
      <c r="AA27" s="563" t="s">
        <v>1633</v>
      </c>
      <c r="AB27" s="509">
        <f>T_IS!X127</f>
        <v>45696991065</v>
      </c>
      <c r="AC27" s="510">
        <f t="shared" si="12"/>
        <v>0</v>
      </c>
      <c r="AD27" s="1367" t="b">
        <f>AC27+AC26=0</f>
        <v>1</v>
      </c>
      <c r="AE27" s="1886" t="s">
        <v>2776</v>
      </c>
      <c r="AF27" s="1894">
        <f>AF25+AF26</f>
        <v>-118931789842</v>
      </c>
    </row>
    <row r="28" spans="4:32" ht="18" customHeight="1">
      <c r="D28" s="1588"/>
      <c r="E28" s="1589"/>
      <c r="F28" s="1590"/>
      <c r="G28" s="1591" t="s">
        <v>210</v>
      </c>
      <c r="H28" s="503">
        <f>H29</f>
        <v>0</v>
      </c>
      <c r="I28" s="503"/>
      <c r="J28" s="503"/>
      <c r="K28" s="503"/>
      <c r="L28" s="503"/>
      <c r="M28" s="503"/>
      <c r="N28" s="503"/>
      <c r="O28" s="503"/>
      <c r="P28" s="503"/>
      <c r="Q28" s="503"/>
      <c r="R28" s="503"/>
      <c r="S28" s="503"/>
      <c r="T28" s="503"/>
      <c r="U28" s="503"/>
      <c r="V28" s="503"/>
      <c r="W28" s="503"/>
      <c r="X28" s="503"/>
      <c r="Y28" s="503"/>
      <c r="Z28" s="503"/>
      <c r="AA28" s="1592"/>
      <c r="AB28" s="503"/>
      <c r="AC28" s="504"/>
    </row>
    <row r="29" spans="4:32" ht="18" customHeight="1" thickBot="1">
      <c r="D29" s="1849" t="s">
        <v>492</v>
      </c>
      <c r="E29" s="1600"/>
      <c r="F29" s="1601"/>
      <c r="G29" s="1602" t="s">
        <v>210</v>
      </c>
      <c r="H29" s="513">
        <v>0</v>
      </c>
      <c r="I29" s="513"/>
      <c r="J29" s="513"/>
      <c r="K29" s="513"/>
      <c r="L29" s="513"/>
      <c r="M29" s="513"/>
      <c r="N29" s="513"/>
      <c r="O29" s="513"/>
      <c r="P29" s="513"/>
      <c r="Q29" s="513"/>
      <c r="R29" s="513"/>
      <c r="S29" s="513"/>
      <c r="T29" s="513"/>
      <c r="U29" s="513"/>
      <c r="V29" s="513"/>
      <c r="W29" s="513"/>
      <c r="X29" s="513"/>
      <c r="Y29" s="513"/>
      <c r="Z29" s="513"/>
      <c r="AA29" s="1603"/>
      <c r="AB29" s="513"/>
      <c r="AC29" s="514"/>
    </row>
    <row r="31" spans="4:32" ht="18" customHeight="1">
      <c r="G31" s="1513" t="s">
        <v>14</v>
      </c>
      <c r="K31" s="1367" t="b">
        <f>T_BS!AK228=K6</f>
        <v>1</v>
      </c>
      <c r="L31" s="1367" t="b">
        <f>L27+L26=T_IS!AM128</f>
        <v>1</v>
      </c>
      <c r="M31" s="1367" t="b">
        <f>T_BS!AJ228=M6</f>
        <v>1</v>
      </c>
      <c r="N31" s="1367" t="b">
        <f>N27+N26=T_IS!AL128</f>
        <v>1</v>
      </c>
      <c r="O31" s="1367" t="b">
        <f>T_BS!AI228=O6</f>
        <v>1</v>
      </c>
      <c r="P31" s="1364" t="b">
        <f>P27+P26=T_IS!AK128</f>
        <v>1</v>
      </c>
      <c r="Q31" s="1367" t="b">
        <f>T_BS!AG228=Q6</f>
        <v>1</v>
      </c>
      <c r="R31" s="1367" t="b">
        <f>R27+R26=T_IS!AI128</f>
        <v>1</v>
      </c>
      <c r="S31" s="1367" t="b">
        <f>T_BS!AF228=S6</f>
        <v>1</v>
      </c>
      <c r="T31" s="1367"/>
      <c r="U31" s="1367" t="b">
        <f>T_BS!AE228=U6</f>
        <v>1</v>
      </c>
      <c r="V31" s="1367"/>
      <c r="W31" s="1367" t="b">
        <f>T_BS!AB228=W6</f>
        <v>1</v>
      </c>
      <c r="X31" s="1367"/>
      <c r="Y31" s="1367" t="b">
        <f>T_BS!X228=Y6</f>
        <v>1</v>
      </c>
      <c r="Z31" s="840" t="b">
        <f>Z26+Z27-AB26=T_BS!X249</f>
        <v>1</v>
      </c>
      <c r="AA31" s="509"/>
      <c r="AB31" s="509"/>
    </row>
    <row r="32" spans="4:32" ht="18" customHeight="1">
      <c r="G32" s="1513" t="s">
        <v>11</v>
      </c>
      <c r="K32" s="1367" t="b">
        <f>T_BS!AK229=K7</f>
        <v>1</v>
      </c>
      <c r="L32" s="1367"/>
      <c r="M32" s="1367" t="b">
        <f>T_BS!AJ229=M7</f>
        <v>1</v>
      </c>
      <c r="N32" s="1367"/>
      <c r="O32" s="1367" t="b">
        <f>T_BS!AI229=O7</f>
        <v>1</v>
      </c>
      <c r="Q32" s="1367" t="b">
        <f>T_BS!AG229=Q7</f>
        <v>1</v>
      </c>
      <c r="R32" s="1367"/>
      <c r="S32" s="1367" t="b">
        <f>T_BS!AF229=S7</f>
        <v>1</v>
      </c>
      <c r="T32" s="1367"/>
      <c r="U32" s="1367" t="b">
        <f>T_BS!AE229=U7</f>
        <v>1</v>
      </c>
      <c r="V32" s="1367"/>
      <c r="W32" s="1367" t="b">
        <f>T_BS!AB229=W7</f>
        <v>1</v>
      </c>
      <c r="X32" s="1367"/>
      <c r="Y32" s="1367" t="b">
        <f>T_BS!X229=Y7</f>
        <v>1</v>
      </c>
      <c r="Z32" s="1604"/>
      <c r="AA32" s="509"/>
      <c r="AB32" s="509"/>
    </row>
    <row r="33" spans="7:26" ht="18" customHeight="1">
      <c r="G33" s="1513" t="s">
        <v>10</v>
      </c>
      <c r="K33" s="1367" t="b">
        <f>T_BS!AK230=K8</f>
        <v>1</v>
      </c>
      <c r="L33" s="1367"/>
      <c r="M33" s="1367" t="b">
        <f>T_BS!AJ230=M8</f>
        <v>1</v>
      </c>
      <c r="N33" s="1367"/>
      <c r="O33" s="1367" t="b">
        <f>T_BS!AI230=O8</f>
        <v>1</v>
      </c>
      <c r="Q33" s="1367" t="b">
        <f>T_BS!AG230=Q8</f>
        <v>1</v>
      </c>
      <c r="R33" s="1367"/>
      <c r="S33" s="1367" t="b">
        <f>T_BS!AF230=S8</f>
        <v>1</v>
      </c>
      <c r="T33" s="1367"/>
      <c r="U33" s="1367" t="b">
        <f>T_BS!AE230=U8</f>
        <v>1</v>
      </c>
      <c r="V33" s="1367"/>
      <c r="W33" s="1367" t="b">
        <f>T_BS!AB230=W8</f>
        <v>1</v>
      </c>
      <c r="X33" s="1367"/>
      <c r="Y33" s="1367" t="b">
        <f>T_BS!X230=Y8</f>
        <v>1</v>
      </c>
      <c r="Z33" s="1604"/>
    </row>
    <row r="34" spans="7:26" ht="18" customHeight="1">
      <c r="G34" s="1513" t="s">
        <v>12</v>
      </c>
      <c r="K34" s="1367" t="b">
        <f>T_BS!AK232=K10</f>
        <v>1</v>
      </c>
      <c r="L34" s="1367"/>
      <c r="M34" s="1367" t="b">
        <f>T_BS!AJ232=M10</f>
        <v>1</v>
      </c>
      <c r="N34" s="1367"/>
      <c r="O34" s="1367" t="b">
        <f>T_BS!AI232=O10</f>
        <v>1</v>
      </c>
      <c r="Q34" s="1367" t="b">
        <f>T_BS!AG232=Q10</f>
        <v>1</v>
      </c>
      <c r="R34" s="1367"/>
      <c r="S34" s="1367" t="b">
        <f>T_BS!AF232=S10</f>
        <v>1</v>
      </c>
      <c r="T34" s="1367"/>
      <c r="U34" s="1367" t="b">
        <f>T_BS!AE232=U10</f>
        <v>1</v>
      </c>
      <c r="V34" s="1367"/>
      <c r="W34" s="1367" t="b">
        <f>T_BS!AB232=W10</f>
        <v>1</v>
      </c>
      <c r="X34" s="1367"/>
      <c r="Y34" s="1367" t="b">
        <f>T_BS!X232=Y10</f>
        <v>1</v>
      </c>
      <c r="Z34" s="1367"/>
    </row>
    <row r="35" spans="7:26" ht="18" customHeight="1">
      <c r="G35" s="1513" t="s">
        <v>194</v>
      </c>
      <c r="K35" s="1367" t="b">
        <f>T_BS!AK236=K14</f>
        <v>1</v>
      </c>
      <c r="L35" s="1367"/>
      <c r="M35" s="1367" t="b">
        <f>T_BS!AJ236=M14</f>
        <v>1</v>
      </c>
      <c r="N35" s="1367"/>
      <c r="O35" s="1367" t="b">
        <f>T_BS!AI236=O14</f>
        <v>1</v>
      </c>
      <c r="Q35" s="1367" t="b">
        <f>T_BS!AG236=Q14</f>
        <v>1</v>
      </c>
      <c r="R35" s="1367"/>
      <c r="S35" s="1367" t="b">
        <f>T_BS!AF236=S14</f>
        <v>1</v>
      </c>
      <c r="T35" s="1367"/>
      <c r="U35" s="1367" t="b">
        <f>T_BS!AE236=U14</f>
        <v>1</v>
      </c>
      <c r="V35" s="1367"/>
      <c r="W35" s="1367" t="b">
        <f>T_BS!AB236=W14</f>
        <v>1</v>
      </c>
      <c r="X35" s="1367"/>
      <c r="Y35" s="1367" t="b">
        <f>T_BS!X236=Y14</f>
        <v>1</v>
      </c>
      <c r="Z35" s="1367"/>
    </row>
    <row r="36" spans="7:26" ht="18" customHeight="1">
      <c r="G36" s="1513" t="s">
        <v>13</v>
      </c>
      <c r="K36" s="1367" t="b">
        <f>T_BS!AK246=K24</f>
        <v>1</v>
      </c>
      <c r="L36" s="1367"/>
      <c r="M36" s="1367" t="b">
        <f>T_BS!AJ246=M24</f>
        <v>1</v>
      </c>
      <c r="N36" s="1367"/>
      <c r="O36" s="1367" t="b">
        <f>T_BS!AI246=O24</f>
        <v>1</v>
      </c>
      <c r="Q36" s="1367" t="b">
        <f>T_BS!AG246=Q24</f>
        <v>1</v>
      </c>
      <c r="R36" s="1367"/>
      <c r="S36" s="1367" t="b">
        <f>T_BS!AF246=S24</f>
        <v>1</v>
      </c>
      <c r="T36" s="1367"/>
      <c r="U36" s="1367" t="b">
        <f>T_BS!AE246=U24</f>
        <v>1</v>
      </c>
      <c r="V36" s="1367"/>
      <c r="W36" s="1367" t="b">
        <f>T_BS!AB246=W24</f>
        <v>1</v>
      </c>
      <c r="X36" s="1367"/>
      <c r="Y36" s="1367" t="b">
        <f>T_BS!X246=Y24</f>
        <v>1</v>
      </c>
      <c r="Z36" s="1367"/>
    </row>
    <row r="37" spans="7:26" ht="18" customHeight="1">
      <c r="G37" s="1513" t="s">
        <v>210</v>
      </c>
      <c r="K37" s="1367" t="b">
        <f>T_BS!AK250=K28</f>
        <v>1</v>
      </c>
      <c r="L37" s="1367"/>
      <c r="M37" s="1367" t="b">
        <f>T_BS!AJ250=M28</f>
        <v>1</v>
      </c>
      <c r="N37" s="1367"/>
      <c r="O37" s="1367" t="b">
        <f>T_BS!AI250=O28</f>
        <v>1</v>
      </c>
      <c r="Q37" s="1367" t="b">
        <f>T_BS!AG250=Q28</f>
        <v>1</v>
      </c>
      <c r="R37" s="1367"/>
      <c r="S37" s="1367" t="b">
        <f>T_BS!AF250=S28</f>
        <v>1</v>
      </c>
      <c r="T37" s="1367"/>
      <c r="U37" s="1367" t="b">
        <f>T_BS!AE250=U28</f>
        <v>1</v>
      </c>
      <c r="V37" s="1367"/>
      <c r="W37" s="1367" t="b">
        <f>T_BS!AB250=W28</f>
        <v>1</v>
      </c>
      <c r="X37" s="1367"/>
      <c r="Y37" s="1367" t="b">
        <f>T_BS!X250=Y28</f>
        <v>1</v>
      </c>
      <c r="Z37" s="1367"/>
    </row>
  </sheetData>
  <phoneticPr fontId="21" type="noConversion"/>
  <pageMargins left="0.7" right="0.7" top="0.75" bottom="0.75" header="0.3" footer="0.3"/>
  <pageSetup paperSize="9" orientation="portrait" r:id="rId1"/>
  <ignoredErrors>
    <ignoredError sqref="L10 L24 Z10:AB10 Z24:AB24 Z14:AB14 N11:N13 N15:N21 Y9:Y25 Y31:Y37 AA12:AB12 AA15:AB19 AA28:AB29 AB25 Y27 AA27 Y30:Z30 N24:R24 N14:R14 N10:R10 N30:R30 AA21:AB23 AB11 AB13" formula="1"/>
    <ignoredError sqref="D17:F19 D31:F32 D21:F22 D20:E20 D24:F30 D23:E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0.79998168889431442"/>
  </sheetPr>
  <dimension ref="C1:AD381"/>
  <sheetViews>
    <sheetView showGridLines="0" zoomScale="80" zoomScaleNormal="80" workbookViewId="0">
      <pane xSplit="7" ySplit="6" topLeftCell="H143" activePane="bottomRight" state="frozen"/>
      <selection activeCell="I248" sqref="I248"/>
      <selection pane="topRight" activeCell="I248" sqref="I248"/>
      <selection pane="bottomLeft" activeCell="I248" sqref="I248"/>
      <selection pane="bottomRight" activeCell="G170" sqref="G170"/>
    </sheetView>
  </sheetViews>
  <sheetFormatPr defaultColWidth="8.75" defaultRowHeight="18" customHeight="1" outlineLevelCol="1"/>
  <cols>
    <col min="1" max="3" width="2.375" style="1364" customWidth="1"/>
    <col min="4" max="5" width="19.875" style="1364" customWidth="1"/>
    <col min="6" max="6" width="31.875" style="1507" bestFit="1" customWidth="1"/>
    <col min="7" max="7" width="47.875" style="1364" customWidth="1"/>
    <col min="8" max="9" width="19.25" style="1361" customWidth="1" outlineLevel="1"/>
    <col min="10" max="11" width="19.375" style="1361" customWidth="1" outlineLevel="1"/>
    <col min="12" max="12" width="19.375" style="1361" customWidth="1"/>
    <col min="13" max="13" width="3.125" style="1364" customWidth="1"/>
    <col min="14" max="19" width="19.375" style="1361" hidden="1" customWidth="1" outlineLevel="1"/>
    <col min="20" max="20" width="2.25" style="1364" customWidth="1" collapsed="1"/>
    <col min="21" max="21" width="22.5" style="1361" bestFit="1" customWidth="1"/>
    <col min="22" max="22" width="5.625" style="1364" customWidth="1"/>
    <col min="23" max="23" width="13.75" style="1364" customWidth="1"/>
    <col min="24" max="24" width="12.375" style="1364" bestFit="1" customWidth="1"/>
    <col min="25" max="25" width="13.375" style="1364" bestFit="1" customWidth="1"/>
    <col min="26" max="26" width="10.875" style="1364" bestFit="1" customWidth="1"/>
    <col min="27" max="16384" width="8.75" style="1364"/>
  </cols>
  <sheetData>
    <row r="1" spans="3:26" s="1366" customFormat="1" ht="18" customHeight="1">
      <c r="H1" s="562" t="s">
        <v>2883</v>
      </c>
      <c r="I1" s="562" t="s">
        <v>2883</v>
      </c>
      <c r="J1" s="562" t="s">
        <v>2883</v>
      </c>
      <c r="K1" s="562" t="s">
        <v>2883</v>
      </c>
      <c r="L1" s="562"/>
      <c r="N1" s="562"/>
      <c r="O1" s="562"/>
      <c r="P1" s="562"/>
      <c r="Q1" s="562"/>
      <c r="R1" s="562"/>
      <c r="S1" s="562"/>
      <c r="U1" s="562"/>
    </row>
    <row r="2" spans="3:26" s="1367" customFormat="1" ht="18" customHeight="1">
      <c r="F2" s="1508"/>
      <c r="H2" s="1509"/>
      <c r="I2" s="1509"/>
      <c r="J2" s="1510"/>
      <c r="K2" s="1509"/>
      <c r="L2" s="1509"/>
      <c r="N2" s="1509"/>
      <c r="O2" s="1509"/>
      <c r="P2" s="1509"/>
      <c r="Q2" s="1509"/>
      <c r="R2" s="1509"/>
      <c r="S2" s="1509"/>
      <c r="U2" s="1509"/>
    </row>
    <row r="3" spans="3:26" ht="18" customHeight="1">
      <c r="D3" s="1511"/>
      <c r="J3" s="926"/>
      <c r="O3" s="1361">
        <f>O4-O9</f>
        <v>0</v>
      </c>
      <c r="P3" s="1361">
        <f>P4-P9</f>
        <v>-281015741</v>
      </c>
      <c r="R3" s="1361">
        <f>R4-R9</f>
        <v>0</v>
      </c>
      <c r="S3" s="1361">
        <f>S4-S9</f>
        <v>-281015741</v>
      </c>
    </row>
    <row r="4" spans="3:26" s="1512" customFormat="1" ht="18" customHeight="1">
      <c r="F4" s="1513"/>
      <c r="H4" s="935">
        <f>H9-T_IS!H127</f>
        <v>-166087210</v>
      </c>
      <c r="I4" s="935">
        <f>I9-T_IS!I127</f>
        <v>83413219</v>
      </c>
      <c r="J4" s="935">
        <f>J9-T_IS!J127</f>
        <v>-6256201</v>
      </c>
      <c r="K4" s="935">
        <f>K9-T_IS!K127</f>
        <v>139960158</v>
      </c>
      <c r="L4" s="935"/>
      <c r="N4" s="935"/>
      <c r="O4" s="936">
        <f>T_IS!Q124</f>
        <v>-200232780</v>
      </c>
      <c r="P4" s="936">
        <f>T_IS!P124</f>
        <v>-1824873276</v>
      </c>
      <c r="Q4" s="936"/>
      <c r="R4" s="936">
        <f>T_IS!T127</f>
        <v>647140333</v>
      </c>
      <c r="S4" s="936">
        <f>T_IS!V124</f>
        <v>-1377965723</v>
      </c>
      <c r="U4" s="935"/>
    </row>
    <row r="5" spans="3:26" ht="18" customHeight="1" thickBot="1">
      <c r="H5" s="926">
        <f>H355-H352-H349</f>
        <v>0</v>
      </c>
      <c r="I5" s="1361">
        <f>I355-I352-I349</f>
        <v>0</v>
      </c>
      <c r="J5" s="926">
        <f>J355-J352-J349</f>
        <v>0</v>
      </c>
      <c r="K5" s="1361">
        <f t="shared" ref="K5:S5" si="0">K355-K352-K349</f>
        <v>0</v>
      </c>
      <c r="L5" s="1361">
        <f>L355-L352-L349</f>
        <v>0</v>
      </c>
      <c r="N5" s="1361">
        <f>N355-N352-N349</f>
        <v>10393274001</v>
      </c>
      <c r="O5" s="1361">
        <f t="shared" si="0"/>
        <v>0</v>
      </c>
      <c r="P5" s="1514">
        <f t="shared" si="0"/>
        <v>-281015741</v>
      </c>
      <c r="Q5" s="1361">
        <f t="shared" si="0"/>
        <v>0</v>
      </c>
      <c r="R5" s="1361">
        <f t="shared" si="0"/>
        <v>0</v>
      </c>
      <c r="S5" s="1361">
        <f t="shared" si="0"/>
        <v>10112258260</v>
      </c>
      <c r="U5" s="1515">
        <f>U355-U352-U349</f>
        <v>10112258260</v>
      </c>
    </row>
    <row r="6" spans="3:26" s="1516" customFormat="1" ht="38.1" customHeight="1">
      <c r="D6" s="1517" t="s">
        <v>1361</v>
      </c>
      <c r="E6" s="1518" t="s">
        <v>1362</v>
      </c>
      <c r="F6" s="1518" t="s">
        <v>17</v>
      </c>
      <c r="G6" s="1518" t="s">
        <v>691</v>
      </c>
      <c r="H6" s="516" t="s">
        <v>15</v>
      </c>
      <c r="I6" s="516" t="s">
        <v>2189</v>
      </c>
      <c r="J6" s="516" t="s">
        <v>217</v>
      </c>
      <c r="K6" s="516" t="s">
        <v>215</v>
      </c>
      <c r="L6" s="1519" t="s">
        <v>227</v>
      </c>
      <c r="M6" s="1520"/>
      <c r="N6" s="1521" t="s">
        <v>1447</v>
      </c>
      <c r="O6" s="1522" t="s">
        <v>1448</v>
      </c>
      <c r="P6" s="1522" t="s">
        <v>1449</v>
      </c>
      <c r="Q6" s="1522" t="s">
        <v>1450</v>
      </c>
      <c r="R6" s="1522" t="s">
        <v>1451</v>
      </c>
      <c r="S6" s="1523" t="s">
        <v>1462</v>
      </c>
      <c r="U6" s="1524" t="s">
        <v>1463</v>
      </c>
    </row>
    <row r="7" spans="3:26" ht="18" customHeight="1">
      <c r="C7" s="1364">
        <v>1</v>
      </c>
      <c r="D7" s="1525" t="s">
        <v>692</v>
      </c>
      <c r="E7" s="1526" t="s">
        <v>692</v>
      </c>
      <c r="F7" s="1527"/>
      <c r="G7" s="1526" t="s">
        <v>693</v>
      </c>
      <c r="H7" s="1831">
        <f>SUM(H8,H10,H75,H127,H177)</f>
        <v>10227486497</v>
      </c>
      <c r="I7" s="1831">
        <f>SUM(I8,I10,I75,I127,I177)</f>
        <v>415982576</v>
      </c>
      <c r="J7" s="1831">
        <f>SUM(J8,J10,J75,J127,J177)</f>
        <v>210069630</v>
      </c>
      <c r="K7" s="1831">
        <f>SUM(K8,K10,K75,K127,K177)</f>
        <v>41575283</v>
      </c>
      <c r="L7" s="1529">
        <f>SUM(L8,L10,L75,L127,L177)</f>
        <v>10895113986</v>
      </c>
      <c r="N7" s="1530">
        <f t="shared" ref="N7:S7" si="1">SUM(N8,N10,N75,N127,N177)</f>
        <v>0</v>
      </c>
      <c r="O7" s="1528">
        <f t="shared" si="1"/>
        <v>0</v>
      </c>
      <c r="P7" s="1528">
        <f t="shared" si="1"/>
        <v>281015741</v>
      </c>
      <c r="Q7" s="1528">
        <f t="shared" si="1"/>
        <v>0</v>
      </c>
      <c r="R7" s="1528">
        <f t="shared" si="1"/>
        <v>216671</v>
      </c>
      <c r="S7" s="1529">
        <f t="shared" si="1"/>
        <v>281232412</v>
      </c>
      <c r="U7" s="1531">
        <f>SUM(U8,U10,U75,U127,U177)</f>
        <v>11176346398</v>
      </c>
    </row>
    <row r="8" spans="3:26" ht="18" customHeight="1">
      <c r="C8" s="1364">
        <v>1</v>
      </c>
      <c r="D8" s="1525" t="s">
        <v>694</v>
      </c>
      <c r="E8" s="1526" t="s">
        <v>694</v>
      </c>
      <c r="F8" s="1527"/>
      <c r="G8" s="1526" t="s">
        <v>209</v>
      </c>
      <c r="H8" s="1831">
        <f>H9</f>
        <v>45447372433</v>
      </c>
      <c r="I8" s="1831">
        <f>I9</f>
        <v>68411704</v>
      </c>
      <c r="J8" s="1831">
        <f>J9</f>
        <v>228020926</v>
      </c>
      <c r="K8" s="1831">
        <f>K9</f>
        <v>1382181691</v>
      </c>
      <c r="L8" s="1529">
        <f>L9</f>
        <v>47125986754</v>
      </c>
      <c r="N8" s="1530">
        <f t="shared" ref="N8:S8" si="2">N9</f>
        <v>0</v>
      </c>
      <c r="O8" s="1528">
        <f t="shared" si="2"/>
        <v>-200232780</v>
      </c>
      <c r="P8" s="1528">
        <f t="shared" si="2"/>
        <v>-1543857535</v>
      </c>
      <c r="Q8" s="1528">
        <f t="shared" si="2"/>
        <v>0</v>
      </c>
      <c r="R8" s="1528">
        <f t="shared" si="2"/>
        <v>647140333</v>
      </c>
      <c r="S8" s="1529">
        <f t="shared" si="2"/>
        <v>-1096949982</v>
      </c>
      <c r="U8" s="1531">
        <f>U9</f>
        <v>46029036772</v>
      </c>
    </row>
    <row r="9" spans="3:26" ht="18" customHeight="1">
      <c r="C9" s="1364">
        <v>1</v>
      </c>
      <c r="D9" s="1532" t="s">
        <v>695</v>
      </c>
      <c r="E9" s="1506" t="s">
        <v>695</v>
      </c>
      <c r="F9" s="1533" t="s">
        <v>2539</v>
      </c>
      <c r="G9" s="1506" t="s">
        <v>696</v>
      </c>
      <c r="H9" s="1832">
        <v>45447372433</v>
      </c>
      <c r="I9" s="1833">
        <v>68411704</v>
      </c>
      <c r="J9" s="1833">
        <v>228020926</v>
      </c>
      <c r="K9" s="1834">
        <v>1382181691</v>
      </c>
      <c r="L9" s="1535">
        <f>SUM(H9:K9)</f>
        <v>47125986754</v>
      </c>
      <c r="N9" s="1536">
        <f>SUMIF(CF.2!$H$5:$H$25,CF.1!E9,CF.2!$J$5:$J$25)-SUMIF(CF.2!$K$5:$K$25,CF.1!E9,CF.2!$M$5:$M$25)</f>
        <v>0</v>
      </c>
      <c r="O9" s="1534">
        <f>SUMIF(CF.2!$H$31:$H$60,CF.1!E9,CF.2!$J$31:$J$60)+SUMIF(CF.2!$K$31:$K$60,CF.1!E9,CF.2!$M$31:$M$60)+CF.2!M56</f>
        <v>-200232780</v>
      </c>
      <c r="P9" s="1534">
        <f>SUMIF(CF.2!$H$65:$H$108,CF.1!E9,CF.2!$J$65:$J$108)+SUMIF(CF.2!$K$65:$K$108,CF.1!E9,CF.2!$M$65:$M$108)</f>
        <v>-1543857535</v>
      </c>
      <c r="Q9" s="1534">
        <f>SUMIF(CF.2!$H$112:$H$118,CF.1!E9,CF.2!$J$112:$J$118)+SUMIF(CF.2!$K$112:$K$118,CF.1!E9,CF.2!$M$112:$M$118)</f>
        <v>0</v>
      </c>
      <c r="R9" s="1534">
        <f>SUMIF(CF.2!$H$123:$H$134,CF.1!E9,CF.2!$J$123:$J$134)+SUMIF(CF.2!$K$123:$K$134,CF.1!E9,CF.2!$M$123:$M$134)</f>
        <v>647140333</v>
      </c>
      <c r="S9" s="1535">
        <f>SUM(N9:R9)</f>
        <v>-1096949982</v>
      </c>
      <c r="U9" s="1537">
        <f>ROUND(S9+L9,0)</f>
        <v>46029036772</v>
      </c>
      <c r="W9" s="509" t="b">
        <f>U9=T_IS!X128</f>
        <v>0</v>
      </c>
    </row>
    <row r="10" spans="3:26" ht="18" customHeight="1">
      <c r="C10" s="1364">
        <v>1</v>
      </c>
      <c r="D10" s="1525" t="s">
        <v>697</v>
      </c>
      <c r="E10" s="1526" t="s">
        <v>697</v>
      </c>
      <c r="F10" s="1527"/>
      <c r="G10" s="1526" t="s">
        <v>698</v>
      </c>
      <c r="H10" s="1831">
        <f>SUM(H11:H74)</f>
        <v>10321201569</v>
      </c>
      <c r="I10" s="1831">
        <f>SUM(I11:I74)</f>
        <v>222205934</v>
      </c>
      <c r="J10" s="1831">
        <f>SUM(J11:J74)</f>
        <v>12953686</v>
      </c>
      <c r="K10" s="1831">
        <f>SUM(K11:K74)</f>
        <v>782762270</v>
      </c>
      <c r="L10" s="1529">
        <f>SUM(L11:L74)</f>
        <v>11339123459</v>
      </c>
      <c r="N10" s="1530">
        <f t="shared" ref="N10:S10" si="3">SUM(N11:N74)</f>
        <v>0</v>
      </c>
      <c r="O10" s="1528">
        <f t="shared" si="3"/>
        <v>0</v>
      </c>
      <c r="P10" s="1528">
        <f t="shared" si="3"/>
        <v>-46841095</v>
      </c>
      <c r="Q10" s="1528">
        <f t="shared" si="3"/>
        <v>0</v>
      </c>
      <c r="R10" s="1528">
        <f t="shared" si="3"/>
        <v>766770524</v>
      </c>
      <c r="S10" s="1529">
        <f t="shared" si="3"/>
        <v>719929429</v>
      </c>
      <c r="U10" s="1531">
        <f>SUM(U11:U74)</f>
        <v>12059052888</v>
      </c>
      <c r="V10" s="1364" t="b">
        <f>U10=SUM(U11:U74)</f>
        <v>1</v>
      </c>
    </row>
    <row r="11" spans="3:26" ht="18" customHeight="1">
      <c r="C11" s="1364">
        <v>1</v>
      </c>
      <c r="D11" s="1538" t="s">
        <v>699</v>
      </c>
      <c r="E11" s="1276" t="s">
        <v>699</v>
      </c>
      <c r="F11" s="1539" t="s">
        <v>488</v>
      </c>
      <c r="G11" s="1276" t="s">
        <v>488</v>
      </c>
      <c r="H11" s="1832">
        <v>1042539478</v>
      </c>
      <c r="I11" s="1832">
        <v>2991059</v>
      </c>
      <c r="J11" s="1835">
        <v>1678630</v>
      </c>
      <c r="K11" s="1835">
        <v>7140567</v>
      </c>
      <c r="L11" s="1541">
        <f t="shared" ref="L11:L42" si="4">SUM(H11:K11)</f>
        <v>1054349734</v>
      </c>
      <c r="M11" s="1089"/>
      <c r="N11" s="1536">
        <f>SUMIF(CF.2!$H$5:$H$25,CF.1!E11,CF.2!$J$5:$J$25)-SUMIF(CF.2!$K$5:$K$25,CF.1!E11,CF.2!$M$5:$M$25)</f>
        <v>0</v>
      </c>
      <c r="O11" s="1534">
        <f>SUMIF(CF.2!$H$31:$H$60,CF.1!E11,CF.2!$J$31:$J$60)+SUMIF(CF.2!$K$31:$K$60,CF.1!E11,CF.2!$M$31:$M$60)</f>
        <v>0</v>
      </c>
      <c r="P11" s="1534">
        <f>SUMIF(CF.2!$H$65:$H$108,CF.1!E11,CF.2!$J$65:$J$108)+SUMIF(CF.2!$K$65:$K$108,CF.1!E11,CF.2!$M$65:$M$108)</f>
        <v>0</v>
      </c>
      <c r="Q11" s="1534">
        <f>SUMIF(CF.2!$H$112:$H$118,CF.1!E11,CF.2!$J$112:$J$118)+SUMIF(CF.2!$K$112:$K$118,CF.1!E11,CF.2!$M$112:$M$118)</f>
        <v>0</v>
      </c>
      <c r="R11" s="1534">
        <f>SUMIF(CF.2!$H$123:$H$134,CF.1!E11,CF.2!$J$123:$J$134)+SUMIF(CF.2!$K$123:$K$134,CF.1!E11,CF.2!$M$123:$M$134)</f>
        <v>0</v>
      </c>
      <c r="S11" s="1535">
        <f t="shared" ref="S11:S42" si="5">SUM(N11:R11)</f>
        <v>0</v>
      </c>
      <c r="T11" s="1089"/>
      <c r="U11" s="1542">
        <f t="shared" ref="U11:U42" si="6">ROUND(S11+L11,0)</f>
        <v>1054349734</v>
      </c>
      <c r="X11" s="966"/>
      <c r="Y11" s="1362"/>
    </row>
    <row r="12" spans="3:26" ht="18" customHeight="1">
      <c r="C12" s="1364">
        <v>1</v>
      </c>
      <c r="D12" s="1543" t="s">
        <v>2562</v>
      </c>
      <c r="E12" s="1270" t="s">
        <v>2562</v>
      </c>
      <c r="F12" s="1544" t="s">
        <v>2560</v>
      </c>
      <c r="G12" s="1270" t="s">
        <v>2560</v>
      </c>
      <c r="H12" s="1832">
        <v>1697078028</v>
      </c>
      <c r="I12" s="1832">
        <v>145405314</v>
      </c>
      <c r="J12" s="1835">
        <v>10902363</v>
      </c>
      <c r="K12" s="1835">
        <v>273632326</v>
      </c>
      <c r="L12" s="1541">
        <f t="shared" si="4"/>
        <v>2127018031</v>
      </c>
      <c r="M12" s="1089"/>
      <c r="N12" s="1536">
        <f>SUMIF(CF.2!$H$5:$H$25,CF.1!E12,CF.2!$J$5:$J$25)-SUMIF(CF.2!$K$5:$K$25,CF.1!E12,CF.2!$M$5:$M$25)</f>
        <v>0</v>
      </c>
      <c r="O12" s="1534">
        <f>SUMIF(CF.2!$H$31:$H$60,CF.1!E12,CF.2!$J$31:$J$60)+SUMIF(CF.2!$K$31:$K$60,CF.1!E12,CF.2!$M$31:$M$60)</f>
        <v>0</v>
      </c>
      <c r="P12" s="1534">
        <f>SUMIF(CF.2!$H$65:$H$108,CF.1!E12,CF.2!$J$65:$J$108)+SUMIF(CF.2!$K$65:$K$108,CF.1!E12,CF.2!$M$65:$M$108)</f>
        <v>0</v>
      </c>
      <c r="Q12" s="1534">
        <f>SUMIF(CF.2!$H$112:$H$118,CF.1!E12,CF.2!$J$112:$J$118)+SUMIF(CF.2!$K$112:$K$118,CF.1!E12,CF.2!$M$112:$M$118)</f>
        <v>0</v>
      </c>
      <c r="R12" s="1534">
        <f>SUMIF(CF.2!$H$123:$H$134,CF.1!E12,CF.2!$J$123:$J$134)+SUMIF(CF.2!$K$123:$K$134,CF.1!E12,CF.2!$M$123:$M$134)</f>
        <v>0</v>
      </c>
      <c r="S12" s="1535">
        <f t="shared" si="5"/>
        <v>0</v>
      </c>
      <c r="T12" s="1089"/>
      <c r="U12" s="1542">
        <f t="shared" si="6"/>
        <v>2127018031</v>
      </c>
      <c r="X12" s="1543"/>
    </row>
    <row r="13" spans="3:26" ht="18" customHeight="1">
      <c r="C13" s="1364">
        <v>1</v>
      </c>
      <c r="D13" s="1538" t="s">
        <v>700</v>
      </c>
      <c r="E13" s="1276" t="s">
        <v>700</v>
      </c>
      <c r="F13" s="1539" t="s">
        <v>386</v>
      </c>
      <c r="G13" s="1276" t="s">
        <v>488</v>
      </c>
      <c r="H13" s="1832">
        <v>2701781024</v>
      </c>
      <c r="I13" s="1832">
        <v>1339272</v>
      </c>
      <c r="J13" s="1835">
        <v>0</v>
      </c>
      <c r="K13" s="1835">
        <v>11118204</v>
      </c>
      <c r="L13" s="1541">
        <f t="shared" si="4"/>
        <v>2714238500</v>
      </c>
      <c r="M13" s="1089"/>
      <c r="N13" s="1536">
        <f>SUMIF(CF.2!$H$5:$H$25,CF.1!E13,CF.2!$J$5:$J$25)-SUMIF(CF.2!$K$5:$K$25,CF.1!E13,CF.2!$M$5:$M$25)</f>
        <v>0</v>
      </c>
      <c r="O13" s="1534">
        <f>SUMIF(CF.2!$H$31:$H$60,CF.1!E13,CF.2!$J$31:$J$60)+SUMIF(CF.2!$K$31:$K$60,CF.1!E13,CF.2!$M$31:$M$60)</f>
        <v>0</v>
      </c>
      <c r="P13" s="1534">
        <f>SUMIF(CF.2!$H$65:$H$108,CF.1!E13,CF.2!$J$65:$J$108)+SUMIF(CF.2!$K$65:$K$108,CF.1!E13,CF.2!$M$65:$M$108)</f>
        <v>0</v>
      </c>
      <c r="Q13" s="1534">
        <f>SUMIF(CF.2!$H$112:$H$118,CF.1!E13,CF.2!$J$112:$J$118)+SUMIF(CF.2!$K$112:$K$118,CF.1!E13,CF.2!$M$112:$M$118)</f>
        <v>0</v>
      </c>
      <c r="R13" s="1534">
        <f>SUMIF(CF.2!$H$123:$H$134,CF.1!E13,CF.2!$J$123:$J$134)+SUMIF(CF.2!$K$123:$K$134,CF.1!E13,CF.2!$M$123:$M$134)</f>
        <v>0</v>
      </c>
      <c r="S13" s="1535">
        <f t="shared" si="5"/>
        <v>0</v>
      </c>
      <c r="T13" s="1089"/>
      <c r="U13" s="1542">
        <f t="shared" si="6"/>
        <v>2714238500</v>
      </c>
      <c r="W13" s="925" t="b">
        <f>U13=T_IS!X53</f>
        <v>0</v>
      </c>
      <c r="X13" s="1089"/>
      <c r="Y13" s="1089"/>
      <c r="Z13" s="1089"/>
    </row>
    <row r="14" spans="3:26" ht="18" customHeight="1">
      <c r="C14" s="1364">
        <v>1</v>
      </c>
      <c r="D14" s="1538" t="s">
        <v>701</v>
      </c>
      <c r="E14" s="1276" t="s">
        <v>701</v>
      </c>
      <c r="F14" s="1539" t="s">
        <v>262</v>
      </c>
      <c r="G14" s="1276" t="s">
        <v>262</v>
      </c>
      <c r="H14" s="1832">
        <v>1398686825</v>
      </c>
      <c r="I14" s="1832">
        <v>16934328</v>
      </c>
      <c r="J14" s="1835">
        <v>0</v>
      </c>
      <c r="K14" s="1835">
        <v>22493696</v>
      </c>
      <c r="L14" s="1541">
        <f t="shared" si="4"/>
        <v>1438114849</v>
      </c>
      <c r="M14" s="1089"/>
      <c r="N14" s="1536">
        <f>SUMIF(CF.2!$H$5:$H$25,CF.1!E14,CF.2!$J$5:$J$25)-SUMIF(CF.2!$K$5:$K$25,CF.1!E14,CF.2!$M$5:$M$25)</f>
        <v>0</v>
      </c>
      <c r="O14" s="1534">
        <f>SUMIF(CF.2!$H$31:$H$60,CF.1!E14,CF.2!$J$31:$J$60)+SUMIF(CF.2!$K$31:$K$60,CF.1!E14,CF.2!$M$31:$M$60)</f>
        <v>0</v>
      </c>
      <c r="P14" s="1534">
        <f>SUMIF(CF.2!$H$65:$H$108,CF.1!E14,CF.2!$J$65:$J$108)+SUMIF(CF.2!$K$65:$K$108,CF.1!E14,CF.2!$M$65:$M$108)</f>
        <v>0</v>
      </c>
      <c r="Q14" s="1534">
        <f>SUMIF(CF.2!$H$112:$H$118,CF.1!E14,CF.2!$J$112:$J$118)+SUMIF(CF.2!$K$112:$K$118,CF.1!E14,CF.2!$M$112:$M$118)</f>
        <v>0</v>
      </c>
      <c r="R14" s="1534">
        <f>SUMIF(CF.2!$H$123:$H$134,CF.1!E14,CF.2!$J$123:$J$134)+SUMIF(CF.2!$K$123:$K$134,CF.1!E14,CF.2!$M$123:$M$134)</f>
        <v>0</v>
      </c>
      <c r="S14" s="1535">
        <f t="shared" si="5"/>
        <v>0</v>
      </c>
      <c r="T14" s="1089"/>
      <c r="U14" s="1542">
        <f t="shared" si="6"/>
        <v>1438114849</v>
      </c>
      <c r="W14" s="1364" t="b">
        <f>U14=T_IS!X39</f>
        <v>0</v>
      </c>
      <c r="X14" s="1089"/>
      <c r="Y14" s="1089"/>
      <c r="Z14" s="1089"/>
    </row>
    <row r="15" spans="3:26" ht="18" customHeight="1">
      <c r="C15" s="1364">
        <v>1</v>
      </c>
      <c r="D15" s="1538" t="s">
        <v>702</v>
      </c>
      <c r="E15" s="1276" t="s">
        <v>702</v>
      </c>
      <c r="F15" s="1539" t="s">
        <v>1416</v>
      </c>
      <c r="G15" s="1276" t="s">
        <v>302</v>
      </c>
      <c r="H15" s="1832">
        <v>11147782</v>
      </c>
      <c r="I15" s="1832">
        <v>0</v>
      </c>
      <c r="J15" s="1835">
        <v>0</v>
      </c>
      <c r="K15" s="1835">
        <v>0</v>
      </c>
      <c r="L15" s="1541">
        <f t="shared" si="4"/>
        <v>11147782</v>
      </c>
      <c r="M15" s="1089"/>
      <c r="N15" s="1536">
        <f>SUMIF(CF.2!$H$5:$H$25,CF.1!E15,CF.2!$J$5:$J$25)-SUMIF(CF.2!$K$5:$K$25,CF.1!E15,CF.2!$M$5:$M$25)</f>
        <v>0</v>
      </c>
      <c r="O15" s="1534">
        <f>SUMIF(CF.2!$H$31:$H$60,CF.1!E15,CF.2!$J$31:$J$60)+SUMIF(CF.2!$K$31:$K$60,CF.1!E15,CF.2!$M$31:$M$60)</f>
        <v>0</v>
      </c>
      <c r="P15" s="1534">
        <f>SUMIF(CF.2!$H$65:$H$108,CF.1!E15,CF.2!$J$65:$J$108)+SUMIF(CF.2!$K$65:$K$108,CF.1!E15,CF.2!$M$65:$M$108)</f>
        <v>0</v>
      </c>
      <c r="Q15" s="1534">
        <f>SUMIF(CF.2!$H$112:$H$118,CF.1!E15,CF.2!$J$112:$J$118)+SUMIF(CF.2!$K$112:$K$118,CF.1!E15,CF.2!$M$112:$M$118)</f>
        <v>0</v>
      </c>
      <c r="R15" s="1534">
        <f>SUMIF(CF.2!$H$123:$H$134,CF.1!E15,CF.2!$J$123:$J$134)+SUMIF(CF.2!$K$123:$K$134,CF.1!E15,CF.2!$M$123:$M$134)</f>
        <v>0</v>
      </c>
      <c r="S15" s="1535">
        <f t="shared" si="5"/>
        <v>0</v>
      </c>
      <c r="T15" s="1089"/>
      <c r="U15" s="1542">
        <f t="shared" si="6"/>
        <v>11147782</v>
      </c>
      <c r="W15" s="1364" t="b">
        <f>U15=T_IS!X69</f>
        <v>1</v>
      </c>
    </row>
    <row r="16" spans="3:26" ht="18" customHeight="1">
      <c r="C16" s="1364">
        <v>1</v>
      </c>
      <c r="D16" s="1538" t="s">
        <v>703</v>
      </c>
      <c r="E16" s="1276" t="s">
        <v>703</v>
      </c>
      <c r="F16" s="1539" t="s">
        <v>683</v>
      </c>
      <c r="G16" s="1276" t="s">
        <v>683</v>
      </c>
      <c r="H16" s="1832">
        <v>103356804</v>
      </c>
      <c r="I16" s="1832">
        <v>0</v>
      </c>
      <c r="J16" s="1835">
        <v>0</v>
      </c>
      <c r="K16" s="1835">
        <v>0</v>
      </c>
      <c r="L16" s="1541">
        <f t="shared" si="4"/>
        <v>103356804</v>
      </c>
      <c r="M16" s="1089"/>
      <c r="N16" s="1536">
        <f>SUMIF(CF.2!$H$5:$H$25,CF.1!E16,CF.2!$J$5:$J$25)-SUMIF(CF.2!$K$5:$K$25,CF.1!E16,CF.2!$M$5:$M$25)</f>
        <v>0</v>
      </c>
      <c r="O16" s="1534">
        <f>SUMIF(CF.2!$H$31:$H$60,CF.1!E16,CF.2!$J$31:$J$60)+SUMIF(CF.2!$K$31:$K$60,CF.1!E16,CF.2!$M$31:$M$60)</f>
        <v>0</v>
      </c>
      <c r="P16" s="1534">
        <f>SUMIF(CF.2!$H$65:$H$108,CF.1!E16,CF.2!$J$65:$J$108)+SUMIF(CF.2!$K$65:$K$108,CF.1!E16,CF.2!$M$65:$M$108)</f>
        <v>0</v>
      </c>
      <c r="Q16" s="1534">
        <f>SUMIF(CF.2!$H$112:$H$118,CF.1!E16,CF.2!$J$112:$J$118)+SUMIF(CF.2!$K$112:$K$118,CF.1!E16,CF.2!$M$112:$M$118)</f>
        <v>0</v>
      </c>
      <c r="R16" s="1534">
        <f>SUMIF(CF.2!$H$123:$H$134,CF.1!E16,CF.2!$J$123:$J$134)+SUMIF(CF.2!$K$123:$K$134,CF.1!E16,CF.2!$M$123:$M$134)</f>
        <v>0</v>
      </c>
      <c r="S16" s="1535">
        <f t="shared" si="5"/>
        <v>0</v>
      </c>
      <c r="T16" s="1089"/>
      <c r="U16" s="1542">
        <f t="shared" si="6"/>
        <v>103356804</v>
      </c>
      <c r="W16" s="1364" t="b">
        <f>T_IS!X95+T_IS!X96=U16</f>
        <v>0</v>
      </c>
    </row>
    <row r="17" spans="3:23" ht="18" customHeight="1">
      <c r="C17" s="1364">
        <v>1</v>
      </c>
      <c r="D17" s="1532" t="s">
        <v>704</v>
      </c>
      <c r="E17" s="1506" t="s">
        <v>704</v>
      </c>
      <c r="F17" s="1533" t="s">
        <v>2564</v>
      </c>
      <c r="G17" s="1506" t="s">
        <v>705</v>
      </c>
      <c r="H17" s="1833">
        <v>0</v>
      </c>
      <c r="I17" s="1834">
        <v>0</v>
      </c>
      <c r="J17" s="1834">
        <v>0</v>
      </c>
      <c r="K17" s="1834">
        <v>0</v>
      </c>
      <c r="L17" s="1535">
        <f t="shared" si="4"/>
        <v>0</v>
      </c>
      <c r="N17" s="1536">
        <f>SUMIF(CF.2!$H$5:$H$25,CF.1!E17,CF.2!$J$5:$J$25)-SUMIF(CF.2!$K$5:$K$25,CF.1!E17,CF.2!$M$5:$M$25)</f>
        <v>0</v>
      </c>
      <c r="O17" s="1534">
        <f>SUMIF(CF.2!$H$31:$H$60,CF.1!E17,CF.2!$J$31:$J$60)+SUMIF(CF.2!$K$31:$K$60,CF.1!E17,CF.2!$M$31:$M$60)</f>
        <v>0</v>
      </c>
      <c r="P17" s="1534">
        <f>SUMIF(CF.2!$H$65:$H$108,CF.1!E17,CF.2!$J$65:$J$108)+SUMIF(CF.2!$K$65:$K$108,CF.1!E17,CF.2!$M$65:$M$108)</f>
        <v>0</v>
      </c>
      <c r="Q17" s="1534">
        <f>SUMIF(CF.2!$H$112:$H$118,CF.1!E17,CF.2!$J$112:$J$118)+SUMIF(CF.2!$K$112:$K$118,CF.1!E17,CF.2!$M$112:$M$118)</f>
        <v>0</v>
      </c>
      <c r="R17" s="1534">
        <f>SUMIF(CF.2!$H$123:$H$134,CF.1!E17,CF.2!$J$123:$J$134)+SUMIF(CF.2!$K$123:$K$134,CF.1!E17,CF.2!$M$123:$M$134)</f>
        <v>0</v>
      </c>
      <c r="S17" s="1535">
        <f t="shared" si="5"/>
        <v>0</v>
      </c>
      <c r="U17" s="1537">
        <f t="shared" si="6"/>
        <v>0</v>
      </c>
    </row>
    <row r="18" spans="3:23" ht="18" customHeight="1">
      <c r="C18" s="1364">
        <v>1</v>
      </c>
      <c r="D18" s="1538" t="s">
        <v>788</v>
      </c>
      <c r="E18" s="1276" t="s">
        <v>2559</v>
      </c>
      <c r="F18" s="1539" t="s">
        <v>1420</v>
      </c>
      <c r="G18" s="1544" t="s">
        <v>789</v>
      </c>
      <c r="H18" s="1832">
        <v>2394018200</v>
      </c>
      <c r="I18" s="1832">
        <v>0</v>
      </c>
      <c r="J18" s="1835">
        <v>0</v>
      </c>
      <c r="K18" s="1835">
        <v>0</v>
      </c>
      <c r="L18" s="1541">
        <f t="shared" si="4"/>
        <v>2394018200</v>
      </c>
      <c r="M18" s="1089"/>
      <c r="N18" s="1536">
        <f>SUMIF(CF.2!$H$5:$H$25,CF.1!E18,CF.2!$J$5:$J$25)-SUMIF(CF.2!$K$5:$K$25,CF.1!E18,CF.2!$M$5:$M$25)</f>
        <v>0</v>
      </c>
      <c r="O18" s="1534">
        <f>SUMIF(CF.2!$H$31:$H$60,CF.1!E18,CF.2!$J$31:$J$60)+SUMIF(CF.2!$K$31:$K$60,CF.1!E18,CF.2!$M$31:$M$60)</f>
        <v>0</v>
      </c>
      <c r="P18" s="1534">
        <f>SUMIF(CF.2!$H$65:$H$108,CF.1!E18,CF.2!$J$65:$J$108)+SUMIF(CF.2!$K$65:$K$108,CF.1!E18,CF.2!$M$65:$M$108)</f>
        <v>0</v>
      </c>
      <c r="Q18" s="1534">
        <f>SUMIF(CF.2!$H$112:$H$118,CF.1!E18,CF.2!$J$112:$J$118)+SUMIF(CF.2!$K$112:$K$118,CF.1!E18,CF.2!$M$112:$M$118)</f>
        <v>0</v>
      </c>
      <c r="R18" s="1534">
        <f>SUMIF(CF.2!$H$123:$H$134,CF.1!E18,CF.2!$J$123:$J$134)+SUMIF(CF.2!$K$123:$K$134,CF.1!E18,CF.2!$M$123:$M$134)</f>
        <v>0</v>
      </c>
      <c r="S18" s="1535">
        <f t="shared" si="5"/>
        <v>0</v>
      </c>
      <c r="T18" s="1089"/>
      <c r="U18" s="1542">
        <f t="shared" si="6"/>
        <v>2394018200</v>
      </c>
      <c r="W18" s="1364" t="b">
        <f>U18=T_IS!X97</f>
        <v>1</v>
      </c>
    </row>
    <row r="19" spans="3:23" ht="18" customHeight="1">
      <c r="C19" s="1364">
        <v>1</v>
      </c>
      <c r="D19" s="1532" t="s">
        <v>708</v>
      </c>
      <c r="E19" s="1506" t="s">
        <v>708</v>
      </c>
      <c r="F19" s="1533" t="s">
        <v>611</v>
      </c>
      <c r="G19" s="1506" t="s">
        <v>709</v>
      </c>
      <c r="H19" s="1833">
        <v>0</v>
      </c>
      <c r="I19" s="1834">
        <v>0</v>
      </c>
      <c r="J19" s="1834">
        <v>0</v>
      </c>
      <c r="K19" s="1834">
        <v>0</v>
      </c>
      <c r="L19" s="1535">
        <f t="shared" si="4"/>
        <v>0</v>
      </c>
      <c r="N19" s="1536">
        <f>SUMIF(CF.2!$H$5:$H$25,CF.1!E19,CF.2!$J$5:$J$25)-SUMIF(CF.2!$K$5:$K$25,CF.1!E19,CF.2!$M$5:$M$25)</f>
        <v>0</v>
      </c>
      <c r="O19" s="1534">
        <f>SUMIF(CF.2!$H$31:$H$60,CF.1!E19,CF.2!$J$31:$J$60)+SUMIF(CF.2!$K$31:$K$60,CF.1!E19,CF.2!$M$31:$M$60)</f>
        <v>0</v>
      </c>
      <c r="P19" s="1534">
        <f>SUMIF(CF.2!$H$65:$H$108,CF.1!E19,CF.2!$J$65:$J$108)+SUMIF(CF.2!$K$65:$K$108,CF.1!E19,CF.2!$M$65:$M$108)</f>
        <v>0</v>
      </c>
      <c r="Q19" s="1534">
        <f>SUMIF(CF.2!$H$112:$H$118,CF.1!E19,CF.2!$J$112:$J$118)+SUMIF(CF.2!$K$112:$K$118,CF.1!E19,CF.2!$M$112:$M$118)</f>
        <v>0</v>
      </c>
      <c r="R19" s="1534">
        <f>SUMIF(CF.2!$H$123:$H$134,CF.1!E19,CF.2!$J$123:$J$134)+SUMIF(CF.2!$K$123:$K$134,CF.1!E19,CF.2!$M$123:$M$134)</f>
        <v>0</v>
      </c>
      <c r="S19" s="1535">
        <f t="shared" si="5"/>
        <v>0</v>
      </c>
      <c r="U19" s="1537">
        <f t="shared" si="6"/>
        <v>0</v>
      </c>
    </row>
    <row r="20" spans="3:23" ht="18" customHeight="1">
      <c r="C20" s="1364">
        <v>1</v>
      </c>
      <c r="D20" s="1532" t="s">
        <v>710</v>
      </c>
      <c r="E20" s="1506" t="s">
        <v>710</v>
      </c>
      <c r="F20" s="1533" t="s">
        <v>611</v>
      </c>
      <c r="G20" s="1506" t="s">
        <v>711</v>
      </c>
      <c r="H20" s="1833">
        <v>0</v>
      </c>
      <c r="I20" s="1834">
        <v>0</v>
      </c>
      <c r="J20" s="1834">
        <v>0</v>
      </c>
      <c r="K20" s="1834">
        <v>0</v>
      </c>
      <c r="L20" s="1535">
        <f t="shared" si="4"/>
        <v>0</v>
      </c>
      <c r="N20" s="1536">
        <f>SUMIF(CF.2!$H$5:$H$25,CF.1!E20,CF.2!$J$5:$J$25)-SUMIF(CF.2!$K$5:$K$25,CF.1!E20,CF.2!$M$5:$M$25)</f>
        <v>0</v>
      </c>
      <c r="O20" s="1534">
        <f>SUMIF(CF.2!$H$31:$H$60,CF.1!E20,CF.2!$J$31:$J$60)+SUMIF(CF.2!$K$31:$K$60,CF.1!E20,CF.2!$M$31:$M$60)</f>
        <v>0</v>
      </c>
      <c r="P20" s="1534">
        <f>SUMIF(CF.2!$H$65:$H$108,CF.1!E20,CF.2!$J$65:$J$108)+SUMIF(CF.2!$K$65:$K$108,CF.1!E20,CF.2!$M$65:$M$108)</f>
        <v>0</v>
      </c>
      <c r="Q20" s="1534">
        <f>SUMIF(CF.2!$H$112:$H$118,CF.1!E20,CF.2!$J$112:$J$118)+SUMIF(CF.2!$K$112:$K$118,CF.1!E20,CF.2!$M$112:$M$118)</f>
        <v>0</v>
      </c>
      <c r="R20" s="1534">
        <f>SUMIF(CF.2!$H$123:$H$134,CF.1!E20,CF.2!$J$123:$J$134)+SUMIF(CF.2!$K$123:$K$134,CF.1!E20,CF.2!$M$123:$M$134)</f>
        <v>0</v>
      </c>
      <c r="S20" s="1535">
        <f t="shared" si="5"/>
        <v>0</v>
      </c>
      <c r="U20" s="1537">
        <f t="shared" si="6"/>
        <v>0</v>
      </c>
    </row>
    <row r="21" spans="3:23" ht="18" customHeight="1">
      <c r="C21" s="1364">
        <v>1</v>
      </c>
      <c r="D21" s="1532" t="s">
        <v>712</v>
      </c>
      <c r="E21" s="1506" t="s">
        <v>712</v>
      </c>
      <c r="F21" s="1533" t="s">
        <v>1731</v>
      </c>
      <c r="G21" s="1506" t="s">
        <v>713</v>
      </c>
      <c r="H21" s="1833">
        <v>0</v>
      </c>
      <c r="I21" s="1834">
        <v>0</v>
      </c>
      <c r="J21" s="1834">
        <v>0</v>
      </c>
      <c r="K21" s="1834">
        <v>0</v>
      </c>
      <c r="L21" s="1535">
        <f t="shared" si="4"/>
        <v>0</v>
      </c>
      <c r="N21" s="1536">
        <f>SUMIF(CF.2!$H$5:$H$25,CF.1!E21,CF.2!$J$5:$J$25)-SUMIF(CF.2!$K$5:$K$25,CF.1!E21,CF.2!$M$5:$M$25)</f>
        <v>0</v>
      </c>
      <c r="O21" s="1534">
        <v>0</v>
      </c>
      <c r="P21" s="1534">
        <f>SUMIF(CF.2!$H$65:$H$108,CF.1!E21,CF.2!$J$65:$J$108)+SUMIF(CF.2!$K$65:$K$108,CF.1!E21,CF.2!$M$65:$M$108)</f>
        <v>0</v>
      </c>
      <c r="Q21" s="1534">
        <f>SUMIF(CF.2!$H$112:$H$118,CF.1!E21,CF.2!$J$112:$J$118)+SUMIF(CF.2!$K$112:$K$118,CF.1!E21,CF.2!$M$112:$M$118)</f>
        <v>0</v>
      </c>
      <c r="R21" s="1534">
        <f>SUMIF(CF.2!$H$123:$H$134,CF.1!E21,CF.2!$J$123:$J$134)+SUMIF(CF.2!$K$123:$K$134,CF.1!E21,CF.2!$M$123:$M$134)</f>
        <v>0</v>
      </c>
      <c r="S21" s="1535">
        <f t="shared" si="5"/>
        <v>0</v>
      </c>
      <c r="U21" s="1537">
        <f t="shared" si="6"/>
        <v>0</v>
      </c>
    </row>
    <row r="22" spans="3:23" ht="18" customHeight="1">
      <c r="C22" s="1364">
        <v>1</v>
      </c>
      <c r="D22" s="1532" t="s">
        <v>714</v>
      </c>
      <c r="E22" s="1506" t="s">
        <v>714</v>
      </c>
      <c r="F22" s="1533" t="s">
        <v>715</v>
      </c>
      <c r="G22" s="1506" t="s">
        <v>715</v>
      </c>
      <c r="H22" s="1833">
        <v>0</v>
      </c>
      <c r="I22" s="1834">
        <v>0</v>
      </c>
      <c r="J22" s="1834">
        <v>0</v>
      </c>
      <c r="K22" s="1834">
        <v>0</v>
      </c>
      <c r="L22" s="1535">
        <f t="shared" si="4"/>
        <v>0</v>
      </c>
      <c r="N22" s="1536">
        <f>SUMIF(CF.2!$H$5:$H$25,CF.1!E22,CF.2!$J$5:$J$25)-SUMIF(CF.2!$K$5:$K$25,CF.1!E22,CF.2!$M$5:$M$25)</f>
        <v>0</v>
      </c>
      <c r="O22" s="1534">
        <f>SUMIF(CF.2!$H$31:$H$60,CF.1!E22,CF.2!$J$31:$J$60)+SUMIF(CF.2!$K$31:$K$60,CF.1!E22,CF.2!$M$31:$M$60)</f>
        <v>0</v>
      </c>
      <c r="P22" s="1534">
        <f>SUMIF(CF.2!$H$65:$H$108,CF.1!E22,CF.2!$J$65:$J$108)+SUMIF(CF.2!$K$65:$K$108,CF.1!E22,CF.2!$M$65:$M$108)</f>
        <v>0</v>
      </c>
      <c r="Q22" s="1534">
        <f>SUMIF(CF.2!$H$112:$H$118,CF.1!E22,CF.2!$J$112:$J$118)+SUMIF(CF.2!$K$112:$K$118,CF.1!E22,CF.2!$M$112:$M$118)</f>
        <v>0</v>
      </c>
      <c r="R22" s="1534">
        <f>SUMIF(CF.2!$H$123:$H$134,CF.1!E22,CF.2!$J$123:$J$134)+SUMIF(CF.2!$K$123:$K$134,CF.1!E22,CF.2!$M$123:$M$134)</f>
        <v>766553853</v>
      </c>
      <c r="S22" s="1535">
        <f t="shared" si="5"/>
        <v>766553853</v>
      </c>
      <c r="U22" s="1537">
        <f t="shared" si="6"/>
        <v>766553853</v>
      </c>
      <c r="W22" s="1364" t="b">
        <f>U22=-T_IS!X118</f>
        <v>1</v>
      </c>
    </row>
    <row r="23" spans="3:23" ht="18" customHeight="1">
      <c r="C23" s="1364">
        <v>1</v>
      </c>
      <c r="D23" s="1532" t="s">
        <v>716</v>
      </c>
      <c r="E23" s="1506" t="s">
        <v>716</v>
      </c>
      <c r="F23" s="1533" t="s">
        <v>377</v>
      </c>
      <c r="G23" s="1506" t="s">
        <v>717</v>
      </c>
      <c r="H23" s="1833">
        <v>0</v>
      </c>
      <c r="I23" s="1833">
        <v>0</v>
      </c>
      <c r="J23" s="1834">
        <v>0</v>
      </c>
      <c r="K23" s="1834">
        <v>0</v>
      </c>
      <c r="L23" s="1535">
        <f t="shared" si="4"/>
        <v>0</v>
      </c>
      <c r="N23" s="1536">
        <f>SUMIF(CF.2!$H$5:$H$25,CF.1!E23,CF.2!$J$5:$J$25)-SUMIF(CF.2!$K$5:$K$25,CF.1!E23,CF.2!$M$5:$M$25)</f>
        <v>0</v>
      </c>
      <c r="O23" s="1534">
        <f>SUMIF(CF.2!$H$31:$H$60,CF.1!E23,CF.2!$J$31:$J$60)+SUMIF(CF.2!$K$31:$K$60,CF.1!E23,CF.2!$M$31:$M$60)</f>
        <v>0</v>
      </c>
      <c r="P23" s="1534">
        <f>SUMIF(CF.2!$H$65:$H$108,CF.1!E23,CF.2!$J$65:$J$108)+SUMIF(CF.2!$K$65:$K$108,CF.1!E23,CF.2!$M$65:$M$108)</f>
        <v>0</v>
      </c>
      <c r="Q23" s="1534">
        <f>SUMIF(CF.2!$H$112:$H$118,CF.1!E23,CF.2!$J$112:$J$118)+SUMIF(CF.2!$K$112:$K$118,CF.1!E23,CF.2!$M$112:$M$118)</f>
        <v>0</v>
      </c>
      <c r="R23" s="1534">
        <f>SUMIF(CF.2!$H$123:$H$134,CF.1!E23,CF.2!$J$123:$J$134)+SUMIF(CF.2!$K$123:$K$134,CF.1!E23,CF.2!$M$123:$M$134)</f>
        <v>0</v>
      </c>
      <c r="S23" s="1535">
        <f t="shared" si="5"/>
        <v>0</v>
      </c>
      <c r="U23" s="1537">
        <f t="shared" si="6"/>
        <v>0</v>
      </c>
    </row>
    <row r="24" spans="3:23" ht="18" customHeight="1">
      <c r="C24" s="1364">
        <v>1</v>
      </c>
      <c r="D24" s="1532" t="s">
        <v>718</v>
      </c>
      <c r="E24" s="1506" t="s">
        <v>718</v>
      </c>
      <c r="F24" s="1533" t="s">
        <v>611</v>
      </c>
      <c r="G24" s="1506" t="s">
        <v>719</v>
      </c>
      <c r="H24" s="1833">
        <v>0</v>
      </c>
      <c r="I24" s="1834">
        <v>0</v>
      </c>
      <c r="J24" s="1834">
        <v>0</v>
      </c>
      <c r="K24" s="1834">
        <v>0</v>
      </c>
      <c r="L24" s="1535">
        <f t="shared" si="4"/>
        <v>0</v>
      </c>
      <c r="N24" s="1536">
        <f>SUMIF(CF.2!$H$5:$H$25,CF.1!E24,CF.2!$J$5:$J$25)-SUMIF(CF.2!$K$5:$K$25,CF.1!E24,CF.2!$M$5:$M$25)</f>
        <v>0</v>
      </c>
      <c r="O24" s="1534">
        <f>SUMIF(CF.2!$H$31:$H$60,CF.1!E24,CF.2!$J$31:$J$60)+SUMIF(CF.2!$K$31:$K$60,CF.1!E24,CF.2!$M$31:$M$60)</f>
        <v>0</v>
      </c>
      <c r="P24" s="1534">
        <f>SUMIF(CF.2!$H$65:$H$108,CF.1!E24,CF.2!$J$65:$J$108)+SUMIF(CF.2!$K$65:$K$108,CF.1!E24,CF.2!$M$65:$M$108)</f>
        <v>0</v>
      </c>
      <c r="Q24" s="1534">
        <f>SUMIF(CF.2!$H$112:$H$118,CF.1!E24,CF.2!$J$112:$J$118)+SUMIF(CF.2!$K$112:$K$118,CF.1!E24,CF.2!$M$112:$M$118)</f>
        <v>0</v>
      </c>
      <c r="R24" s="1534">
        <f>SUMIF(CF.2!$H$123:$H$134,CF.1!E24,CF.2!$J$123:$J$134)+SUMIF(CF.2!$K$123:$K$134,CF.1!E24,CF.2!$M$123:$M$134)</f>
        <v>0</v>
      </c>
      <c r="S24" s="1535">
        <f t="shared" si="5"/>
        <v>0</v>
      </c>
      <c r="U24" s="1537">
        <f t="shared" si="6"/>
        <v>0</v>
      </c>
    </row>
    <row r="25" spans="3:23" ht="18" customHeight="1">
      <c r="C25" s="1364">
        <v>1</v>
      </c>
      <c r="D25" s="1532" t="s">
        <v>720</v>
      </c>
      <c r="E25" s="1506" t="s">
        <v>720</v>
      </c>
      <c r="F25" s="1533" t="s">
        <v>611</v>
      </c>
      <c r="G25" s="1506" t="s">
        <v>721</v>
      </c>
      <c r="H25" s="1833">
        <v>0</v>
      </c>
      <c r="I25" s="1834">
        <v>0</v>
      </c>
      <c r="J25" s="1834">
        <v>0</v>
      </c>
      <c r="K25" s="1834">
        <v>0</v>
      </c>
      <c r="L25" s="1535">
        <f t="shared" si="4"/>
        <v>0</v>
      </c>
      <c r="N25" s="1536">
        <f>SUMIF(CF.2!$H$5:$H$25,CF.1!E25,CF.2!$J$5:$J$25)-SUMIF(CF.2!$K$5:$K$25,CF.1!E25,CF.2!$M$5:$M$25)</f>
        <v>0</v>
      </c>
      <c r="O25" s="1534">
        <f>SUMIF(CF.2!$H$31:$H$60,CF.1!E25,CF.2!$J$31:$J$60)+SUMIF(CF.2!$K$31:$K$60,CF.1!E25,CF.2!$M$31:$M$60)</f>
        <v>0</v>
      </c>
      <c r="P25" s="1534">
        <f>SUMIF(CF.2!$H$65:$H$108,CF.1!E25,CF.2!$J$65:$J$108)+SUMIF(CF.2!$K$65:$K$108,CF.1!E25,CF.2!$M$65:$M$108)</f>
        <v>0</v>
      </c>
      <c r="Q25" s="1534">
        <f>SUMIF(CF.2!$H$112:$H$118,CF.1!E25,CF.2!$J$112:$J$118)+SUMIF(CF.2!$K$112:$K$118,CF.1!E25,CF.2!$M$112:$M$118)</f>
        <v>0</v>
      </c>
      <c r="R25" s="1534">
        <f>SUMIF(CF.2!$H$123:$H$134,CF.1!E25,CF.2!$J$123:$J$134)+SUMIF(CF.2!$K$123:$K$134,CF.1!E25,CF.2!$M$123:$M$134)</f>
        <v>0</v>
      </c>
      <c r="S25" s="1535">
        <f t="shared" si="5"/>
        <v>0</v>
      </c>
      <c r="U25" s="1537">
        <f t="shared" si="6"/>
        <v>0</v>
      </c>
    </row>
    <row r="26" spans="3:23" ht="18" customHeight="1">
      <c r="C26" s="1364">
        <v>1</v>
      </c>
      <c r="D26" s="1532" t="s">
        <v>722</v>
      </c>
      <c r="E26" s="1506" t="s">
        <v>722</v>
      </c>
      <c r="F26" s="1533" t="s">
        <v>611</v>
      </c>
      <c r="G26" s="1506" t="s">
        <v>723</v>
      </c>
      <c r="H26" s="1833">
        <v>0</v>
      </c>
      <c r="I26" s="1834">
        <v>0</v>
      </c>
      <c r="J26" s="1834">
        <v>0</v>
      </c>
      <c r="K26" s="1834">
        <v>0</v>
      </c>
      <c r="L26" s="1535">
        <f t="shared" si="4"/>
        <v>0</v>
      </c>
      <c r="N26" s="1536">
        <f>SUMIF(CF.2!$H$5:$H$25,CF.1!E26,CF.2!$J$5:$J$25)-SUMIF(CF.2!$K$5:$K$25,CF.1!E26,CF.2!$M$5:$M$25)</f>
        <v>0</v>
      </c>
      <c r="O26" s="1534">
        <f>SUMIF(CF.2!$H$31:$H$60,CF.1!E26,CF.2!$J$31:$J$60)+SUMIF(CF.2!$K$31:$K$60,CF.1!E26,CF.2!$M$31:$M$60)</f>
        <v>0</v>
      </c>
      <c r="P26" s="1534">
        <f>SUMIF(CF.2!$H$65:$H$108,CF.1!E26,CF.2!$J$65:$J$108)+SUMIF(CF.2!$K$65:$K$108,CF.1!E26,CF.2!$M$65:$M$108)</f>
        <v>0</v>
      </c>
      <c r="Q26" s="1534">
        <f>SUMIF(CF.2!$H$112:$H$118,CF.1!E26,CF.2!$J$112:$J$118)+SUMIF(CF.2!$K$112:$K$118,CF.1!E26,CF.2!$M$112:$M$118)</f>
        <v>0</v>
      </c>
      <c r="R26" s="1534">
        <f>SUMIF(CF.2!$H$123:$H$134,CF.1!E26,CF.2!$J$123:$J$134)+SUMIF(CF.2!$K$123:$K$134,CF.1!E26,CF.2!$M$123:$M$134)</f>
        <v>0</v>
      </c>
      <c r="S26" s="1535">
        <f t="shared" si="5"/>
        <v>0</v>
      </c>
      <c r="U26" s="1537">
        <f t="shared" si="6"/>
        <v>0</v>
      </c>
    </row>
    <row r="27" spans="3:23" ht="18" customHeight="1">
      <c r="C27" s="1364">
        <v>1</v>
      </c>
      <c r="D27" s="1532" t="s">
        <v>724</v>
      </c>
      <c r="E27" s="1506" t="s">
        <v>724</v>
      </c>
      <c r="F27" s="1533" t="s">
        <v>611</v>
      </c>
      <c r="G27" s="1506" t="s">
        <v>725</v>
      </c>
      <c r="H27" s="1833">
        <v>0</v>
      </c>
      <c r="I27" s="1834">
        <v>0</v>
      </c>
      <c r="J27" s="1834">
        <v>0</v>
      </c>
      <c r="K27" s="1834">
        <v>0</v>
      </c>
      <c r="L27" s="1535">
        <f t="shared" si="4"/>
        <v>0</v>
      </c>
      <c r="N27" s="1536">
        <f>SUMIF(CF.2!$H$5:$H$25,CF.1!E27,CF.2!$J$5:$J$25)-SUMIF(CF.2!$K$5:$K$25,CF.1!E27,CF.2!$M$5:$M$25)</f>
        <v>0</v>
      </c>
      <c r="O27" s="1534">
        <f>SUMIF(CF.2!$H$31:$H$60,CF.1!E27,CF.2!$J$31:$J$60)+SUMIF(CF.2!$K$31:$K$60,CF.1!E27,CF.2!$M$31:$M$60)</f>
        <v>0</v>
      </c>
      <c r="P27" s="1534">
        <f>SUMIF(CF.2!$H$65:$H$108,CF.1!E27,CF.2!$J$65:$J$108)+SUMIF(CF.2!$K$65:$K$108,CF.1!E27,CF.2!$M$65:$M$108)</f>
        <v>0</v>
      </c>
      <c r="Q27" s="1534">
        <f>SUMIF(CF.2!$H$112:$H$118,CF.1!E27,CF.2!$J$112:$J$118)+SUMIF(CF.2!$K$112:$K$118,CF.1!E27,CF.2!$M$112:$M$118)</f>
        <v>0</v>
      </c>
      <c r="R27" s="1534">
        <f>SUMIF(CF.2!$H$123:$H$134,CF.1!E27,CF.2!$J$123:$J$134)+SUMIF(CF.2!$K$123:$K$134,CF.1!E27,CF.2!$M$123:$M$134)</f>
        <v>0</v>
      </c>
      <c r="S27" s="1535">
        <f t="shared" si="5"/>
        <v>0</v>
      </c>
      <c r="U27" s="1537">
        <f t="shared" si="6"/>
        <v>0</v>
      </c>
    </row>
    <row r="28" spans="3:23" ht="18" customHeight="1">
      <c r="C28" s="1364">
        <v>1</v>
      </c>
      <c r="D28" s="1532" t="s">
        <v>726</v>
      </c>
      <c r="E28" s="1506" t="s">
        <v>726</v>
      </c>
      <c r="F28" s="1533" t="s">
        <v>611</v>
      </c>
      <c r="G28" s="1506" t="s">
        <v>727</v>
      </c>
      <c r="H28" s="1833">
        <v>0</v>
      </c>
      <c r="I28" s="1834">
        <v>0</v>
      </c>
      <c r="J28" s="1834">
        <v>0</v>
      </c>
      <c r="K28" s="1834">
        <v>0</v>
      </c>
      <c r="L28" s="1535">
        <f t="shared" si="4"/>
        <v>0</v>
      </c>
      <c r="N28" s="1536">
        <f>SUMIF(CF.2!$H$5:$H$25,CF.1!E28,CF.2!$J$5:$J$25)-SUMIF(CF.2!$K$5:$K$25,CF.1!E28,CF.2!$M$5:$M$25)</f>
        <v>0</v>
      </c>
      <c r="O28" s="1534">
        <f>SUMIF(CF.2!$H$31:$H$60,CF.1!E28,CF.2!$J$31:$J$60)+SUMIF(CF.2!$K$31:$K$60,CF.1!E28,CF.2!$M$31:$M$60)</f>
        <v>0</v>
      </c>
      <c r="P28" s="1534">
        <f>SUMIF(CF.2!$H$65:$H$108,CF.1!E28,CF.2!$J$65:$J$108)+SUMIF(CF.2!$K$65:$K$108,CF.1!E28,CF.2!$M$65:$M$108)</f>
        <v>0</v>
      </c>
      <c r="Q28" s="1534">
        <f>SUMIF(CF.2!$H$112:$H$118,CF.1!E28,CF.2!$J$112:$J$118)+SUMIF(CF.2!$K$112:$K$118,CF.1!E28,CF.2!$M$112:$M$118)</f>
        <v>0</v>
      </c>
      <c r="R28" s="1534">
        <f>SUMIF(CF.2!$H$123:$H$134,CF.1!E28,CF.2!$J$123:$J$134)+SUMIF(CF.2!$K$123:$K$134,CF.1!E28,CF.2!$M$123:$M$134)</f>
        <v>0</v>
      </c>
      <c r="S28" s="1535">
        <f t="shared" si="5"/>
        <v>0</v>
      </c>
      <c r="U28" s="1537">
        <f t="shared" si="6"/>
        <v>0</v>
      </c>
    </row>
    <row r="29" spans="3:23" ht="18" customHeight="1">
      <c r="C29" s="1364">
        <v>1</v>
      </c>
      <c r="D29" s="1532" t="s">
        <v>728</v>
      </c>
      <c r="E29" s="1506" t="s">
        <v>728</v>
      </c>
      <c r="F29" s="1533" t="s">
        <v>611</v>
      </c>
      <c r="G29" s="1506" t="s">
        <v>729</v>
      </c>
      <c r="H29" s="1833">
        <v>0</v>
      </c>
      <c r="I29" s="1834">
        <v>0</v>
      </c>
      <c r="J29" s="1834">
        <v>0</v>
      </c>
      <c r="K29" s="1834">
        <v>0</v>
      </c>
      <c r="L29" s="1535">
        <f t="shared" si="4"/>
        <v>0</v>
      </c>
      <c r="N29" s="1536">
        <f>SUMIF(CF.2!$H$5:$H$25,CF.1!E29,CF.2!$J$5:$J$25)-SUMIF(CF.2!$K$5:$K$25,CF.1!E29,CF.2!$M$5:$M$25)</f>
        <v>0</v>
      </c>
      <c r="O29" s="1534">
        <f>SUMIF(CF.2!$H$31:$H$60,CF.1!E29,CF.2!$J$31:$J$60)+SUMIF(CF.2!$K$31:$K$60,CF.1!E29,CF.2!$M$31:$M$60)</f>
        <v>0</v>
      </c>
      <c r="P29" s="1534">
        <f>SUMIF(CF.2!$H$65:$H$108,CF.1!E29,CF.2!$J$65:$J$108)+SUMIF(CF.2!$K$65:$K$108,CF.1!E29,CF.2!$M$65:$M$108)</f>
        <v>0</v>
      </c>
      <c r="Q29" s="1534">
        <f>SUMIF(CF.2!$H$112:$H$118,CF.1!E29,CF.2!$J$112:$J$118)+SUMIF(CF.2!$K$112:$K$118,CF.1!E29,CF.2!$M$112:$M$118)</f>
        <v>0</v>
      </c>
      <c r="R29" s="1534">
        <f>SUMIF(CF.2!$H$123:$H$134,CF.1!E29,CF.2!$J$123:$J$134)+SUMIF(CF.2!$K$123:$K$134,CF.1!E29,CF.2!$M$123:$M$134)</f>
        <v>0</v>
      </c>
      <c r="S29" s="1535">
        <f t="shared" si="5"/>
        <v>0</v>
      </c>
      <c r="U29" s="1537">
        <f t="shared" si="6"/>
        <v>0</v>
      </c>
    </row>
    <row r="30" spans="3:23" ht="18" customHeight="1">
      <c r="C30" s="1364">
        <v>1</v>
      </c>
      <c r="D30" s="1532" t="s">
        <v>730</v>
      </c>
      <c r="E30" s="1506" t="s">
        <v>730</v>
      </c>
      <c r="F30" s="1533" t="s">
        <v>687</v>
      </c>
      <c r="G30" s="1506" t="s">
        <v>687</v>
      </c>
      <c r="H30" s="1833">
        <v>0</v>
      </c>
      <c r="I30" s="1834">
        <v>0</v>
      </c>
      <c r="J30" s="1834">
        <v>0</v>
      </c>
      <c r="K30" s="1834">
        <v>0</v>
      </c>
      <c r="L30" s="1535">
        <f t="shared" si="4"/>
        <v>0</v>
      </c>
      <c r="N30" s="1536">
        <f>SUMIF(CF.2!$H$5:$H$25,CF.1!E30,CF.2!$J$5:$J$25)-SUMIF(CF.2!$K$5:$K$25,CF.1!E30,CF.2!$M$5:$M$25)</f>
        <v>0</v>
      </c>
      <c r="O30" s="1534">
        <f>SUMIF(CF.2!$H$31:$H$60,CF.1!E30,CF.2!$J$31:$J$60)+SUMIF(CF.2!$K$31:$K$60,CF.1!E30,CF.2!$M$31:$M$60)</f>
        <v>0</v>
      </c>
      <c r="P30" s="1534">
        <f>SUMIF(CF.2!$H$65:$H$108,CF.1!E30,CF.2!$J$65:$J$108)+SUMIF(CF.2!$K$65:$K$108,CF.1!E30,CF.2!$M$65:$M$108)</f>
        <v>0</v>
      </c>
      <c r="Q30" s="1534">
        <f>SUMIF(CF.2!$H$112:$H$118,CF.1!E30,CF.2!$J$112:$J$118)+SUMIF(CF.2!$K$112:$K$118,CF.1!E30,CF.2!$M$112:$M$118)</f>
        <v>0</v>
      </c>
      <c r="R30" s="1534">
        <f>SUMIF(CF.2!$H$123:$H$134,CF.1!E30,CF.2!$J$123:$J$134)+SUMIF(CF.2!$K$123:$K$134,CF.1!E30,CF.2!$M$123:$M$134)</f>
        <v>0</v>
      </c>
      <c r="S30" s="1535">
        <f t="shared" si="5"/>
        <v>0</v>
      </c>
      <c r="U30" s="1537">
        <f t="shared" si="6"/>
        <v>0</v>
      </c>
    </row>
    <row r="31" spans="3:23" ht="18" customHeight="1">
      <c r="C31" s="1364">
        <v>1</v>
      </c>
      <c r="D31" s="1532" t="s">
        <v>731</v>
      </c>
      <c r="E31" s="1506" t="s">
        <v>731</v>
      </c>
      <c r="F31" s="1533" t="s">
        <v>732</v>
      </c>
      <c r="G31" s="1506" t="s">
        <v>732</v>
      </c>
      <c r="H31" s="1833">
        <v>62881122</v>
      </c>
      <c r="I31" s="1834">
        <v>0</v>
      </c>
      <c r="J31" s="1834">
        <v>0</v>
      </c>
      <c r="K31" s="1834">
        <v>0</v>
      </c>
      <c r="L31" s="1535">
        <f t="shared" si="4"/>
        <v>62881122</v>
      </c>
      <c r="N31" s="1536">
        <f>SUMIF(CF.2!$H$5:$H$25,CF.1!E31,CF.2!$J$5:$J$25)-SUMIF(CF.2!$K$5:$K$25,CF.1!E31,CF.2!$M$5:$M$25)</f>
        <v>0</v>
      </c>
      <c r="O31" s="1534">
        <f>SUMIF(CF.2!$H$31:$H$60,CF.1!E31,CF.2!$J$31:$J$60)+SUMIF(CF.2!$K$31:$K$60,CF.1!E31,CF.2!$M$31:$M$60)</f>
        <v>0</v>
      </c>
      <c r="P31" s="1534">
        <f>SUMIF(CF.2!$H$65:$H$108,CF.1!E31,CF.2!$J$65:$J$108)+SUMIF(CF.2!$K$65:$K$108,CF.1!E31,CF.2!$M$65:$M$108)</f>
        <v>0</v>
      </c>
      <c r="Q31" s="1534">
        <f>SUMIF(CF.2!$H$112:$H$118,CF.1!E31,CF.2!$J$112:$J$118)+SUMIF(CF.2!$K$112:$K$118,CF.1!E31,CF.2!$M$112:$M$118)</f>
        <v>0</v>
      </c>
      <c r="R31" s="1534">
        <f>SUMIF(CF.2!$H$123:$H$134,CF.1!E31,CF.2!$J$123:$J$134)+SUMIF(CF.2!$K$123:$K$134,CF.1!E31,CF.2!$M$123:$M$134)</f>
        <v>0</v>
      </c>
      <c r="S31" s="1535">
        <f t="shared" si="5"/>
        <v>0</v>
      </c>
      <c r="U31" s="1537">
        <f t="shared" si="6"/>
        <v>62881122</v>
      </c>
    </row>
    <row r="32" spans="3:23" ht="18" customHeight="1">
      <c r="C32" s="1364">
        <v>1</v>
      </c>
      <c r="D32" s="1532" t="s">
        <v>733</v>
      </c>
      <c r="E32" s="1506" t="s">
        <v>733</v>
      </c>
      <c r="F32" s="1533" t="s">
        <v>734</v>
      </c>
      <c r="G32" s="1506" t="s">
        <v>734</v>
      </c>
      <c r="H32" s="1833">
        <v>0</v>
      </c>
      <c r="I32" s="1834">
        <v>0</v>
      </c>
      <c r="J32" s="1834">
        <v>0</v>
      </c>
      <c r="K32" s="1834">
        <v>0</v>
      </c>
      <c r="L32" s="1535">
        <f t="shared" si="4"/>
        <v>0</v>
      </c>
      <c r="N32" s="1536">
        <f>SUMIF(CF.2!$H$5:$H$25,CF.1!E32,CF.2!$J$5:$J$25)-SUMIF(CF.2!$K$5:$K$25,CF.1!E32,CF.2!$M$5:$M$25)</f>
        <v>0</v>
      </c>
      <c r="O32" s="1534">
        <f>SUMIF(CF.2!$H$31:$H$60,CF.1!E32,CF.2!$J$31:$J$60)+SUMIF(CF.2!$K$31:$K$60,CF.1!E32,CF.2!$M$31:$M$60)</f>
        <v>0</v>
      </c>
      <c r="P32" s="1534">
        <f>SUMIF(CF.2!$H$65:$H$108,CF.1!E32,CF.2!$J$65:$J$108)+SUMIF(CF.2!$K$65:$K$108,CF.1!E32,CF.2!$M$65:$M$108)</f>
        <v>0</v>
      </c>
      <c r="Q32" s="1534">
        <f>SUMIF(CF.2!$H$112:$H$118,CF.1!E32,CF.2!$J$112:$J$118)+SUMIF(CF.2!$K$112:$K$118,CF.1!E32,CF.2!$M$112:$M$118)</f>
        <v>0</v>
      </c>
      <c r="R32" s="1534">
        <f>SUMIF(CF.2!$H$123:$H$134,CF.1!E32,CF.2!$J$123:$J$134)+SUMIF(CF.2!$K$123:$K$134,CF.1!E32,CF.2!$M$123:$M$134)</f>
        <v>216671</v>
      </c>
      <c r="S32" s="1535">
        <f t="shared" si="5"/>
        <v>216671</v>
      </c>
      <c r="U32" s="1537">
        <f t="shared" si="6"/>
        <v>216671</v>
      </c>
      <c r="W32" s="509" t="b">
        <f>T_IS!X110=CF.1!U32</f>
        <v>0</v>
      </c>
    </row>
    <row r="33" spans="3:23" ht="18" customHeight="1">
      <c r="C33" s="1364">
        <v>1</v>
      </c>
      <c r="D33" s="1532" t="s">
        <v>735</v>
      </c>
      <c r="E33" s="1506" t="s">
        <v>735</v>
      </c>
      <c r="F33" s="1533" t="s">
        <v>481</v>
      </c>
      <c r="G33" s="1506" t="s">
        <v>481</v>
      </c>
      <c r="H33" s="1833">
        <v>0</v>
      </c>
      <c r="I33" s="1834">
        <v>0</v>
      </c>
      <c r="J33" s="1834">
        <v>0</v>
      </c>
      <c r="K33" s="1834">
        <v>0</v>
      </c>
      <c r="L33" s="1535">
        <f t="shared" si="4"/>
        <v>0</v>
      </c>
      <c r="N33" s="1536">
        <f>SUMIF(CF.2!$H$5:$H$25,CF.1!E33,CF.2!$J$5:$J$25)-SUMIF(CF.2!$K$5:$K$25,CF.1!E33,CF.2!$M$5:$M$25)</f>
        <v>0</v>
      </c>
      <c r="O33" s="1534">
        <f>SUMIF(CF.2!$H$31:$H$60,CF.1!E33,CF.2!$J$31:$J$60)+SUMIF(CF.2!$K$31:$K$60,CF.1!E33,CF.2!$M$31:$M$60)</f>
        <v>0</v>
      </c>
      <c r="P33" s="1534">
        <f>SUMIF(CF.2!$H$65:$H$108,CF.1!E33,CF.2!$J$65:$J$108)+SUMIF(CF.2!$K$65:$K$108,CF.1!E33,CF.2!$M$65:$M$108)</f>
        <v>0</v>
      </c>
      <c r="Q33" s="1534">
        <f>SUMIF(CF.2!$H$112:$H$118,CF.1!E33,CF.2!$J$112:$J$118)+SUMIF(CF.2!$K$112:$K$118,CF.1!E33,CF.2!$M$112:$M$118)</f>
        <v>0</v>
      </c>
      <c r="R33" s="1534">
        <f>SUMIF(CF.2!$H$123:$H$134,CF.1!E33,CF.2!$J$123:$J$134)+SUMIF(CF.2!$K$123:$K$134,CF.1!E33,CF.2!$M$123:$M$134)</f>
        <v>0</v>
      </c>
      <c r="S33" s="1535">
        <f t="shared" si="5"/>
        <v>0</v>
      </c>
      <c r="U33" s="1537">
        <f t="shared" si="6"/>
        <v>0</v>
      </c>
    </row>
    <row r="34" spans="3:23" ht="18" customHeight="1">
      <c r="C34" s="1364">
        <v>1</v>
      </c>
      <c r="D34" s="1532" t="s">
        <v>736</v>
      </c>
      <c r="E34" s="1506" t="s">
        <v>736</v>
      </c>
      <c r="F34" s="1533" t="s">
        <v>686</v>
      </c>
      <c r="G34" s="1506" t="s">
        <v>686</v>
      </c>
      <c r="H34" s="1833">
        <v>242686686</v>
      </c>
      <c r="I34" s="1834">
        <v>0</v>
      </c>
      <c r="J34" s="1834">
        <v>0</v>
      </c>
      <c r="K34" s="1834">
        <v>0</v>
      </c>
      <c r="L34" s="1535">
        <f t="shared" si="4"/>
        <v>242686686</v>
      </c>
      <c r="N34" s="1536">
        <f>SUMIF(CF.2!$H$5:$H$25,CF.1!E34,CF.2!$J$5:$J$25)-SUMIF(CF.2!$K$5:$K$25,CF.1!E34,CF.2!$M$5:$M$25)</f>
        <v>0</v>
      </c>
      <c r="O34" s="1534">
        <f>SUMIF(CF.2!$H$31:$H$60,CF.1!E34,CF.2!$J$31:$J$60)+SUMIF(CF.2!$K$31:$K$60,CF.1!E34,CF.2!$M$31:$M$60)</f>
        <v>0</v>
      </c>
      <c r="P34" s="1534">
        <f>SUMIF(CF.2!$H$65:$H$108,CF.1!E34,CF.2!$J$65:$J$108)+SUMIF(CF.2!$K$65:$K$108,CF.1!E34,CF.2!$M$65:$M$108)</f>
        <v>0</v>
      </c>
      <c r="Q34" s="1534">
        <f>SUMIF(CF.2!$H$112:$H$118,CF.1!E34,CF.2!$J$112:$J$118)+SUMIF(CF.2!$K$112:$K$118,CF.1!E34,CF.2!$M$112:$M$118)</f>
        <v>0</v>
      </c>
      <c r="R34" s="1534">
        <f>SUMIF(CF.2!$H$123:$H$134,CF.1!E34,CF.2!$J$123:$J$134)+SUMIF(CF.2!$K$123:$K$134,CF.1!E34,CF.2!$M$123:$M$134)</f>
        <v>0</v>
      </c>
      <c r="S34" s="1535">
        <f t="shared" si="5"/>
        <v>0</v>
      </c>
      <c r="U34" s="1537">
        <f t="shared" si="6"/>
        <v>242686686</v>
      </c>
      <c r="W34" s="1364" t="b">
        <f>U34=T_IS!X108</f>
        <v>1</v>
      </c>
    </row>
    <row r="35" spans="3:23" ht="18" customHeight="1">
      <c r="C35" s="1364">
        <v>1</v>
      </c>
      <c r="D35" s="1532" t="s">
        <v>737</v>
      </c>
      <c r="E35" s="1506" t="s">
        <v>737</v>
      </c>
      <c r="F35" s="1533" t="s">
        <v>2054</v>
      </c>
      <c r="G35" s="1506" t="s">
        <v>738</v>
      </c>
      <c r="H35" s="1833">
        <v>150801848</v>
      </c>
      <c r="I35" s="1834">
        <v>0</v>
      </c>
      <c r="J35" s="1834">
        <v>0</v>
      </c>
      <c r="K35" s="1834">
        <v>0</v>
      </c>
      <c r="L35" s="1535">
        <f t="shared" si="4"/>
        <v>150801848</v>
      </c>
      <c r="N35" s="1536">
        <f>SUMIF(CF.2!$H$5:$H$25,CF.1!E35,CF.2!$J$5:$J$25)-SUMIF(CF.2!$K$5:$K$25,CF.1!E35,CF.2!$M$5:$M$25)</f>
        <v>0</v>
      </c>
      <c r="O35" s="1534">
        <f>SUMIF(CF.2!$H$31:$H$60,CF.1!E35,CF.2!$J$31:$J$60)+SUMIF(CF.2!$K$31:$K$60,CF.1!E35,CF.2!$M$31:$M$60)</f>
        <v>0</v>
      </c>
      <c r="P35" s="1534">
        <f>SUMIF(CF.2!$H$65:$H$108,CF.1!E35,CF.2!$J$65:$J$108)+SUMIF(CF.2!$K$65:$K$108,CF.1!E35,CF.2!$M$65:$M$108)</f>
        <v>0</v>
      </c>
      <c r="Q35" s="1534">
        <f>SUMIF(CF.2!$H$112:$H$118,CF.1!E35,CF.2!$J$112:$J$118)+SUMIF(CF.2!$K$112:$K$118,CF.1!E35,CF.2!$M$112:$M$118)</f>
        <v>0</v>
      </c>
      <c r="R35" s="1534">
        <f>SUMIF(CF.2!$H$123:$H$134,CF.1!E35,CF.2!$J$123:$J$134)+SUMIF(CF.2!$K$123:$K$134,CF.1!E35,CF.2!$M$123:$M$134)</f>
        <v>0</v>
      </c>
      <c r="S35" s="1535">
        <f t="shared" si="5"/>
        <v>0</v>
      </c>
      <c r="U35" s="1537">
        <f t="shared" si="6"/>
        <v>150801848</v>
      </c>
    </row>
    <row r="36" spans="3:23" ht="18" customHeight="1">
      <c r="C36" s="1364">
        <v>1</v>
      </c>
      <c r="D36" s="1532" t="s">
        <v>739</v>
      </c>
      <c r="E36" s="1506" t="s">
        <v>739</v>
      </c>
      <c r="F36" s="1533" t="s">
        <v>611</v>
      </c>
      <c r="G36" s="1506" t="s">
        <v>740</v>
      </c>
      <c r="H36" s="1833">
        <v>0</v>
      </c>
      <c r="I36" s="1834">
        <v>0</v>
      </c>
      <c r="J36" s="1834">
        <v>0</v>
      </c>
      <c r="K36" s="1834">
        <v>0</v>
      </c>
      <c r="L36" s="1535">
        <f t="shared" si="4"/>
        <v>0</v>
      </c>
      <c r="N36" s="1536">
        <f>SUMIF(CF.2!$H$5:$H$25,CF.1!E36,CF.2!$J$5:$J$25)-SUMIF(CF.2!$K$5:$K$25,CF.1!E36,CF.2!$M$5:$M$25)</f>
        <v>0</v>
      </c>
      <c r="O36" s="1534">
        <f>SUMIF(CF.2!$H$31:$H$60,CF.1!E36,CF.2!$J$31:$J$60)+SUMIF(CF.2!$K$31:$K$60,CF.1!E36,CF.2!$M$31:$M$60)</f>
        <v>0</v>
      </c>
      <c r="P36" s="1534">
        <f>SUMIF(CF.2!$H$65:$H$108,CF.1!E36,CF.2!$J$65:$J$108)+SUMIF(CF.2!$K$65:$K$108,CF.1!E36,CF.2!$M$65:$M$108)</f>
        <v>0</v>
      </c>
      <c r="Q36" s="1534">
        <f>SUMIF(CF.2!$H$112:$H$118,CF.1!E36,CF.2!$J$112:$J$118)+SUMIF(CF.2!$K$112:$K$118,CF.1!E36,CF.2!$M$112:$M$118)</f>
        <v>0</v>
      </c>
      <c r="R36" s="1534">
        <f>SUMIF(CF.2!$H$123:$H$134,CF.1!E36,CF.2!$J$123:$J$134)+SUMIF(CF.2!$K$123:$K$134,CF.1!E36,CF.2!$M$123:$M$134)</f>
        <v>0</v>
      </c>
      <c r="S36" s="1535">
        <f t="shared" si="5"/>
        <v>0</v>
      </c>
      <c r="U36" s="1537">
        <f t="shared" si="6"/>
        <v>0</v>
      </c>
    </row>
    <row r="37" spans="3:23" ht="18" customHeight="1">
      <c r="C37" s="1364">
        <v>1</v>
      </c>
      <c r="D37" s="1532" t="s">
        <v>741</v>
      </c>
      <c r="E37" s="1506" t="s">
        <v>741</v>
      </c>
      <c r="F37" s="1533" t="s">
        <v>611</v>
      </c>
      <c r="G37" s="1506" t="s">
        <v>742</v>
      </c>
      <c r="H37" s="1833">
        <v>0</v>
      </c>
      <c r="I37" s="1834">
        <v>0</v>
      </c>
      <c r="J37" s="1834">
        <v>0</v>
      </c>
      <c r="K37" s="1834">
        <v>0</v>
      </c>
      <c r="L37" s="1535">
        <f t="shared" si="4"/>
        <v>0</v>
      </c>
      <c r="N37" s="1536">
        <f>SUMIF(CF.2!$H$5:$H$25,CF.1!E37,CF.2!$J$5:$J$25)-SUMIF(CF.2!$K$5:$K$25,CF.1!E37,CF.2!$M$5:$M$25)</f>
        <v>0</v>
      </c>
      <c r="O37" s="1534">
        <f>SUMIF(CF.2!$H$31:$H$60,CF.1!E37,CF.2!$J$31:$J$60)+SUMIF(CF.2!$K$31:$K$60,CF.1!E37,CF.2!$M$31:$M$60)</f>
        <v>0</v>
      </c>
      <c r="P37" s="1534">
        <f>SUMIF(CF.2!$H$65:$H$108,CF.1!E37,CF.2!$J$65:$J$108)+SUMIF(CF.2!$K$65:$K$108,CF.1!E37,CF.2!$M$65:$M$108)</f>
        <v>0</v>
      </c>
      <c r="Q37" s="1534">
        <f>SUMIF(CF.2!$H$112:$H$118,CF.1!E37,CF.2!$J$112:$J$118)+SUMIF(CF.2!$K$112:$K$118,CF.1!E37,CF.2!$M$112:$M$118)</f>
        <v>0</v>
      </c>
      <c r="R37" s="1534">
        <f>SUMIF(CF.2!$H$123:$H$134,CF.1!E37,CF.2!$J$123:$J$134)+SUMIF(CF.2!$K$123:$K$134,CF.1!E37,CF.2!$M$123:$M$134)</f>
        <v>0</v>
      </c>
      <c r="S37" s="1535">
        <f t="shared" si="5"/>
        <v>0</v>
      </c>
      <c r="U37" s="1537">
        <f t="shared" si="6"/>
        <v>0</v>
      </c>
    </row>
    <row r="38" spans="3:23" ht="18" customHeight="1">
      <c r="C38" s="1364">
        <v>1</v>
      </c>
      <c r="D38" s="1538" t="s">
        <v>743</v>
      </c>
      <c r="E38" s="1276" t="s">
        <v>743</v>
      </c>
      <c r="F38" s="1539" t="s">
        <v>1951</v>
      </c>
      <c r="G38" s="1276" t="s">
        <v>744</v>
      </c>
      <c r="H38" s="1832">
        <v>0</v>
      </c>
      <c r="I38" s="1835">
        <v>0</v>
      </c>
      <c r="J38" s="1835">
        <v>0</v>
      </c>
      <c r="K38" s="1835">
        <v>418674455</v>
      </c>
      <c r="L38" s="1541">
        <f t="shared" si="4"/>
        <v>418674455</v>
      </c>
      <c r="M38" s="1089"/>
      <c r="N38" s="1536">
        <f>SUMIF(CF.2!$H$5:$H$25,CF.1!E38,CF.2!$J$5:$J$25)-SUMIF(CF.2!$K$5:$K$25,CF.1!E38,CF.2!$M$5:$M$25)</f>
        <v>0</v>
      </c>
      <c r="O38" s="1534">
        <f>SUMIF(CF.2!$H$31:$H$60,CF.1!E38,CF.2!$J$31:$J$60)+SUMIF(CF.2!$K$31:$K$60,CF.1!E38,CF.2!$M$31:$M$60)</f>
        <v>0</v>
      </c>
      <c r="P38" s="1534">
        <f>SUMIF(CF.2!$H$65:$H$108,CF.1!E38,CF.2!$J$65:$J$108)+SUMIF(CF.2!$K$65:$K$108,CF.1!E38,CF.2!$M$65:$M$108)</f>
        <v>0</v>
      </c>
      <c r="Q38" s="1534">
        <f>SUMIF(CF.2!$H$112:$H$118,CF.1!E38,CF.2!$J$112:$J$118)+SUMIF(CF.2!$K$112:$K$118,CF.1!E38,CF.2!$M$112:$M$118)</f>
        <v>0</v>
      </c>
      <c r="R38" s="1534">
        <f>SUMIF(CF.2!$H$123:$H$134,CF.1!E38,CF.2!$J$123:$J$134)+SUMIF(CF.2!$K$123:$K$134,CF.1!E38,CF.2!$M$123:$M$134)</f>
        <v>0</v>
      </c>
      <c r="S38" s="1535">
        <f t="shared" si="5"/>
        <v>0</v>
      </c>
      <c r="T38" s="1089"/>
      <c r="U38" s="1542">
        <f t="shared" si="6"/>
        <v>418674455</v>
      </c>
      <c r="W38" s="1364" t="s">
        <v>2503</v>
      </c>
    </row>
    <row r="39" spans="3:23" ht="18" customHeight="1">
      <c r="C39" s="1364">
        <v>1</v>
      </c>
      <c r="D39" s="1532" t="s">
        <v>745</v>
      </c>
      <c r="E39" s="1506" t="s">
        <v>745</v>
      </c>
      <c r="F39" s="1533" t="s">
        <v>611</v>
      </c>
      <c r="G39" s="1506" t="s">
        <v>746</v>
      </c>
      <c r="H39" s="1833">
        <v>0</v>
      </c>
      <c r="I39" s="1834">
        <v>0</v>
      </c>
      <c r="J39" s="1834">
        <v>0</v>
      </c>
      <c r="K39" s="1834">
        <v>0</v>
      </c>
      <c r="L39" s="1535">
        <f t="shared" si="4"/>
        <v>0</v>
      </c>
      <c r="N39" s="1536">
        <f>SUMIF(CF.2!$H$5:$H$25,CF.1!E39,CF.2!$J$5:$J$25)-SUMIF(CF.2!$K$5:$K$25,CF.1!E39,CF.2!$M$5:$M$25)</f>
        <v>0</v>
      </c>
      <c r="O39" s="1534">
        <f>SUMIF(CF.2!$H$31:$H$60,CF.1!E39,CF.2!$J$31:$J$60)+SUMIF(CF.2!$K$31:$K$60,CF.1!E39,CF.2!$M$31:$M$60)</f>
        <v>0</v>
      </c>
      <c r="P39" s="1534">
        <f>SUMIF(CF.2!$H$65:$H$108,CF.1!E39,CF.2!$J$65:$J$108)+SUMIF(CF.2!$K$65:$K$108,CF.1!E39,CF.2!$M$65:$M$108)</f>
        <v>0</v>
      </c>
      <c r="Q39" s="1534">
        <f>SUMIF(CF.2!$H$112:$H$118,CF.1!E39,CF.2!$J$112:$J$118)+SUMIF(CF.2!$K$112:$K$118,CF.1!E39,CF.2!$M$112:$M$118)</f>
        <v>0</v>
      </c>
      <c r="R39" s="1534">
        <f>SUMIF(CF.2!$H$123:$H$134,CF.1!E39,CF.2!$J$123:$J$134)+SUMIF(CF.2!$K$123:$K$134,CF.1!E39,CF.2!$M$123:$M$134)</f>
        <v>0</v>
      </c>
      <c r="S39" s="1535">
        <f t="shared" si="5"/>
        <v>0</v>
      </c>
      <c r="U39" s="1537">
        <f t="shared" si="6"/>
        <v>0</v>
      </c>
    </row>
    <row r="40" spans="3:23" ht="18" customHeight="1">
      <c r="C40" s="1364">
        <v>1</v>
      </c>
      <c r="D40" s="1532" t="s">
        <v>747</v>
      </c>
      <c r="E40" s="1506" t="s">
        <v>747</v>
      </c>
      <c r="F40" s="1533" t="s">
        <v>611</v>
      </c>
      <c r="G40" s="1506" t="s">
        <v>748</v>
      </c>
      <c r="H40" s="1833">
        <v>0</v>
      </c>
      <c r="I40" s="1834">
        <v>0</v>
      </c>
      <c r="J40" s="1834">
        <v>0</v>
      </c>
      <c r="K40" s="1834">
        <v>0</v>
      </c>
      <c r="L40" s="1535">
        <f t="shared" si="4"/>
        <v>0</v>
      </c>
      <c r="N40" s="1536">
        <f>SUMIF(CF.2!$H$5:$H$25,CF.1!E40,CF.2!$J$5:$J$25)-SUMIF(CF.2!$K$5:$K$25,CF.1!E40,CF.2!$M$5:$M$25)</f>
        <v>0</v>
      </c>
      <c r="O40" s="1534">
        <f>SUMIF(CF.2!$H$31:$H$60,CF.1!E40,CF.2!$J$31:$J$60)+SUMIF(CF.2!$K$31:$K$60,CF.1!E40,CF.2!$M$31:$M$60)</f>
        <v>0</v>
      </c>
      <c r="P40" s="1534">
        <f>SUMIF(CF.2!$H$65:$H$108,CF.1!E40,CF.2!$J$65:$J$108)+SUMIF(CF.2!$K$65:$K$108,CF.1!E40,CF.2!$M$65:$M$108)</f>
        <v>0</v>
      </c>
      <c r="Q40" s="1534">
        <f>SUMIF(CF.2!$H$112:$H$118,CF.1!E40,CF.2!$J$112:$J$118)+SUMIF(CF.2!$K$112:$K$118,CF.1!E40,CF.2!$M$112:$M$118)</f>
        <v>0</v>
      </c>
      <c r="R40" s="1534">
        <f>SUMIF(CF.2!$H$123:$H$134,CF.1!E40,CF.2!$J$123:$J$134)+SUMIF(CF.2!$K$123:$K$134,CF.1!E40,CF.2!$M$123:$M$134)</f>
        <v>0</v>
      </c>
      <c r="S40" s="1535">
        <f t="shared" si="5"/>
        <v>0</v>
      </c>
      <c r="U40" s="1537">
        <f t="shared" si="6"/>
        <v>0</v>
      </c>
    </row>
    <row r="41" spans="3:23" ht="18" customHeight="1">
      <c r="C41" s="1364">
        <v>1</v>
      </c>
      <c r="D41" s="1532" t="s">
        <v>749</v>
      </c>
      <c r="E41" s="1506" t="s">
        <v>749</v>
      </c>
      <c r="F41" s="1533" t="s">
        <v>611</v>
      </c>
      <c r="G41" s="1506" t="s">
        <v>750</v>
      </c>
      <c r="H41" s="1833">
        <v>0</v>
      </c>
      <c r="I41" s="1834">
        <v>0</v>
      </c>
      <c r="J41" s="1834">
        <v>0</v>
      </c>
      <c r="K41" s="1834">
        <v>0</v>
      </c>
      <c r="L41" s="1535">
        <f t="shared" si="4"/>
        <v>0</v>
      </c>
      <c r="N41" s="1536">
        <f>SUMIF(CF.2!$H$5:$H$25,CF.1!E41,CF.2!$J$5:$J$25)-SUMIF(CF.2!$K$5:$K$25,CF.1!E41,CF.2!$M$5:$M$25)</f>
        <v>0</v>
      </c>
      <c r="O41" s="1534">
        <f>SUMIF(CF.2!$H$31:$H$60,CF.1!E41,CF.2!$J$31:$J$60)+SUMIF(CF.2!$K$31:$K$60,CF.1!E41,CF.2!$M$31:$M$60)</f>
        <v>0</v>
      </c>
      <c r="P41" s="1534">
        <f>SUMIF(CF.2!$H$65:$H$108,CF.1!E41,CF.2!$J$65:$J$108)+SUMIF(CF.2!$K$65:$K$108,CF.1!E41,CF.2!$M$65:$M$108)</f>
        <v>0</v>
      </c>
      <c r="Q41" s="1534">
        <f>SUMIF(CF.2!$H$112:$H$118,CF.1!E41,CF.2!$J$112:$J$118)+SUMIF(CF.2!$K$112:$K$118,CF.1!E41,CF.2!$M$112:$M$118)</f>
        <v>0</v>
      </c>
      <c r="R41" s="1534">
        <f>SUMIF(CF.2!$H$123:$H$134,CF.1!E41,CF.2!$J$123:$J$134)+SUMIF(CF.2!$K$123:$K$134,CF.1!E41,CF.2!$M$123:$M$134)</f>
        <v>0</v>
      </c>
      <c r="S41" s="1535">
        <f t="shared" si="5"/>
        <v>0</v>
      </c>
      <c r="U41" s="1537">
        <f t="shared" si="6"/>
        <v>0</v>
      </c>
    </row>
    <row r="42" spans="3:23" ht="18" customHeight="1">
      <c r="C42" s="1364">
        <v>1</v>
      </c>
      <c r="D42" s="1532" t="s">
        <v>751</v>
      </c>
      <c r="E42" s="1506" t="s">
        <v>751</v>
      </c>
      <c r="F42" s="1533" t="s">
        <v>611</v>
      </c>
      <c r="G42" s="1506" t="s">
        <v>752</v>
      </c>
      <c r="H42" s="1833">
        <v>0</v>
      </c>
      <c r="I42" s="1834">
        <v>0</v>
      </c>
      <c r="J42" s="1834">
        <v>0</v>
      </c>
      <c r="K42" s="1834">
        <v>0</v>
      </c>
      <c r="L42" s="1535">
        <f t="shared" si="4"/>
        <v>0</v>
      </c>
      <c r="N42" s="1536">
        <f>SUMIF(CF.2!$H$5:$H$25,CF.1!E42,CF.2!$J$5:$J$25)-SUMIF(CF.2!$K$5:$K$25,CF.1!E42,CF.2!$M$5:$M$25)</f>
        <v>0</v>
      </c>
      <c r="O42" s="1534">
        <f>SUMIF(CF.2!$H$31:$H$60,CF.1!E42,CF.2!$J$31:$J$60)+SUMIF(CF.2!$K$31:$K$60,CF.1!E42,CF.2!$M$31:$M$60)</f>
        <v>0</v>
      </c>
      <c r="P42" s="1534">
        <f>SUMIF(CF.2!$H$65:$H$108,CF.1!E42,CF.2!$J$65:$J$108)+SUMIF(CF.2!$K$65:$K$108,CF.1!E42,CF.2!$M$65:$M$108)</f>
        <v>0</v>
      </c>
      <c r="Q42" s="1534">
        <f>SUMIF(CF.2!$H$112:$H$118,CF.1!E42,CF.2!$J$112:$J$118)+SUMIF(CF.2!$K$112:$K$118,CF.1!E42,CF.2!$M$112:$M$118)</f>
        <v>0</v>
      </c>
      <c r="R42" s="1534">
        <f>SUMIF(CF.2!$H$123:$H$134,CF.1!E42,CF.2!$J$123:$J$134)+SUMIF(CF.2!$K$123:$K$134,CF.1!E42,CF.2!$M$123:$M$134)</f>
        <v>0</v>
      </c>
      <c r="S42" s="1535">
        <f t="shared" si="5"/>
        <v>0</v>
      </c>
      <c r="U42" s="1537">
        <f t="shared" si="6"/>
        <v>0</v>
      </c>
    </row>
    <row r="43" spans="3:23" ht="18" customHeight="1">
      <c r="C43" s="1364">
        <v>1</v>
      </c>
      <c r="D43" s="1532" t="s">
        <v>753</v>
      </c>
      <c r="E43" s="1506" t="s">
        <v>753</v>
      </c>
      <c r="F43" s="1533" t="s">
        <v>611</v>
      </c>
      <c r="G43" s="1506" t="s">
        <v>754</v>
      </c>
      <c r="H43" s="1833">
        <v>0</v>
      </c>
      <c r="I43" s="1834">
        <v>0</v>
      </c>
      <c r="J43" s="1834">
        <v>0</v>
      </c>
      <c r="K43" s="1834">
        <v>0</v>
      </c>
      <c r="L43" s="1535">
        <f t="shared" ref="L43:L74" si="7">SUM(H43:K43)</f>
        <v>0</v>
      </c>
      <c r="N43" s="1536">
        <f>SUMIF(CF.2!$H$5:$H$25,CF.1!E43,CF.2!$J$5:$J$25)-SUMIF(CF.2!$K$5:$K$25,CF.1!E43,CF.2!$M$5:$M$25)</f>
        <v>0</v>
      </c>
      <c r="O43" s="1534">
        <f>SUMIF(CF.2!$H$31:$H$60,CF.1!E43,CF.2!$J$31:$J$60)+SUMIF(CF.2!$K$31:$K$60,CF.1!E43,CF.2!$M$31:$M$60)</f>
        <v>0</v>
      </c>
      <c r="P43" s="1534">
        <f>SUMIF(CF.2!$H$65:$H$108,CF.1!E43,CF.2!$J$65:$J$108)+SUMIF(CF.2!$K$65:$K$108,CF.1!E43,CF.2!$M$65:$M$108)</f>
        <v>0</v>
      </c>
      <c r="Q43" s="1534">
        <f>SUMIF(CF.2!$H$112:$H$118,CF.1!E43,CF.2!$J$112:$J$118)+SUMIF(CF.2!$K$112:$K$118,CF.1!E43,CF.2!$M$112:$M$118)</f>
        <v>0</v>
      </c>
      <c r="R43" s="1534">
        <f>SUMIF(CF.2!$H$123:$H$134,CF.1!E43,CF.2!$J$123:$J$134)+SUMIF(CF.2!$K$123:$K$134,CF.1!E43,CF.2!$M$123:$M$134)</f>
        <v>0</v>
      </c>
      <c r="S43" s="1535">
        <f t="shared" ref="S43:S74" si="8">SUM(N43:R43)</f>
        <v>0</v>
      </c>
      <c r="U43" s="1537">
        <f t="shared" ref="U43:U74" si="9">ROUND(S43+L43,0)</f>
        <v>0</v>
      </c>
    </row>
    <row r="44" spans="3:23" ht="18" customHeight="1">
      <c r="C44" s="1364">
        <v>1</v>
      </c>
      <c r="D44" s="1532" t="s">
        <v>755</v>
      </c>
      <c r="E44" s="1506" t="s">
        <v>755</v>
      </c>
      <c r="F44" s="1533" t="s">
        <v>611</v>
      </c>
      <c r="G44" s="1506" t="s">
        <v>756</v>
      </c>
      <c r="H44" s="1833">
        <v>0</v>
      </c>
      <c r="I44" s="1834">
        <v>0</v>
      </c>
      <c r="J44" s="1834">
        <v>0</v>
      </c>
      <c r="K44" s="1834">
        <v>0</v>
      </c>
      <c r="L44" s="1535">
        <f t="shared" si="7"/>
        <v>0</v>
      </c>
      <c r="N44" s="1536">
        <f>SUMIF(CF.2!$H$5:$H$25,CF.1!E44,CF.2!$J$5:$J$25)-SUMIF(CF.2!$K$5:$K$25,CF.1!E44,CF.2!$M$5:$M$25)</f>
        <v>0</v>
      </c>
      <c r="O44" s="1534">
        <f>SUMIF(CF.2!$H$31:$H$60,CF.1!E44,CF.2!$J$31:$J$60)+SUMIF(CF.2!$K$31:$K$60,CF.1!E44,CF.2!$M$31:$M$60)</f>
        <v>0</v>
      </c>
      <c r="P44" s="1534">
        <f>SUMIF(CF.2!$H$65:$H$108,CF.1!E44,CF.2!$J$65:$J$108)+SUMIF(CF.2!$K$65:$K$108,CF.1!E44,CF.2!$M$65:$M$108)</f>
        <v>0</v>
      </c>
      <c r="Q44" s="1534">
        <f>SUMIF(CF.2!$H$112:$H$118,CF.1!E44,CF.2!$J$112:$J$118)+SUMIF(CF.2!$K$112:$K$118,CF.1!E44,CF.2!$M$112:$M$118)</f>
        <v>0</v>
      </c>
      <c r="R44" s="1534">
        <f>SUMIF(CF.2!$H$123:$H$134,CF.1!E44,CF.2!$J$123:$J$134)+SUMIF(CF.2!$K$123:$K$134,CF.1!E44,CF.2!$M$123:$M$134)</f>
        <v>0</v>
      </c>
      <c r="S44" s="1535">
        <f t="shared" si="8"/>
        <v>0</v>
      </c>
      <c r="U44" s="1537">
        <f t="shared" si="9"/>
        <v>0</v>
      </c>
    </row>
    <row r="45" spans="3:23" ht="18" customHeight="1">
      <c r="C45" s="1364">
        <v>1</v>
      </c>
      <c r="D45" s="1538" t="s">
        <v>757</v>
      </c>
      <c r="E45" s="1276" t="s">
        <v>757</v>
      </c>
      <c r="F45" s="1539" t="s">
        <v>758</v>
      </c>
      <c r="G45" s="1276" t="s">
        <v>758</v>
      </c>
      <c r="H45" s="1832">
        <v>-56133700</v>
      </c>
      <c r="I45" s="1835">
        <v>0</v>
      </c>
      <c r="J45" s="1835">
        <v>0</v>
      </c>
      <c r="K45" s="1835">
        <v>0</v>
      </c>
      <c r="L45" s="1541">
        <f t="shared" si="7"/>
        <v>-56133700</v>
      </c>
      <c r="M45" s="1089"/>
      <c r="N45" s="1536">
        <f>SUMIF(CF.2!$H$5:$H$25,CF.1!E45,CF.2!$J$5:$J$25)-SUMIF(CF.2!$K$5:$K$25,CF.1!E45,CF.2!$M$5:$M$25)</f>
        <v>0</v>
      </c>
      <c r="O45" s="1534">
        <f>SUMIF(CF.2!$H$31:$H$60,CF.1!E45,CF.2!$J$31:$J$60)+SUMIF(CF.2!$K$31:$K$60,CF.1!E45,CF.2!$M$31:$M$60)</f>
        <v>0</v>
      </c>
      <c r="P45" s="1534">
        <f>SUMIF(CF.2!$H$65:$H$108,CF.1!E45,CF.2!$J$65:$J$108)+SUMIF(CF.2!$K$65:$K$108,CF.1!E45,CF.2!$M$65:$M$108)</f>
        <v>0</v>
      </c>
      <c r="Q45" s="1534">
        <f>SUMIF(CF.2!$H$112:$H$118,CF.1!E45,CF.2!$J$112:$J$118)+SUMIF(CF.2!$K$112:$K$118,CF.1!E45,CF.2!$M$112:$M$118)</f>
        <v>0</v>
      </c>
      <c r="R45" s="1534">
        <f>SUMIF(CF.2!$H$123:$H$134,CF.1!E45,CF.2!$J$123:$J$134)+SUMIF(CF.2!$K$123:$K$134,CF.1!E45,CF.2!$M$123:$M$134)</f>
        <v>0</v>
      </c>
      <c r="S45" s="1535">
        <f t="shared" si="8"/>
        <v>0</v>
      </c>
      <c r="T45" s="1089"/>
      <c r="U45" s="1542">
        <f t="shared" si="9"/>
        <v>-56133700</v>
      </c>
    </row>
    <row r="46" spans="3:23" ht="18" customHeight="1">
      <c r="C46" s="1364">
        <v>1</v>
      </c>
      <c r="D46" s="1532" t="s">
        <v>759</v>
      </c>
      <c r="E46" s="1506" t="s">
        <v>759</v>
      </c>
      <c r="F46" s="1533"/>
      <c r="G46" s="1506" t="s">
        <v>760</v>
      </c>
      <c r="H46" s="1833">
        <v>0</v>
      </c>
      <c r="I46" s="1834">
        <v>0</v>
      </c>
      <c r="J46" s="1834">
        <v>0</v>
      </c>
      <c r="K46" s="1834">
        <v>0</v>
      </c>
      <c r="L46" s="1535">
        <f t="shared" si="7"/>
        <v>0</v>
      </c>
      <c r="N46" s="1536">
        <f>SUMIF(CF.2!$H$5:$H$25,CF.1!E46,CF.2!$J$5:$J$25)-SUMIF(CF.2!$K$5:$K$25,CF.1!E46,CF.2!$M$5:$M$25)</f>
        <v>0</v>
      </c>
      <c r="O46" s="1534">
        <f>SUMIF(CF.2!$H$31:$H$60,CF.1!E46,CF.2!$J$31:$J$60)+SUMIF(CF.2!$K$31:$K$60,CF.1!E46,CF.2!$M$31:$M$60)</f>
        <v>0</v>
      </c>
      <c r="P46" s="1534">
        <f>SUMIF(CF.2!$H$65:$H$108,CF.1!E46,CF.2!$J$65:$J$108)+SUMIF(CF.2!$K$65:$K$108,CF.1!E46,CF.2!$M$65:$M$108)</f>
        <v>0</v>
      </c>
      <c r="Q46" s="1534">
        <f>SUMIF(CF.2!$H$112:$H$118,CF.1!E46,CF.2!$J$112:$J$118)+SUMIF(CF.2!$K$112:$K$118,CF.1!E46,CF.2!$M$112:$M$118)</f>
        <v>0</v>
      </c>
      <c r="R46" s="1534">
        <f>SUMIF(CF.2!$H$123:$H$134,CF.1!E46,CF.2!$J$123:$J$134)+SUMIF(CF.2!$K$123:$K$134,CF.1!E46,CF.2!$M$123:$M$134)</f>
        <v>0</v>
      </c>
      <c r="S46" s="1535">
        <f t="shared" si="8"/>
        <v>0</v>
      </c>
      <c r="U46" s="1537">
        <f t="shared" si="9"/>
        <v>0</v>
      </c>
    </row>
    <row r="47" spans="3:23" ht="18" customHeight="1">
      <c r="C47" s="1364">
        <v>1</v>
      </c>
      <c r="D47" s="1538" t="s">
        <v>761</v>
      </c>
      <c r="E47" s="1276" t="s">
        <v>761</v>
      </c>
      <c r="F47" s="1539" t="s">
        <v>1768</v>
      </c>
      <c r="G47" s="1276" t="s">
        <v>762</v>
      </c>
      <c r="H47" s="1832">
        <v>0</v>
      </c>
      <c r="I47" s="1835">
        <v>0</v>
      </c>
      <c r="J47" s="1835">
        <v>0</v>
      </c>
      <c r="K47" s="1835">
        <v>0</v>
      </c>
      <c r="L47" s="1541">
        <f t="shared" si="7"/>
        <v>0</v>
      </c>
      <c r="M47" s="1089"/>
      <c r="N47" s="1536">
        <f>SUMIF(CF.2!$H$5:$H$25,CF.1!E47,CF.2!$J$5:$J$25)-SUMIF(CF.2!$K$5:$K$25,CF.1!E47,CF.2!$M$5:$M$25)</f>
        <v>0</v>
      </c>
      <c r="O47" s="1534">
        <f>SUMIF(CF.2!$H$31:$H$60,CF.1!E47,CF.2!$J$31:$J$60)+SUMIF(CF.2!$K$31:$K$60,CF.1!E47,CF.2!$M$31:$M$60)</f>
        <v>0</v>
      </c>
      <c r="P47" s="1534">
        <f>SUMIF(CF.2!$H$65:$H$108,CF.1!E47,CF.2!$J$65:$J$108)+SUMIF(CF.2!$K$65:$K$108,CF.1!E47,CF.2!$M$65:$M$108)</f>
        <v>0</v>
      </c>
      <c r="Q47" s="1534">
        <f>SUMIF(CF.2!$H$112:$H$118,CF.1!E47,CF.2!$J$112:$J$118)+SUMIF(CF.2!$K$112:$K$118,CF.1!E47,CF.2!$M$112:$M$118)</f>
        <v>0</v>
      </c>
      <c r="R47" s="1534">
        <f>SUMIF(CF.2!$H$123:$H$134,CF.1!E47,CF.2!$J$123:$J$134)+SUMIF(CF.2!$K$123:$K$134,CF.1!E47,CF.2!$M$123:$M$134)</f>
        <v>0</v>
      </c>
      <c r="S47" s="1535">
        <f t="shared" si="8"/>
        <v>0</v>
      </c>
      <c r="T47" s="1089"/>
      <c r="U47" s="1542">
        <f t="shared" si="9"/>
        <v>0</v>
      </c>
    </row>
    <row r="48" spans="3:23" ht="18" customHeight="1">
      <c r="C48" s="1364">
        <v>1</v>
      </c>
      <c r="D48" s="1532" t="s">
        <v>763</v>
      </c>
      <c r="E48" s="1506" t="s">
        <v>763</v>
      </c>
      <c r="F48" s="1533"/>
      <c r="G48" s="1506" t="s">
        <v>764</v>
      </c>
      <c r="H48" s="1833">
        <v>0</v>
      </c>
      <c r="I48" s="1834">
        <v>0</v>
      </c>
      <c r="J48" s="1834">
        <v>0</v>
      </c>
      <c r="K48" s="1834">
        <v>0</v>
      </c>
      <c r="L48" s="1535">
        <f t="shared" si="7"/>
        <v>0</v>
      </c>
      <c r="N48" s="1536">
        <f>SUMIF(CF.2!$H$5:$H$25,CF.1!E48,CF.2!$J$5:$J$25)-SUMIF(CF.2!$K$5:$K$25,CF.1!E48,CF.2!$M$5:$M$25)</f>
        <v>0</v>
      </c>
      <c r="O48" s="1534">
        <f>SUMIF(CF.2!$H$31:$H$60,CF.1!E48,CF.2!$J$31:$J$60)+SUMIF(CF.2!$K$31:$K$60,CF.1!E48,CF.2!$M$31:$M$60)</f>
        <v>0</v>
      </c>
      <c r="P48" s="1534">
        <f>SUMIF(CF.2!$H$65:$H$108,CF.1!E48,CF.2!$J$65:$J$108)+SUMIF(CF.2!$K$65:$K$108,CF.1!E48,CF.2!$M$65:$M$108)</f>
        <v>0</v>
      </c>
      <c r="Q48" s="1534">
        <f>SUMIF(CF.2!$H$112:$H$118,CF.1!E48,CF.2!$J$112:$J$118)+SUMIF(CF.2!$K$112:$K$118,CF.1!E48,CF.2!$M$112:$M$118)</f>
        <v>0</v>
      </c>
      <c r="R48" s="1534">
        <f>SUMIF(CF.2!$H$123:$H$134,CF.1!E48,CF.2!$J$123:$J$134)+SUMIF(CF.2!$K$123:$K$134,CF.1!E48,CF.2!$M$123:$M$134)</f>
        <v>0</v>
      </c>
      <c r="S48" s="1535">
        <f t="shared" si="8"/>
        <v>0</v>
      </c>
      <c r="U48" s="1537">
        <f t="shared" si="9"/>
        <v>0</v>
      </c>
    </row>
    <row r="49" spans="3:26" ht="18" customHeight="1">
      <c r="C49" s="1364">
        <v>1</v>
      </c>
      <c r="D49" s="1532" t="s">
        <v>765</v>
      </c>
      <c r="E49" s="1506" t="s">
        <v>1363</v>
      </c>
      <c r="F49" s="1533" t="s">
        <v>2540</v>
      </c>
      <c r="G49" s="1506" t="s">
        <v>2540</v>
      </c>
      <c r="H49" s="1833">
        <v>70302627</v>
      </c>
      <c r="I49" s="1834">
        <v>0</v>
      </c>
      <c r="J49" s="1834">
        <v>0</v>
      </c>
      <c r="K49" s="1834">
        <v>0</v>
      </c>
      <c r="L49" s="1535">
        <f t="shared" si="7"/>
        <v>70302627</v>
      </c>
      <c r="N49" s="1536">
        <f>SUMIF(CF.2!$H$5:$H$25,CF.1!E49,CF.2!$J$5:$J$25)-SUMIF(CF.2!$K$5:$K$25,CF.1!E49,CF.2!$M$5:$M$25)</f>
        <v>0</v>
      </c>
      <c r="O49" s="1534">
        <f>SUMIF(CF.2!$H$31:$H$60,CF.1!E49,CF.2!$J$31:$J$60)+SUMIF(CF.2!$K$31:$K$60,CF.1!E49,CF.2!$M$31:$M$60)</f>
        <v>0</v>
      </c>
      <c r="P49" s="1534">
        <f>SUMIF(CF.2!$H$65:$H$108,CF.1!E49,CF.2!$J$65:$J$108)+SUMIF(CF.2!$K$65:$K$108,CF.1!E49,CF.2!$M$65:$M$108)</f>
        <v>0</v>
      </c>
      <c r="Q49" s="1534">
        <f>SUMIF(CF.2!$H$112:$H$118,CF.1!E49,CF.2!$J$112:$J$118)+SUMIF(CF.2!$K$112:$K$118,CF.1!E49,CF.2!$M$112:$M$118)</f>
        <v>0</v>
      </c>
      <c r="R49" s="1534">
        <f>SUMIF(CF.2!$H$123:$H$134,CF.1!E49,CF.2!$J$123:$J$134)+SUMIF(CF.2!$K$123:$K$134,CF.1!E49,CF.2!$M$123:$M$134)</f>
        <v>0</v>
      </c>
      <c r="S49" s="1535">
        <f t="shared" si="8"/>
        <v>0</v>
      </c>
      <c r="U49" s="1537">
        <f t="shared" si="9"/>
        <v>70302627</v>
      </c>
    </row>
    <row r="50" spans="3:26" ht="18" customHeight="1">
      <c r="C50" s="1364">
        <v>1</v>
      </c>
      <c r="D50" s="1532" t="s">
        <v>765</v>
      </c>
      <c r="E50" s="1506" t="s">
        <v>1364</v>
      </c>
      <c r="F50" s="1533" t="s">
        <v>2540</v>
      </c>
      <c r="G50" s="1506" t="s">
        <v>2540</v>
      </c>
      <c r="H50" s="1833">
        <v>0</v>
      </c>
      <c r="I50" s="1834">
        <v>0</v>
      </c>
      <c r="J50" s="1834">
        <v>0</v>
      </c>
      <c r="K50" s="1834">
        <v>0</v>
      </c>
      <c r="L50" s="1535">
        <f t="shared" si="7"/>
        <v>0</v>
      </c>
      <c r="N50" s="1536">
        <f>SUMIF(CF.2!$H$5:$H$25,CF.1!E50,CF.2!$J$5:$J$25)-SUMIF(CF.2!$K$5:$K$25,CF.1!E50,CF.2!$M$5:$M$25)</f>
        <v>0</v>
      </c>
      <c r="O50" s="1534">
        <f>SUMIF(CF.2!$H$31:$H$60,CF.1!E50,CF.2!$J$31:$J$60)+SUMIF(CF.2!$K$31:$K$60,CF.1!E50,CF.2!$M$31:$M$60)</f>
        <v>0</v>
      </c>
      <c r="P50" s="1534">
        <f>SUMIF(CF.2!$H$65:$H$108,CF.1!E50,CF.2!$J$65:$J$108)+SUMIF(CF.2!$K$65:$K$108,CF.1!E50,CF.2!$M$65:$M$108)</f>
        <v>0</v>
      </c>
      <c r="Q50" s="1534">
        <f>SUMIF(CF.2!$H$112:$H$118,CF.1!E50,CF.2!$J$112:$J$118)+SUMIF(CF.2!$K$112:$K$118,CF.1!E50,CF.2!$M$112:$M$118)</f>
        <v>0</v>
      </c>
      <c r="R50" s="1534">
        <f>SUMIF(CF.2!$H$123:$H$134,CF.1!E50,CF.2!$J$123:$J$134)+SUMIF(CF.2!$K$123:$K$134,CF.1!E50,CF.2!$M$123:$M$134)</f>
        <v>0</v>
      </c>
      <c r="S50" s="1535">
        <f t="shared" si="8"/>
        <v>0</v>
      </c>
      <c r="U50" s="1537">
        <f t="shared" si="9"/>
        <v>0</v>
      </c>
    </row>
    <row r="51" spans="3:26" ht="18" customHeight="1">
      <c r="C51" s="1364">
        <v>1</v>
      </c>
      <c r="D51" s="1538" t="s">
        <v>765</v>
      </c>
      <c r="E51" s="1276" t="s">
        <v>1444</v>
      </c>
      <c r="F51" s="1539" t="s">
        <v>1417</v>
      </c>
      <c r="G51" s="1276" t="s">
        <v>1417</v>
      </c>
      <c r="H51" s="1832">
        <v>7476589</v>
      </c>
      <c r="I51" s="1835">
        <v>0</v>
      </c>
      <c r="J51" s="1835">
        <v>0</v>
      </c>
      <c r="K51" s="1835">
        <v>0</v>
      </c>
      <c r="L51" s="1541">
        <f t="shared" si="7"/>
        <v>7476589</v>
      </c>
      <c r="M51" s="1089"/>
      <c r="N51" s="1536">
        <f>SUMIF(CF.2!$H$5:$H$25,CF.1!E51,CF.2!$J$5:$J$25)-SUMIF(CF.2!$K$5:$K$25,CF.1!E51,CF.2!$M$5:$M$25)</f>
        <v>0</v>
      </c>
      <c r="O51" s="1534">
        <f>SUMIF(CF.2!$H$31:$H$60,CF.1!E51,CF.2!$J$31:$J$60)+SUMIF(CF.2!$K$31:$K$60,CF.1!E51,CF.2!$M$31:$M$60)</f>
        <v>0</v>
      </c>
      <c r="P51" s="1534">
        <f>SUMIF(CF.2!$H$65:$H$108,CF.1!E51,CF.2!$J$65:$J$108)+SUMIF(CF.2!$K$65:$K$108,CF.1!E51,CF.2!$M$65:$M$108)</f>
        <v>0</v>
      </c>
      <c r="Q51" s="1534">
        <f>SUMIF(CF.2!$H$112:$H$118,CF.1!E51,CF.2!$J$112:$J$118)+SUMIF(CF.2!$K$112:$K$118,CF.1!E51,CF.2!$M$112:$M$118)</f>
        <v>0</v>
      </c>
      <c r="R51" s="1534">
        <f>SUMIF(CF.2!$H$123:$H$134,CF.1!E51,CF.2!$J$123:$J$134)+SUMIF(CF.2!$K$123:$K$134,CF.1!E51,CF.2!$M$123:$M$134)</f>
        <v>0</v>
      </c>
      <c r="S51" s="1535">
        <f t="shared" si="8"/>
        <v>0</v>
      </c>
      <c r="T51" s="1089"/>
      <c r="U51" s="1542">
        <f t="shared" si="9"/>
        <v>7476589</v>
      </c>
      <c r="W51" s="1364" t="b">
        <f>U51=T_IS!X73</f>
        <v>1</v>
      </c>
    </row>
    <row r="52" spans="3:26" ht="18" customHeight="1">
      <c r="C52" s="1364">
        <v>1</v>
      </c>
      <c r="D52" s="1532" t="s">
        <v>765</v>
      </c>
      <c r="E52" s="1506" t="s">
        <v>1445</v>
      </c>
      <c r="F52" s="1533"/>
      <c r="G52" s="1506" t="s">
        <v>1356</v>
      </c>
      <c r="H52" s="1833">
        <v>0</v>
      </c>
      <c r="I52" s="1834">
        <v>0</v>
      </c>
      <c r="J52" s="1834">
        <v>0</v>
      </c>
      <c r="K52" s="1834">
        <v>0</v>
      </c>
      <c r="L52" s="1535">
        <f t="shared" si="7"/>
        <v>0</v>
      </c>
      <c r="N52" s="1536">
        <f>SUMIF(CF.2!$H$5:$H$25,CF.1!E52,CF.2!$J$5:$J$25)-SUMIF(CF.2!$K$5:$K$25,CF.1!E52,CF.2!$M$5:$M$25)</f>
        <v>0</v>
      </c>
      <c r="O52" s="1534">
        <f>SUMIF(CF.2!$H$31:$H$60,CF.1!E52,CF.2!$J$31:$J$60)+SUMIF(CF.2!$K$31:$K$60,CF.1!E52,CF.2!$M$31:$M$60)</f>
        <v>0</v>
      </c>
      <c r="P52" s="1534">
        <f>SUMIF(CF.2!$H$65:$H$108,CF.1!E52,CF.2!$J$65:$J$108)+SUMIF(CF.2!$K$65:$K$108,CF.1!E52,CF.2!$M$65:$M$108)</f>
        <v>0</v>
      </c>
      <c r="Q52" s="1534">
        <f>SUMIF(CF.2!$H$112:$H$118,CF.1!E52,CF.2!$J$112:$J$118)+SUMIF(CF.2!$K$112:$K$118,CF.1!E52,CF.2!$M$112:$M$118)</f>
        <v>0</v>
      </c>
      <c r="R52" s="1534">
        <f>SUMIF(CF.2!$H$123:$H$134,CF.1!E52,CF.2!$J$123:$J$134)+SUMIF(CF.2!$K$123:$K$134,CF.1!E52,CF.2!$M$123:$M$134)</f>
        <v>0</v>
      </c>
      <c r="S52" s="1535">
        <f t="shared" si="8"/>
        <v>0</v>
      </c>
      <c r="U52" s="1537">
        <f t="shared" si="9"/>
        <v>0</v>
      </c>
    </row>
    <row r="53" spans="3:26" ht="18" customHeight="1">
      <c r="C53" s="1364">
        <v>1</v>
      </c>
      <c r="D53" s="1532" t="s">
        <v>766</v>
      </c>
      <c r="E53" s="1506" t="s">
        <v>766</v>
      </c>
      <c r="F53" s="1533"/>
      <c r="G53" s="1506" t="s">
        <v>767</v>
      </c>
      <c r="H53" s="1833">
        <v>0</v>
      </c>
      <c r="I53" s="1834">
        <v>0</v>
      </c>
      <c r="J53" s="1834">
        <v>0</v>
      </c>
      <c r="K53" s="1834">
        <v>0</v>
      </c>
      <c r="L53" s="1535">
        <f t="shared" si="7"/>
        <v>0</v>
      </c>
      <c r="N53" s="1536">
        <f>SUMIF(CF.2!$H$5:$H$25,CF.1!E53,CF.2!$J$5:$J$25)-SUMIF(CF.2!$K$5:$K$25,CF.1!E53,CF.2!$M$5:$M$25)</f>
        <v>0</v>
      </c>
      <c r="O53" s="1534">
        <f>SUMIF(CF.2!$H$31:$H$60,CF.1!E53,CF.2!$J$31:$J$60)+SUMIF(CF.2!$K$31:$K$60,CF.1!E53,CF.2!$M$31:$M$60)</f>
        <v>0</v>
      </c>
      <c r="P53" s="1534">
        <f>SUMIF(CF.2!$H$65:$H$108,CF.1!E53,CF.2!$J$65:$J$108)+SUMIF(CF.2!$K$65:$K$108,CF.1!E53,CF.2!$M$65:$M$108)</f>
        <v>0</v>
      </c>
      <c r="Q53" s="1534">
        <f>SUMIF(CF.2!$H$112:$H$118,CF.1!E53,CF.2!$J$112:$J$118)+SUMIF(CF.2!$K$112:$K$118,CF.1!E53,CF.2!$M$112:$M$118)</f>
        <v>0</v>
      </c>
      <c r="R53" s="1534">
        <f>SUMIF(CF.2!$H$123:$H$134,CF.1!E53,CF.2!$J$123:$J$134)+SUMIF(CF.2!$K$123:$K$134,CF.1!E53,CF.2!$M$123:$M$134)</f>
        <v>0</v>
      </c>
      <c r="S53" s="1535">
        <f t="shared" si="8"/>
        <v>0</v>
      </c>
      <c r="U53" s="1537">
        <f t="shared" si="9"/>
        <v>0</v>
      </c>
    </row>
    <row r="54" spans="3:26" ht="18" customHeight="1">
      <c r="C54" s="1364">
        <v>1</v>
      </c>
      <c r="D54" s="1532" t="s">
        <v>768</v>
      </c>
      <c r="E54" s="1506" t="s">
        <v>768</v>
      </c>
      <c r="F54" s="1533"/>
      <c r="G54" s="1506" t="s">
        <v>769</v>
      </c>
      <c r="H54" s="1833">
        <v>0</v>
      </c>
      <c r="I54" s="1834">
        <v>0</v>
      </c>
      <c r="J54" s="1834">
        <v>0</v>
      </c>
      <c r="K54" s="1834">
        <v>0</v>
      </c>
      <c r="L54" s="1535">
        <f t="shared" si="7"/>
        <v>0</v>
      </c>
      <c r="N54" s="1536">
        <f>SUMIF(CF.2!$H$5:$H$25,CF.1!E54,CF.2!$J$5:$J$25)-SUMIF(CF.2!$K$5:$K$25,CF.1!E54,CF.2!$M$5:$M$25)</f>
        <v>0</v>
      </c>
      <c r="O54" s="1534">
        <f>SUMIF(CF.2!$H$31:$H$60,CF.1!E54,CF.2!$J$31:$J$60)+SUMIF(CF.2!$K$31:$K$60,CF.1!E54,CF.2!$M$31:$M$60)</f>
        <v>0</v>
      </c>
      <c r="P54" s="1534">
        <f>SUMIF(CF.2!$H$65:$H$108,CF.1!E54,CF.2!$J$65:$J$108)+SUMIF(CF.2!$K$65:$K$108,CF.1!E54,CF.2!$M$65:$M$108)</f>
        <v>0</v>
      </c>
      <c r="Q54" s="1534">
        <f>SUMIF(CF.2!$H$112:$H$118,CF.1!E54,CF.2!$J$112:$J$118)+SUMIF(CF.2!$K$112:$K$118,CF.1!E54,CF.2!$M$112:$M$118)</f>
        <v>0</v>
      </c>
      <c r="R54" s="1534">
        <f>SUMIF(CF.2!$H$123:$H$134,CF.1!E54,CF.2!$J$123:$J$134)+SUMIF(CF.2!$K$123:$K$134,CF.1!E54,CF.2!$M$123:$M$134)</f>
        <v>0</v>
      </c>
      <c r="S54" s="1535">
        <f t="shared" si="8"/>
        <v>0</v>
      </c>
      <c r="U54" s="1537">
        <f t="shared" si="9"/>
        <v>0</v>
      </c>
    </row>
    <row r="55" spans="3:26" ht="18" customHeight="1">
      <c r="C55" s="1364">
        <v>1</v>
      </c>
      <c r="D55" s="1532" t="s">
        <v>770</v>
      </c>
      <c r="E55" s="1506" t="s">
        <v>770</v>
      </c>
      <c r="F55" s="1533"/>
      <c r="G55" s="1506" t="s">
        <v>771</v>
      </c>
      <c r="H55" s="1833">
        <v>0</v>
      </c>
      <c r="I55" s="1834">
        <v>0</v>
      </c>
      <c r="J55" s="1834">
        <v>0</v>
      </c>
      <c r="K55" s="1834">
        <v>0</v>
      </c>
      <c r="L55" s="1535">
        <f t="shared" si="7"/>
        <v>0</v>
      </c>
      <c r="N55" s="1536">
        <f>SUMIF(CF.2!$H$5:$H$25,CF.1!E55,CF.2!$J$5:$J$25)-SUMIF(CF.2!$K$5:$K$25,CF.1!E55,CF.2!$M$5:$M$25)</f>
        <v>0</v>
      </c>
      <c r="O55" s="1534">
        <f>SUMIF(CF.2!$H$31:$H$60,CF.1!E55,CF.2!$J$31:$J$60)+SUMIF(CF.2!$K$31:$K$60,CF.1!E55,CF.2!$M$31:$M$60)</f>
        <v>0</v>
      </c>
      <c r="P55" s="1534">
        <f>SUMIF(CF.2!$H$65:$H$108,CF.1!E55,CF.2!$J$65:$J$108)+SUMIF(CF.2!$K$65:$K$108,CF.1!E55,CF.2!$M$65:$M$108)</f>
        <v>0</v>
      </c>
      <c r="Q55" s="1534">
        <f>SUMIF(CF.2!$H$112:$H$118,CF.1!E55,CF.2!$J$112:$J$118)+SUMIF(CF.2!$K$112:$K$118,CF.1!E55,CF.2!$M$112:$M$118)</f>
        <v>0</v>
      </c>
      <c r="R55" s="1534">
        <f>SUMIF(CF.2!$H$123:$H$134,CF.1!E55,CF.2!$J$123:$J$134)+SUMIF(CF.2!$K$123:$K$134,CF.1!E55,CF.2!$M$123:$M$134)</f>
        <v>0</v>
      </c>
      <c r="S55" s="1535">
        <f t="shared" si="8"/>
        <v>0</v>
      </c>
      <c r="U55" s="1537">
        <f t="shared" si="9"/>
        <v>0</v>
      </c>
    </row>
    <row r="56" spans="3:26" ht="18" customHeight="1">
      <c r="C56" s="1364">
        <v>1</v>
      </c>
      <c r="D56" s="1532" t="s">
        <v>772</v>
      </c>
      <c r="E56" s="1506" t="s">
        <v>772</v>
      </c>
      <c r="F56" s="1533"/>
      <c r="G56" s="1506" t="s">
        <v>260</v>
      </c>
      <c r="H56" s="1833">
        <v>0</v>
      </c>
      <c r="I56" s="1834">
        <v>0</v>
      </c>
      <c r="J56" s="1834">
        <v>0</v>
      </c>
      <c r="K56" s="1834">
        <v>0</v>
      </c>
      <c r="L56" s="1535">
        <f t="shared" si="7"/>
        <v>0</v>
      </c>
      <c r="N56" s="1536">
        <f>SUMIF(CF.2!$H$5:$H$25,CF.1!E56,CF.2!$J$5:$J$25)-SUMIF(CF.2!$K$5:$K$25,CF.1!E56,CF.2!$M$5:$M$25)</f>
        <v>0</v>
      </c>
      <c r="O56" s="1534">
        <f>SUMIF(CF.2!$H$31:$H$60,CF.1!E56,CF.2!$J$31:$J$60)+SUMIF(CF.2!$K$31:$K$60,CF.1!E56,CF.2!$M$31:$M$60)</f>
        <v>0</v>
      </c>
      <c r="P56" s="1534">
        <f>SUMIF(CF.2!$H$65:$H$108,CF.1!E56,CF.2!$J$65:$J$108)+SUMIF(CF.2!$K$65:$K$108,CF.1!E56,CF.2!$M$65:$M$108)</f>
        <v>0</v>
      </c>
      <c r="Q56" s="1534">
        <f>SUMIF(CF.2!$H$112:$H$118,CF.1!E56,CF.2!$J$112:$J$118)+SUMIF(CF.2!$K$112:$K$118,CF.1!E56,CF.2!$M$112:$M$118)</f>
        <v>0</v>
      </c>
      <c r="R56" s="1534">
        <f>SUMIF(CF.2!$H$123:$H$134,CF.1!E56,CF.2!$J$123:$J$134)+SUMIF(CF.2!$K$123:$K$134,CF.1!E56,CF.2!$M$123:$M$134)</f>
        <v>0</v>
      </c>
      <c r="S56" s="1535">
        <f t="shared" si="8"/>
        <v>0</v>
      </c>
      <c r="U56" s="1537">
        <f t="shared" si="9"/>
        <v>0</v>
      </c>
    </row>
    <row r="57" spans="3:26" ht="18" customHeight="1">
      <c r="C57" s="1364">
        <v>1</v>
      </c>
      <c r="D57" s="1532" t="s">
        <v>773</v>
      </c>
      <c r="E57" s="1506" t="s">
        <v>773</v>
      </c>
      <c r="F57" s="1533"/>
      <c r="G57" s="1506" t="s">
        <v>774</v>
      </c>
      <c r="H57" s="1833">
        <v>0</v>
      </c>
      <c r="I57" s="1834">
        <v>0</v>
      </c>
      <c r="J57" s="1834">
        <v>0</v>
      </c>
      <c r="K57" s="1834">
        <v>0</v>
      </c>
      <c r="L57" s="1535">
        <f t="shared" si="7"/>
        <v>0</v>
      </c>
      <c r="N57" s="1536">
        <f>SUMIF(CF.2!$H$5:$H$25,CF.1!E57,CF.2!$J$5:$J$25)-SUMIF(CF.2!$K$5:$K$25,CF.1!E57,CF.2!$M$5:$M$25)</f>
        <v>0</v>
      </c>
      <c r="O57" s="1534">
        <f>SUMIF(CF.2!$H$31:$H$60,CF.1!E57,CF.2!$J$31:$J$60)+SUMIF(CF.2!$K$31:$K$60,CF.1!E57,CF.2!$M$31:$M$60)</f>
        <v>0</v>
      </c>
      <c r="P57" s="1534">
        <f>SUMIF(CF.2!$H$65:$H$108,CF.1!E57,CF.2!$J$65:$J$108)+SUMIF(CF.2!$K$65:$K$108,CF.1!E57,CF.2!$M$65:$M$108)</f>
        <v>0</v>
      </c>
      <c r="Q57" s="1534">
        <f>SUMIF(CF.2!$H$112:$H$118,CF.1!E57,CF.2!$J$112:$J$118)+SUMIF(CF.2!$K$112:$K$118,CF.1!E57,CF.2!$M$112:$M$118)</f>
        <v>0</v>
      </c>
      <c r="R57" s="1534">
        <f>SUMIF(CF.2!$H$123:$H$134,CF.1!E57,CF.2!$J$123:$J$134)+SUMIF(CF.2!$K$123:$K$134,CF.1!E57,CF.2!$M$123:$M$134)</f>
        <v>0</v>
      </c>
      <c r="S57" s="1535">
        <f t="shared" si="8"/>
        <v>0</v>
      </c>
      <c r="U57" s="1537">
        <f t="shared" si="9"/>
        <v>0</v>
      </c>
    </row>
    <row r="58" spans="3:26" ht="18" customHeight="1">
      <c r="C58" s="1364">
        <v>1</v>
      </c>
      <c r="D58" s="1532" t="s">
        <v>775</v>
      </c>
      <c r="E58" s="1506" t="s">
        <v>775</v>
      </c>
      <c r="F58" s="1533"/>
      <c r="G58" s="1506" t="s">
        <v>776</v>
      </c>
      <c r="H58" s="1833">
        <v>0</v>
      </c>
      <c r="I58" s="1834">
        <v>0</v>
      </c>
      <c r="J58" s="1834">
        <v>0</v>
      </c>
      <c r="K58" s="1834">
        <v>0</v>
      </c>
      <c r="L58" s="1535">
        <f t="shared" si="7"/>
        <v>0</v>
      </c>
      <c r="N58" s="1536">
        <f>SUMIF(CF.2!$H$5:$H$25,CF.1!E58,CF.2!$J$5:$J$25)-SUMIF(CF.2!$K$5:$K$25,CF.1!E58,CF.2!$M$5:$M$25)</f>
        <v>0</v>
      </c>
      <c r="O58" s="1534">
        <f>SUMIF(CF.2!$H$31:$H$60,CF.1!E58,CF.2!$J$31:$J$60)+SUMIF(CF.2!$K$31:$K$60,CF.1!E58,CF.2!$M$31:$M$60)</f>
        <v>0</v>
      </c>
      <c r="P58" s="1534">
        <f>SUMIF(CF.2!$H$65:$H$108,CF.1!E58,CF.2!$J$65:$J$108)+SUMIF(CF.2!$K$65:$K$108,CF.1!E58,CF.2!$M$65:$M$108)</f>
        <v>0</v>
      </c>
      <c r="Q58" s="1534">
        <f>SUMIF(CF.2!$H$112:$H$118,CF.1!E58,CF.2!$J$112:$J$118)+SUMIF(CF.2!$K$112:$K$118,CF.1!E58,CF.2!$M$112:$M$118)</f>
        <v>0</v>
      </c>
      <c r="R58" s="1534">
        <f>SUMIF(CF.2!$H$123:$H$134,CF.1!E58,CF.2!$J$123:$J$134)+SUMIF(CF.2!$K$123:$K$134,CF.1!E58,CF.2!$M$123:$M$134)</f>
        <v>0</v>
      </c>
      <c r="S58" s="1535">
        <f t="shared" si="8"/>
        <v>0</v>
      </c>
      <c r="U58" s="1537">
        <f t="shared" si="9"/>
        <v>0</v>
      </c>
    </row>
    <row r="59" spans="3:26" ht="18" customHeight="1">
      <c r="C59" s="1364">
        <v>1</v>
      </c>
      <c r="D59" s="1532" t="s">
        <v>777</v>
      </c>
      <c r="E59" s="1506" t="s">
        <v>777</v>
      </c>
      <c r="F59" s="1533"/>
      <c r="G59" s="1506" t="s">
        <v>778</v>
      </c>
      <c r="H59" s="1833">
        <v>0</v>
      </c>
      <c r="I59" s="1834">
        <v>0</v>
      </c>
      <c r="J59" s="1834">
        <v>0</v>
      </c>
      <c r="K59" s="1834">
        <v>0</v>
      </c>
      <c r="L59" s="1535">
        <f t="shared" si="7"/>
        <v>0</v>
      </c>
      <c r="N59" s="1536">
        <f>SUMIF(CF.2!$H$5:$H$25,CF.1!E59,CF.2!$J$5:$J$25)-SUMIF(CF.2!$K$5:$K$25,CF.1!E59,CF.2!$M$5:$M$25)</f>
        <v>0</v>
      </c>
      <c r="O59" s="1534">
        <f>SUMIF(CF.2!$H$31:$H$60,CF.1!E59,CF.2!$J$31:$J$60)+SUMIF(CF.2!$K$31:$K$60,CF.1!E59,CF.2!$M$31:$M$60)</f>
        <v>0</v>
      </c>
      <c r="P59" s="1534">
        <f>SUMIF(CF.2!$H$65:$H$108,CF.1!E59,CF.2!$J$65:$J$108)+SUMIF(CF.2!$K$65:$K$108,CF.1!E59,CF.2!$M$65:$M$108)</f>
        <v>0</v>
      </c>
      <c r="Q59" s="1534">
        <f>SUMIF(CF.2!$H$112:$H$118,CF.1!E59,CF.2!$J$112:$J$118)+SUMIF(CF.2!$K$112:$K$118,CF.1!E59,CF.2!$M$112:$M$118)</f>
        <v>0</v>
      </c>
      <c r="R59" s="1534">
        <f>SUMIF(CF.2!$H$123:$H$134,CF.1!E59,CF.2!$J$123:$J$134)+SUMIF(CF.2!$K$123:$K$134,CF.1!E59,CF.2!$M$123:$M$134)</f>
        <v>0</v>
      </c>
      <c r="S59" s="1535">
        <f t="shared" si="8"/>
        <v>0</v>
      </c>
      <c r="U59" s="1537">
        <f t="shared" si="9"/>
        <v>0</v>
      </c>
    </row>
    <row r="60" spans="3:26" ht="18" customHeight="1">
      <c r="C60" s="1364">
        <v>1</v>
      </c>
      <c r="D60" s="1532" t="s">
        <v>779</v>
      </c>
      <c r="E60" s="1506" t="s">
        <v>779</v>
      </c>
      <c r="F60" s="1533"/>
      <c r="G60" s="1506" t="s">
        <v>780</v>
      </c>
      <c r="H60" s="1833">
        <v>0</v>
      </c>
      <c r="I60" s="1834">
        <v>0</v>
      </c>
      <c r="J60" s="1834">
        <v>0</v>
      </c>
      <c r="K60" s="1834">
        <v>0</v>
      </c>
      <c r="L60" s="1535">
        <f t="shared" si="7"/>
        <v>0</v>
      </c>
      <c r="N60" s="1536">
        <f>SUMIF(CF.2!$H$5:$H$25,CF.1!E60,CF.2!$J$5:$J$25)-SUMIF(CF.2!$K$5:$K$25,CF.1!E60,CF.2!$M$5:$M$25)</f>
        <v>0</v>
      </c>
      <c r="O60" s="1534">
        <f>SUMIF(CF.2!$H$31:$H$60,CF.1!E60,CF.2!$J$31:$J$60)+SUMIF(CF.2!$K$31:$K$60,CF.1!E60,CF.2!$M$31:$M$60)</f>
        <v>0</v>
      </c>
      <c r="P60" s="1534">
        <f>SUMIF(CF.2!$H$65:$H$108,CF.1!E60,CF.2!$J$65:$J$108)+SUMIF(CF.2!$K$65:$K$108,CF.1!E60,CF.2!$M$65:$M$108)</f>
        <v>0</v>
      </c>
      <c r="Q60" s="1534">
        <f>SUMIF(CF.2!$H$112:$H$118,CF.1!E60,CF.2!$J$112:$J$118)+SUMIF(CF.2!$K$112:$K$118,CF.1!E60,CF.2!$M$112:$M$118)</f>
        <v>0</v>
      </c>
      <c r="R60" s="1534">
        <f>SUMIF(CF.2!$H$123:$H$134,CF.1!E60,CF.2!$J$123:$J$134)+SUMIF(CF.2!$K$123:$K$134,CF.1!E60,CF.2!$M$123:$M$134)</f>
        <v>0</v>
      </c>
      <c r="S60" s="1535">
        <f t="shared" si="8"/>
        <v>0</v>
      </c>
      <c r="U60" s="1537">
        <f t="shared" si="9"/>
        <v>0</v>
      </c>
    </row>
    <row r="61" spans="3:26" ht="18" customHeight="1">
      <c r="C61" s="1364">
        <v>1</v>
      </c>
      <c r="D61" s="1532" t="s">
        <v>781</v>
      </c>
      <c r="E61" s="1506" t="s">
        <v>781</v>
      </c>
      <c r="F61" s="1533" t="s">
        <v>1952</v>
      </c>
      <c r="G61" s="1506" t="s">
        <v>688</v>
      </c>
      <c r="H61" s="1833">
        <v>0</v>
      </c>
      <c r="I61" s="1834">
        <v>0</v>
      </c>
      <c r="J61" s="1834">
        <v>0</v>
      </c>
      <c r="K61" s="1834">
        <v>0</v>
      </c>
      <c r="L61" s="1535">
        <f t="shared" si="7"/>
        <v>0</v>
      </c>
      <c r="N61" s="1536">
        <f>SUMIF(CF.2!$H$5:$H$25,CF.1!E61,CF.2!$J$5:$J$25)-SUMIF(CF.2!$K$5:$K$25,CF.1!E61,CF.2!$M$5:$M$25)</f>
        <v>0</v>
      </c>
      <c r="O61" s="1534">
        <f>SUMIF(CF.2!$H$31:$H$60,CF.1!E61,CF.2!$J$31:$J$60)+SUMIF(CF.2!$K$31:$K$60,CF.1!E61,CF.2!$M$31:$M$60)</f>
        <v>0</v>
      </c>
      <c r="P61" s="1534">
        <f>SUMIF(CF.2!$H$65:$H$108,CF.1!E61,CF.2!$J$65:$J$108)+SUMIF(CF.2!$K$65:$K$108,CF.1!E61,CF.2!$M$65:$M$108)</f>
        <v>0</v>
      </c>
      <c r="Q61" s="1534">
        <f>SUMIF(CF.2!$H$112:$H$118,CF.1!E61,CF.2!$J$112:$J$118)+SUMIF(CF.2!$K$112:$K$118,CF.1!E61,CF.2!$M$112:$M$118)</f>
        <v>0</v>
      </c>
      <c r="R61" s="1534">
        <f>SUMIF(CF.2!$H$123:$H$134,CF.1!E61,CF.2!$J$123:$J$134)+SUMIF(CF.2!$K$123:$K$134,CF.1!E61,CF.2!$M$123:$M$134)</f>
        <v>0</v>
      </c>
      <c r="S61" s="1535">
        <f t="shared" si="8"/>
        <v>0</v>
      </c>
      <c r="U61" s="1537">
        <f t="shared" si="9"/>
        <v>0</v>
      </c>
    </row>
    <row r="62" spans="3:26" ht="18" customHeight="1">
      <c r="C62" s="1364">
        <v>1</v>
      </c>
      <c r="D62" s="1532" t="s">
        <v>782</v>
      </c>
      <c r="E62" s="1506" t="s">
        <v>782</v>
      </c>
      <c r="F62" s="1533" t="s">
        <v>681</v>
      </c>
      <c r="G62" s="1506" t="s">
        <v>681</v>
      </c>
      <c r="H62" s="1833">
        <v>140061652</v>
      </c>
      <c r="I62" s="1834">
        <v>55535961</v>
      </c>
      <c r="J62" s="1834">
        <v>372693</v>
      </c>
      <c r="K62" s="1835">
        <v>46829064</v>
      </c>
      <c r="L62" s="1535">
        <f t="shared" si="7"/>
        <v>242799370</v>
      </c>
      <c r="N62" s="1536">
        <f>SUMIF(CF.2!$H$5:$H$25,CF.1!E62,CF.2!$J$5:$J$25)-SUMIF(CF.2!$K$5:$K$25,CF.1!E62,CF.2!$M$5:$M$25)</f>
        <v>0</v>
      </c>
      <c r="O62" s="1534">
        <f>SUMIF(CF.2!$H$31:$H$60,CF.1!E62,CF.2!$J$31:$J$60)+SUMIF(CF.2!$K$31:$K$60,CF.1!E62,CF.2!$M$31:$M$60)</f>
        <v>0</v>
      </c>
      <c r="P62" s="1534">
        <f>SUMIF(CF.2!$H$65:$H$108,CF.1!E62,CF.2!$J$65:$J$108)+SUMIF(CF.2!$K$65:$K$108,CF.1!E62,CF.2!$M$65:$M$108)</f>
        <v>-46841095</v>
      </c>
      <c r="Q62" s="1534">
        <f>SUMIF(CF.2!$H$112:$H$118,CF.1!E62,CF.2!$J$112:$J$118)+SUMIF(CF.2!$K$112:$K$118,CF.1!E62,CF.2!$M$112:$M$118)</f>
        <v>0</v>
      </c>
      <c r="R62" s="1534">
        <f>SUMIF(CF.2!$H$123:$H$134,CF.1!E62,CF.2!$J$123:$J$134)+SUMIF(CF.2!$K$123:$K$134,CF.1!E62,CF.2!$M$123:$M$134)</f>
        <v>0</v>
      </c>
      <c r="S62" s="1535">
        <f t="shared" si="8"/>
        <v>-46841095</v>
      </c>
      <c r="U62" s="1537">
        <f t="shared" si="9"/>
        <v>195958275</v>
      </c>
      <c r="W62" s="509" t="b">
        <f>ROUND(SUM(T_IS!X88:X91),0)=ROUND(U62,0)</f>
        <v>0</v>
      </c>
      <c r="X62" s="1089"/>
      <c r="Y62" s="1089"/>
      <c r="Z62" s="1089"/>
    </row>
    <row r="63" spans="3:26" ht="18" customHeight="1">
      <c r="C63" s="1364">
        <v>1</v>
      </c>
      <c r="D63" s="1532" t="s">
        <v>783</v>
      </c>
      <c r="E63" s="1506" t="s">
        <v>783</v>
      </c>
      <c r="F63" s="1533" t="s">
        <v>380</v>
      </c>
      <c r="G63" s="1506" t="s">
        <v>380</v>
      </c>
      <c r="H63" s="1833">
        <v>312380950</v>
      </c>
      <c r="I63" s="1834">
        <v>0</v>
      </c>
      <c r="J63" s="1834">
        <v>0</v>
      </c>
      <c r="K63" s="1834">
        <v>2873958</v>
      </c>
      <c r="L63" s="1535">
        <f t="shared" si="7"/>
        <v>315254908</v>
      </c>
      <c r="N63" s="1536">
        <f>SUMIF(CF.2!$H$5:$H$25,CF.1!E63,CF.2!$J$5:$J$25)-SUMIF(CF.2!$K$5:$K$25,CF.1!E63,CF.2!$M$5:$M$25)</f>
        <v>0</v>
      </c>
      <c r="O63" s="1534">
        <f>SUMIF(CF.2!$H$31:$H$60,CF.1!E63,CF.2!$J$31:$J$60)+SUMIF(CF.2!$K$31:$K$60,CF.1!E63,CF.2!$M$31:$M$60)</f>
        <v>0</v>
      </c>
      <c r="P63" s="1534">
        <f>SUMIF(CF.2!$H$65:$H$108,CF.1!E63,CF.2!$J$65:$J$108)+SUMIF(CF.2!$K$65:$K$108,CF.1!E63,CF.2!$M$65:$M$108)</f>
        <v>0</v>
      </c>
      <c r="Q63" s="1534">
        <f>SUMIF(CF.2!$H$112:$H$118,CF.1!E63,CF.2!$J$112:$J$118)+SUMIF(CF.2!$K$112:$K$118,CF.1!E63,CF.2!$M$112:$M$118)</f>
        <v>0</v>
      </c>
      <c r="R63" s="1534">
        <f>SUMIF(CF.2!$H$123:$H$134,CF.1!E63,CF.2!$J$123:$J$134)+SUMIF(CF.2!$K$123:$K$134,CF.1!E63,CF.2!$M$123:$M$134)</f>
        <v>0</v>
      </c>
      <c r="S63" s="1535">
        <f t="shared" si="8"/>
        <v>0</v>
      </c>
      <c r="U63" s="1537">
        <f t="shared" si="9"/>
        <v>315254908</v>
      </c>
      <c r="W63" s="1364" t="b">
        <f>U63=T_IS!X126</f>
        <v>0</v>
      </c>
    </row>
    <row r="64" spans="3:26" ht="18" customHeight="1">
      <c r="C64" s="1364">
        <v>1</v>
      </c>
      <c r="D64" s="1532" t="s">
        <v>784</v>
      </c>
      <c r="E64" s="1506" t="s">
        <v>784</v>
      </c>
      <c r="F64" s="1533"/>
      <c r="G64" s="1506" t="s">
        <v>785</v>
      </c>
      <c r="H64" s="1833">
        <v>0</v>
      </c>
      <c r="I64" s="1834">
        <v>0</v>
      </c>
      <c r="J64" s="1834">
        <v>0</v>
      </c>
      <c r="K64" s="1834">
        <v>0</v>
      </c>
      <c r="L64" s="1535">
        <f t="shared" si="7"/>
        <v>0</v>
      </c>
      <c r="N64" s="1536">
        <f>SUMIF(CF.2!$H$5:$H$25,CF.1!E64,CF.2!$J$5:$J$25)-SUMIF(CF.2!$K$5:$K$25,CF.1!E64,CF.2!$M$5:$M$25)</f>
        <v>0</v>
      </c>
      <c r="O64" s="1534">
        <f>SUMIF(CF.2!$H$31:$H$60,CF.1!E64,CF.2!$J$31:$J$60)+SUMIF(CF.2!$K$31:$K$60,CF.1!E64,CF.2!$M$31:$M$60)</f>
        <v>0</v>
      </c>
      <c r="P64" s="1534">
        <f>SUMIF(CF.2!$H$65:$H$108,CF.1!E64,CF.2!$J$65:$J$108)+SUMIF(CF.2!$K$65:$K$108,CF.1!E64,CF.2!$M$65:$M$108)</f>
        <v>0</v>
      </c>
      <c r="Q64" s="1534">
        <f>SUMIF(CF.2!$H$112:$H$118,CF.1!E64,CF.2!$J$112:$J$118)+SUMIF(CF.2!$K$112:$K$118,CF.1!E64,CF.2!$M$112:$M$118)</f>
        <v>0</v>
      </c>
      <c r="R64" s="1534">
        <f>SUMIF(CF.2!$H$123:$H$134,CF.1!E64,CF.2!$J$123:$J$134)+SUMIF(CF.2!$K$123:$K$134,CF.1!E64,CF.2!$M$123:$M$134)</f>
        <v>0</v>
      </c>
      <c r="S64" s="1535">
        <f t="shared" si="8"/>
        <v>0</v>
      </c>
      <c r="U64" s="1537">
        <f t="shared" si="9"/>
        <v>0</v>
      </c>
    </row>
    <row r="65" spans="3:30" ht="18" customHeight="1">
      <c r="C65" s="1364">
        <v>1</v>
      </c>
      <c r="D65" s="1532" t="s">
        <v>786</v>
      </c>
      <c r="E65" s="1506" t="s">
        <v>786</v>
      </c>
      <c r="F65" s="1533"/>
      <c r="G65" s="1506" t="s">
        <v>787</v>
      </c>
      <c r="H65" s="1833">
        <v>0</v>
      </c>
      <c r="I65" s="1834">
        <v>0</v>
      </c>
      <c r="J65" s="1834">
        <v>0</v>
      </c>
      <c r="K65" s="1834">
        <v>0</v>
      </c>
      <c r="L65" s="1535">
        <f t="shared" si="7"/>
        <v>0</v>
      </c>
      <c r="N65" s="1536">
        <f>SUMIF(CF.2!$H$5:$H$25,CF.1!E65,CF.2!$J$5:$J$25)-SUMIF(CF.2!$K$5:$K$25,CF.1!E65,CF.2!$M$5:$M$25)</f>
        <v>0</v>
      </c>
      <c r="O65" s="1534">
        <f>SUMIF(CF.2!$H$31:$H$60,CF.1!E65,CF.2!$J$31:$J$60)+SUMIF(CF.2!$K$31:$K$60,CF.1!E65,CF.2!$M$31:$M$60)</f>
        <v>0</v>
      </c>
      <c r="P65" s="1534">
        <f>SUMIF(CF.2!$H$65:$H$108,CF.1!E65,CF.2!$J$65:$J$108)+SUMIF(CF.2!$K$65:$K$108,CF.1!E65,CF.2!$M$65:$M$108)</f>
        <v>0</v>
      </c>
      <c r="Q65" s="1534">
        <f>SUMIF(CF.2!$H$112:$H$118,CF.1!E65,CF.2!$J$112:$J$118)+SUMIF(CF.2!$K$112:$K$118,CF.1!E65,CF.2!$M$112:$M$118)</f>
        <v>0</v>
      </c>
      <c r="R65" s="1534">
        <f>SUMIF(CF.2!$H$123:$H$134,CF.1!E65,CF.2!$J$123:$J$134)+SUMIF(CF.2!$K$123:$K$134,CF.1!E65,CF.2!$M$123:$M$134)</f>
        <v>0</v>
      </c>
      <c r="S65" s="1535">
        <f t="shared" si="8"/>
        <v>0</v>
      </c>
      <c r="U65" s="1537">
        <f t="shared" si="9"/>
        <v>0</v>
      </c>
    </row>
    <row r="66" spans="3:30" ht="18" customHeight="1">
      <c r="C66" s="1364">
        <v>1</v>
      </c>
      <c r="D66" s="1532" t="s">
        <v>788</v>
      </c>
      <c r="E66" s="1506" t="s">
        <v>788</v>
      </c>
      <c r="F66" s="1533"/>
      <c r="G66" s="1506" t="s">
        <v>789</v>
      </c>
      <c r="H66" s="1833">
        <v>0</v>
      </c>
      <c r="I66" s="1834">
        <v>0</v>
      </c>
      <c r="J66" s="1834">
        <v>0</v>
      </c>
      <c r="K66" s="1834">
        <v>0</v>
      </c>
      <c r="L66" s="1535">
        <f t="shared" si="7"/>
        <v>0</v>
      </c>
      <c r="N66" s="1536">
        <f>SUMIF(CF.2!$H$5:$H$25,CF.1!E66,CF.2!$J$5:$J$25)-SUMIF(CF.2!$K$5:$K$25,CF.1!E66,CF.2!$M$5:$M$25)</f>
        <v>0</v>
      </c>
      <c r="O66" s="1534">
        <f>SUMIF(CF.2!$H$31:$H$60,CF.1!E66,CF.2!$J$31:$J$60)+SUMIF(CF.2!$K$31:$K$60,CF.1!E66,CF.2!$M$31:$M$60)</f>
        <v>0</v>
      </c>
      <c r="P66" s="1534">
        <f>SUMIF(CF.2!$H$65:$H$108,CF.1!E66,CF.2!$J$65:$J$108)+SUMIF(CF.2!$K$65:$K$108,CF.1!E66,CF.2!$M$65:$M$108)</f>
        <v>0</v>
      </c>
      <c r="Q66" s="1534">
        <f>SUMIF(CF.2!$H$112:$H$118,CF.1!E66,CF.2!$J$112:$J$118)+SUMIF(CF.2!$K$112:$K$118,CF.1!E66,CF.2!$M$112:$M$118)</f>
        <v>0</v>
      </c>
      <c r="R66" s="1534">
        <f>SUMIF(CF.2!$H$123:$H$134,CF.1!E66,CF.2!$J$123:$J$134)+SUMIF(CF.2!$K$123:$K$134,CF.1!E66,CF.2!$M$123:$M$134)</f>
        <v>0</v>
      </c>
      <c r="S66" s="1535">
        <f t="shared" si="8"/>
        <v>0</v>
      </c>
      <c r="U66" s="1537">
        <f t="shared" si="9"/>
        <v>0</v>
      </c>
    </row>
    <row r="67" spans="3:30" ht="18" customHeight="1">
      <c r="C67" s="1364">
        <v>1</v>
      </c>
      <c r="D67" s="1532" t="s">
        <v>790</v>
      </c>
      <c r="E67" s="1506" t="s">
        <v>790</v>
      </c>
      <c r="F67" s="1533"/>
      <c r="G67" s="1506" t="s">
        <v>791</v>
      </c>
      <c r="H67" s="1833">
        <v>0</v>
      </c>
      <c r="I67" s="1834">
        <v>0</v>
      </c>
      <c r="J67" s="1834">
        <v>0</v>
      </c>
      <c r="K67" s="1834">
        <v>0</v>
      </c>
      <c r="L67" s="1535">
        <f t="shared" si="7"/>
        <v>0</v>
      </c>
      <c r="N67" s="1536">
        <f>SUMIF(CF.2!$H$5:$H$25,CF.1!E67,CF.2!$J$5:$J$25)-SUMIF(CF.2!$K$5:$K$25,CF.1!E67,CF.2!$M$5:$M$25)</f>
        <v>0</v>
      </c>
      <c r="O67" s="1534">
        <f>SUMIF(CF.2!$H$31:$H$60,CF.1!E67,CF.2!$J$31:$J$60)+SUMIF(CF.2!$K$31:$K$60,CF.1!E67,CF.2!$M$31:$M$60)</f>
        <v>0</v>
      </c>
      <c r="P67" s="1534">
        <f>SUMIF(CF.2!$H$65:$H$108,CF.1!E67,CF.2!$J$65:$J$108)+SUMIF(CF.2!$K$65:$K$108,CF.1!E67,CF.2!$M$65:$M$108)</f>
        <v>0</v>
      </c>
      <c r="Q67" s="1534">
        <f>SUMIF(CF.2!$H$112:$H$118,CF.1!E67,CF.2!$J$112:$J$118)+SUMIF(CF.2!$K$112:$K$118,CF.1!E67,CF.2!$M$112:$M$118)</f>
        <v>0</v>
      </c>
      <c r="R67" s="1534">
        <f>SUMIF(CF.2!$H$123:$H$134,CF.1!E67,CF.2!$J$123:$J$134)+SUMIF(CF.2!$K$123:$K$134,CF.1!E67,CF.2!$M$123:$M$134)</f>
        <v>0</v>
      </c>
      <c r="S67" s="1535">
        <f t="shared" si="8"/>
        <v>0</v>
      </c>
      <c r="U67" s="1537">
        <f t="shared" si="9"/>
        <v>0</v>
      </c>
    </row>
    <row r="68" spans="3:30" ht="18" customHeight="1">
      <c r="C68" s="1364">
        <v>1</v>
      </c>
      <c r="D68" s="1532" t="s">
        <v>792</v>
      </c>
      <c r="E68" s="1506" t="s">
        <v>792</v>
      </c>
      <c r="F68" s="1533"/>
      <c r="G68" s="1506" t="s">
        <v>793</v>
      </c>
      <c r="H68" s="1833">
        <v>0</v>
      </c>
      <c r="I68" s="1834">
        <v>0</v>
      </c>
      <c r="J68" s="1834">
        <v>0</v>
      </c>
      <c r="K68" s="1834">
        <v>0</v>
      </c>
      <c r="L68" s="1535">
        <f t="shared" si="7"/>
        <v>0</v>
      </c>
      <c r="N68" s="1536">
        <f>SUMIF(CF.2!$H$5:$H$25,CF.1!E68,CF.2!$J$5:$J$25)-SUMIF(CF.2!$K$5:$K$25,CF.1!E68,CF.2!$M$5:$M$25)</f>
        <v>0</v>
      </c>
      <c r="O68" s="1534">
        <f>SUMIF(CF.2!$H$31:$H$60,CF.1!E68,CF.2!$J$31:$J$60)+SUMIF(CF.2!$K$31:$K$60,CF.1!E68,CF.2!$M$31:$M$60)</f>
        <v>0</v>
      </c>
      <c r="P68" s="1534">
        <f>SUMIF(CF.2!$H$65:$H$108,CF.1!E68,CF.2!$J$65:$J$108)+SUMIF(CF.2!$K$65:$K$108,CF.1!E68,CF.2!$M$65:$M$108)</f>
        <v>0</v>
      </c>
      <c r="Q68" s="1534">
        <f>SUMIF(CF.2!$H$112:$H$118,CF.1!E68,CF.2!$J$112:$J$118)+SUMIF(CF.2!$K$112:$K$118,CF.1!E68,CF.2!$M$112:$M$118)</f>
        <v>0</v>
      </c>
      <c r="R68" s="1534">
        <f>SUMIF(CF.2!$H$123:$H$134,CF.1!E68,CF.2!$J$123:$J$134)+SUMIF(CF.2!$K$123:$K$134,CF.1!E68,CF.2!$M$123:$M$134)</f>
        <v>0</v>
      </c>
      <c r="S68" s="1535">
        <f t="shared" si="8"/>
        <v>0</v>
      </c>
      <c r="U68" s="1537">
        <f t="shared" si="9"/>
        <v>0</v>
      </c>
    </row>
    <row r="69" spans="3:30" ht="18" customHeight="1">
      <c r="C69" s="1364">
        <v>1</v>
      </c>
      <c r="D69" s="1532" t="s">
        <v>794</v>
      </c>
      <c r="E69" s="1506" t="s">
        <v>794</v>
      </c>
      <c r="F69" s="1533"/>
      <c r="G69" s="1506" t="s">
        <v>795</v>
      </c>
      <c r="H69" s="1833">
        <v>0</v>
      </c>
      <c r="I69" s="1834">
        <v>0</v>
      </c>
      <c r="J69" s="1834">
        <v>0</v>
      </c>
      <c r="K69" s="1834">
        <v>0</v>
      </c>
      <c r="L69" s="1535">
        <f t="shared" si="7"/>
        <v>0</v>
      </c>
      <c r="N69" s="1536">
        <f>SUMIF(CF.2!$H$5:$H$25,CF.1!E69,CF.2!$J$5:$J$25)-SUMIF(CF.2!$K$5:$K$25,CF.1!E69,CF.2!$M$5:$M$25)</f>
        <v>0</v>
      </c>
      <c r="O69" s="1534">
        <f>SUMIF(CF.2!$H$31:$H$60,CF.1!E69,CF.2!$J$31:$J$60)+SUMIF(CF.2!$K$31:$K$60,CF.1!E69,CF.2!$M$31:$M$60)</f>
        <v>0</v>
      </c>
      <c r="P69" s="1534">
        <f>SUMIF(CF.2!$H$65:$H$108,CF.1!E69,CF.2!$J$65:$J$108)+SUMIF(CF.2!$K$65:$K$108,CF.1!E69,CF.2!$M$65:$M$108)</f>
        <v>0</v>
      </c>
      <c r="Q69" s="1534">
        <f>SUMIF(CF.2!$H$112:$H$118,CF.1!E69,CF.2!$J$112:$J$118)+SUMIF(CF.2!$K$112:$K$118,CF.1!E69,CF.2!$M$112:$M$118)</f>
        <v>0</v>
      </c>
      <c r="R69" s="1534">
        <f>SUMIF(CF.2!$H$123:$H$134,CF.1!E69,CF.2!$J$123:$J$134)+SUMIF(CF.2!$K$123:$K$134,CF.1!E69,CF.2!$M$123:$M$134)</f>
        <v>0</v>
      </c>
      <c r="S69" s="1535">
        <f t="shared" si="8"/>
        <v>0</v>
      </c>
      <c r="U69" s="1537">
        <f t="shared" si="9"/>
        <v>0</v>
      </c>
    </row>
    <row r="70" spans="3:30" ht="18" customHeight="1">
      <c r="C70" s="1364">
        <v>1</v>
      </c>
      <c r="D70" s="1532" t="s">
        <v>796</v>
      </c>
      <c r="E70" s="1506" t="s">
        <v>796</v>
      </c>
      <c r="F70" s="1533"/>
      <c r="G70" s="1506" t="s">
        <v>797</v>
      </c>
      <c r="H70" s="1833">
        <v>0</v>
      </c>
      <c r="I70" s="1834">
        <v>0</v>
      </c>
      <c r="J70" s="1834">
        <v>0</v>
      </c>
      <c r="K70" s="1834">
        <v>0</v>
      </c>
      <c r="L70" s="1535">
        <f t="shared" si="7"/>
        <v>0</v>
      </c>
      <c r="N70" s="1536">
        <f>SUMIF(CF.2!$H$5:$H$25,CF.1!E70,CF.2!$J$5:$J$25)-SUMIF(CF.2!$K$5:$K$25,CF.1!E70,CF.2!$M$5:$M$25)</f>
        <v>0</v>
      </c>
      <c r="O70" s="1534">
        <f>SUMIF(CF.2!$H$31:$H$60,CF.1!E70,CF.2!$J$31:$J$60)+SUMIF(CF.2!$K$31:$K$60,CF.1!E70,CF.2!$M$31:$M$60)</f>
        <v>0</v>
      </c>
      <c r="P70" s="1534">
        <f>SUMIF(CF.2!$H$65:$H$108,CF.1!E70,CF.2!$J$65:$J$108)+SUMIF(CF.2!$K$65:$K$108,CF.1!E70,CF.2!$M$65:$M$108)</f>
        <v>0</v>
      </c>
      <c r="Q70" s="1534">
        <f>SUMIF(CF.2!$H$112:$H$118,CF.1!E70,CF.2!$J$112:$J$118)+SUMIF(CF.2!$K$112:$K$118,CF.1!E70,CF.2!$M$112:$M$118)</f>
        <v>0</v>
      </c>
      <c r="R70" s="1534">
        <f>SUMIF(CF.2!$H$123:$H$134,CF.1!E70,CF.2!$J$123:$J$134)+SUMIF(CF.2!$K$123:$K$134,CF.1!E70,CF.2!$M$123:$M$134)</f>
        <v>0</v>
      </c>
      <c r="S70" s="1535">
        <f t="shared" si="8"/>
        <v>0</v>
      </c>
      <c r="U70" s="1537">
        <f t="shared" si="9"/>
        <v>0</v>
      </c>
    </row>
    <row r="71" spans="3:30" ht="18" customHeight="1">
      <c r="C71" s="1364">
        <v>1</v>
      </c>
      <c r="D71" s="1532" t="s">
        <v>798</v>
      </c>
      <c r="E71" s="1506" t="s">
        <v>798</v>
      </c>
      <c r="F71" s="1533"/>
      <c r="G71" s="1506" t="s">
        <v>799</v>
      </c>
      <c r="H71" s="1833">
        <v>0</v>
      </c>
      <c r="I71" s="1834">
        <v>0</v>
      </c>
      <c r="J71" s="1834">
        <v>0</v>
      </c>
      <c r="K71" s="1834">
        <v>0</v>
      </c>
      <c r="L71" s="1535">
        <f t="shared" si="7"/>
        <v>0</v>
      </c>
      <c r="N71" s="1536">
        <f>SUMIF(CF.2!$H$5:$H$25,CF.1!E71,CF.2!$J$5:$J$25)-SUMIF(CF.2!$K$5:$K$25,CF.1!E71,CF.2!$M$5:$M$25)</f>
        <v>0</v>
      </c>
      <c r="O71" s="1534">
        <f>SUMIF(CF.2!$H$31:$H$60,CF.1!E71,CF.2!$J$31:$J$60)+SUMIF(CF.2!$K$31:$K$60,CF.1!E71,CF.2!$M$31:$M$60)</f>
        <v>0</v>
      </c>
      <c r="P71" s="1534">
        <f>SUMIF(CF.2!$H$65:$H$108,CF.1!E71,CF.2!$J$65:$J$108)+SUMIF(CF.2!$K$65:$K$108,CF.1!E71,CF.2!$M$65:$M$108)</f>
        <v>0</v>
      </c>
      <c r="Q71" s="1534">
        <f>SUMIF(CF.2!$H$112:$H$118,CF.1!E71,CF.2!$J$112:$J$118)+SUMIF(CF.2!$K$112:$K$118,CF.1!E71,CF.2!$M$112:$M$118)</f>
        <v>0</v>
      </c>
      <c r="R71" s="1534">
        <f>SUMIF(CF.2!$H$123:$H$134,CF.1!E71,CF.2!$J$123:$J$134)+SUMIF(CF.2!$K$123:$K$134,CF.1!E71,CF.2!$M$123:$M$134)</f>
        <v>0</v>
      </c>
      <c r="S71" s="1535">
        <f t="shared" si="8"/>
        <v>0</v>
      </c>
      <c r="U71" s="1537">
        <f t="shared" si="9"/>
        <v>0</v>
      </c>
    </row>
    <row r="72" spans="3:30" ht="18" customHeight="1">
      <c r="C72" s="1364">
        <v>1</v>
      </c>
      <c r="D72" s="1532" t="s">
        <v>800</v>
      </c>
      <c r="E72" s="1506" t="s">
        <v>800</v>
      </c>
      <c r="F72" s="1545" t="s">
        <v>2201</v>
      </c>
      <c r="G72" s="1506" t="s">
        <v>801</v>
      </c>
      <c r="H72" s="1833">
        <v>0</v>
      </c>
      <c r="I72" s="1834">
        <v>0</v>
      </c>
      <c r="J72" s="1834">
        <v>0</v>
      </c>
      <c r="K72" s="1834">
        <v>0</v>
      </c>
      <c r="L72" s="1535">
        <f t="shared" si="7"/>
        <v>0</v>
      </c>
      <c r="N72" s="1536">
        <f>SUMIF(CF.2!$H$5:$H$25,CF.1!E72,CF.2!$J$5:$J$25)-SUMIF(CF.2!$K$5:$K$25,CF.1!E72,CF.2!$M$5:$M$25)</f>
        <v>0</v>
      </c>
      <c r="O72" s="1534">
        <f>SUMIF(CF.2!$H$31:$H$60,CF.1!E72,CF.2!$J$31:$J$60)+SUMIF(CF.2!$K$31:$K$60,CF.1!E72,CF.2!$M$31:$M$60)</f>
        <v>0</v>
      </c>
      <c r="P72" s="1534">
        <f>SUMIF(CF.2!$H$65:$H$108,CF.1!E72,CF.2!$J$65:$J$108)+SUMIF(CF.2!$K$65:$K$108,CF.1!E72,CF.2!$M$65:$M$108)</f>
        <v>0</v>
      </c>
      <c r="Q72" s="1534">
        <f>SUMIF(CF.2!$H$112:$H$118,CF.1!E72,CF.2!$J$112:$J$118)+SUMIF(CF.2!$K$112:$K$118,CF.1!E72,CF.2!$M$112:$M$118)</f>
        <v>0</v>
      </c>
      <c r="R72" s="1534">
        <f>SUMIF(CF.2!$H$123:$H$134,CF.1!E72,CF.2!$J$123:$J$134)+SUMIF(CF.2!$K$123:$K$134,CF.1!E72,CF.2!$M$123:$M$134)</f>
        <v>0</v>
      </c>
      <c r="S72" s="1535">
        <f t="shared" si="8"/>
        <v>0</v>
      </c>
      <c r="U72" s="1537">
        <f t="shared" si="9"/>
        <v>0</v>
      </c>
      <c r="W72" s="1364" t="b">
        <f>U72=T_IS!X98</f>
        <v>1</v>
      </c>
    </row>
    <row r="73" spans="3:30" s="1547" customFormat="1" ht="18" customHeight="1">
      <c r="C73" s="1364">
        <v>1</v>
      </c>
      <c r="D73" s="1546" t="s">
        <v>736</v>
      </c>
      <c r="E73" s="1547" t="s">
        <v>1767</v>
      </c>
      <c r="F73" s="1548" t="s">
        <v>686</v>
      </c>
      <c r="G73" s="1547" t="s">
        <v>1766</v>
      </c>
      <c r="H73" s="1833">
        <v>0</v>
      </c>
      <c r="I73" s="1834">
        <v>0</v>
      </c>
      <c r="J73" s="1834">
        <v>0</v>
      </c>
      <c r="K73" s="1834">
        <v>0</v>
      </c>
      <c r="L73" s="1535">
        <f t="shared" si="7"/>
        <v>0</v>
      </c>
      <c r="N73" s="1550">
        <f>SUMIF(CF.2!$H$5:$H$25,CF.1!E73,CF.2!$J$5:$J$25)-SUMIF(CF.2!$K$5:$K$25,CF.1!E73,CF.2!$M$5:$M$25)</f>
        <v>0</v>
      </c>
      <c r="O73" s="1551">
        <f>SUMIF(CF.2!$H$31:$H$60,CF.1!E73,CF.2!$J$31:$J$60)+SUMIF(CF.2!$K$31:$K$60,CF.1!E73,CF.2!$M$31:$M$60)</f>
        <v>0</v>
      </c>
      <c r="P73" s="1551">
        <f>SUMIF(CF.2!$H$65:$H$108,CF.1!E73,CF.2!$J$65:$J$108)+SUMIF(CF.2!$K$65:$K$108,CF.1!E73,CF.2!$M$65:$M$108)</f>
        <v>0</v>
      </c>
      <c r="Q73" s="1551">
        <f>SUMIF(CF.2!$H$112:$H$118,CF.1!E73,CF.2!$J$112:$J$118)+SUMIF(CF.2!$K$112:$K$118,CF.1!E73,CF.2!$M$112:$M$118)</f>
        <v>0</v>
      </c>
      <c r="R73" s="1551">
        <f>SUMIF(CF.2!$H$123:$H$134,CF.1!E73,CF.2!$J$123:$J$134)+SUMIF(CF.2!$K$123:$K$134,CF.1!E73,CF.2!$M$123:$M$134)</f>
        <v>0</v>
      </c>
      <c r="S73" s="1549">
        <f t="shared" si="8"/>
        <v>0</v>
      </c>
      <c r="U73" s="1537">
        <f t="shared" si="9"/>
        <v>0</v>
      </c>
      <c r="X73" s="1364"/>
      <c r="Y73" s="1364"/>
      <c r="Z73" s="1364"/>
      <c r="AD73" s="1364"/>
    </row>
    <row r="74" spans="3:30" ht="18" customHeight="1">
      <c r="C74" s="1364">
        <v>1</v>
      </c>
      <c r="D74" s="1532" t="s">
        <v>802</v>
      </c>
      <c r="E74" s="1506" t="s">
        <v>802</v>
      </c>
      <c r="F74" s="1545" t="s">
        <v>2549</v>
      </c>
      <c r="G74" s="1259" t="s">
        <v>803</v>
      </c>
      <c r="H74" s="1833">
        <v>42135654</v>
      </c>
      <c r="I74" s="1834">
        <v>0</v>
      </c>
      <c r="J74" s="1834">
        <v>0</v>
      </c>
      <c r="K74" s="1834">
        <v>0</v>
      </c>
      <c r="L74" s="1535">
        <f t="shared" si="7"/>
        <v>42135654</v>
      </c>
      <c r="N74" s="1536">
        <f>SUMIF(CF.2!$H$5:$H$25,CF.1!E74,CF.2!$J$5:$J$25)-SUMIF(CF.2!$K$5:$K$25,CF.1!E74,CF.2!$M$5:$M$25)</f>
        <v>0</v>
      </c>
      <c r="O74" s="1534">
        <f>SUMIF(CF.2!$H$31:$H$60,CF.1!E74,CF.2!$J$31:$J$60)+SUMIF(CF.2!$K$31:$K$60,CF.1!E74,CF.2!$M$31:$M$60)</f>
        <v>0</v>
      </c>
      <c r="P74" s="1534">
        <f>SUMIF(CF.2!$H$65:$H$108,CF.1!E74,CF.2!$J$65:$J$108)+SUMIF(CF.2!$K$65:$K$108,CF.1!E74,CF.2!$M$65:$M$108)</f>
        <v>0</v>
      </c>
      <c r="Q74" s="1534">
        <f>SUMIF(CF.2!$H$112:$H$118,CF.1!E74,CF.2!$J$112:$J$118)+SUMIF(CF.2!$K$112:$K$118,CF.1!E74,CF.2!$M$112:$M$118)</f>
        <v>0</v>
      </c>
      <c r="R74" s="1534">
        <f>SUMIF(CF.2!$H$123:$H$134,CF.1!E74,CF.2!$J$123:$J$134)+SUMIF(CF.2!$K$123:$K$134,CF.1!E74,CF.2!$M$123:$M$134)</f>
        <v>0</v>
      </c>
      <c r="S74" s="1535">
        <f t="shared" si="8"/>
        <v>0</v>
      </c>
      <c r="U74" s="1537">
        <f t="shared" si="9"/>
        <v>42135654</v>
      </c>
      <c r="X74" s="1547"/>
      <c r="Z74" s="1547"/>
    </row>
    <row r="75" spans="3:30" ht="18" customHeight="1">
      <c r="C75" s="1364">
        <v>1</v>
      </c>
      <c r="D75" s="1525" t="s">
        <v>804</v>
      </c>
      <c r="E75" s="1526" t="s">
        <v>804</v>
      </c>
      <c r="F75" s="1527"/>
      <c r="G75" s="1526" t="s">
        <v>805</v>
      </c>
      <c r="H75" s="1831">
        <f>SUM(H76:H126)</f>
        <v>-50697165460</v>
      </c>
      <c r="I75" s="1831">
        <f>SUM(I76:I126)</f>
        <v>-5363942</v>
      </c>
      <c r="J75" s="1831">
        <f>SUM(J76:J126)</f>
        <v>0</v>
      </c>
      <c r="K75" s="1831">
        <f>SUM(K76:K126)</f>
        <v>-103180870</v>
      </c>
      <c r="L75" s="1529">
        <f>SUM(L76:L126)</f>
        <v>-50805710272</v>
      </c>
      <c r="N75" s="1530">
        <f t="shared" ref="N75:S75" si="10">SUM(N76:N126)</f>
        <v>0</v>
      </c>
      <c r="O75" s="1528">
        <f t="shared" si="10"/>
        <v>0</v>
      </c>
      <c r="P75" s="1528">
        <f t="shared" si="10"/>
        <v>1590698630</v>
      </c>
      <c r="Q75" s="1528">
        <f t="shared" si="10"/>
        <v>0</v>
      </c>
      <c r="R75" s="1528">
        <f t="shared" si="10"/>
        <v>-1413694186</v>
      </c>
      <c r="S75" s="1529">
        <f t="shared" si="10"/>
        <v>177004444</v>
      </c>
      <c r="U75" s="1531">
        <f>SUM(U76:U126)</f>
        <v>-50628705828</v>
      </c>
      <c r="V75" s="1364" t="b">
        <f>U75=SUM(U76:U126)</f>
        <v>1</v>
      </c>
      <c r="X75" s="1089"/>
      <c r="Y75" s="1089"/>
      <c r="Z75" s="1089"/>
    </row>
    <row r="76" spans="3:30" ht="18" customHeight="1">
      <c r="C76" s="1364">
        <v>1</v>
      </c>
      <c r="D76" s="1532" t="s">
        <v>806</v>
      </c>
      <c r="E76" s="1506" t="s">
        <v>806</v>
      </c>
      <c r="F76" s="1533" t="s">
        <v>675</v>
      </c>
      <c r="G76" s="1506" t="s">
        <v>675</v>
      </c>
      <c r="H76" s="1833">
        <v>-1557307639</v>
      </c>
      <c r="I76" s="1833">
        <v>0</v>
      </c>
      <c r="J76" s="1834">
        <v>0</v>
      </c>
      <c r="K76" s="1834">
        <v>0</v>
      </c>
      <c r="L76" s="1535">
        <f t="shared" ref="L76:L107" si="11">SUM(H76:K76)</f>
        <v>-1557307639</v>
      </c>
      <c r="N76" s="1536">
        <f>SUMIF(CF.2!$H$5:$H$25,CF.1!E76,CF.2!$J$5:$J$25)-SUMIF(CF.2!$K$5:$K$25,CF.1!E76,CF.2!$M$5:$M$25)</f>
        <v>0</v>
      </c>
      <c r="O76" s="1534">
        <f>SUMIF(CF.2!$H$31:$H$60,CF.1!E76,CF.2!$J$31:$J$60)+SUMIF(CF.2!$K$31:$K$60,CF.1!E76,CF.2!$M$31:$M$60)</f>
        <v>0</v>
      </c>
      <c r="P76" s="1534">
        <f>SUMIF(CF.2!$H$65:$H$108,CF.1!E76,CF.2!$J$65:$J$108)+SUMIF(CF.2!$K$65:$K$108,CF.1!E76,CF.2!$M$65:$M$108)</f>
        <v>0</v>
      </c>
      <c r="Q76" s="1534">
        <f>SUMIF(CF.2!$H$112:$H$118,CF.1!E76,CF.2!$J$112:$J$118)+SUMIF(CF.2!$K$112:$K$118,CF.1!E76,CF.2!$M$112:$M$118)</f>
        <v>0</v>
      </c>
      <c r="R76" s="1534">
        <f>SUMIF(CF.2!$H$123:$H$134,CF.1!E76,CF.2!$J$123:$J$134)+SUMIF(CF.2!$K$123:$K$134,CF.1!E76,CF.2!$M$123:$M$134)</f>
        <v>0</v>
      </c>
      <c r="S76" s="1535">
        <f t="shared" ref="S76:S107" si="12">SUM(N76:R76)</f>
        <v>0</v>
      </c>
      <c r="U76" s="1537">
        <f t="shared" ref="U76:U107" si="13">ROUND(S76+L76,0)</f>
        <v>-1557307639</v>
      </c>
      <c r="W76" s="509" t="b">
        <f>U76=-(T_IS!X82+T_IS!X83)</f>
        <v>0</v>
      </c>
    </row>
    <row r="77" spans="3:30" ht="18" customHeight="1">
      <c r="C77" s="1364">
        <v>1</v>
      </c>
      <c r="D77" s="1532" t="s">
        <v>807</v>
      </c>
      <c r="E77" s="1506" t="s">
        <v>807</v>
      </c>
      <c r="F77" s="1533" t="s">
        <v>1419</v>
      </c>
      <c r="G77" s="1506" t="s">
        <v>808</v>
      </c>
      <c r="H77" s="1833">
        <v>0</v>
      </c>
      <c r="I77" s="1834">
        <v>0</v>
      </c>
      <c r="J77" s="1834">
        <v>0</v>
      </c>
      <c r="K77" s="1834">
        <v>0</v>
      </c>
      <c r="L77" s="1535">
        <f t="shared" si="11"/>
        <v>0</v>
      </c>
      <c r="N77" s="1536">
        <f>SUMIF(CF.2!$H$5:$H$25,CF.1!E77,CF.2!$J$5:$J$25)-SUMIF(CF.2!$K$5:$K$25,CF.1!E77,CF.2!$M$5:$M$25)</f>
        <v>0</v>
      </c>
      <c r="O77" s="1534">
        <f>SUMIF(CF.2!$H$31:$H$60,CF.1!E77,CF.2!$J$31:$J$60)+SUMIF(CF.2!$K$31:$K$60,CF.1!E77,CF.2!$M$31:$M$60)</f>
        <v>0</v>
      </c>
      <c r="P77" s="1534">
        <f>SUMIF(CF.2!$H$65:$H$108,CF.1!E77,CF.2!$J$65:$J$108)+SUMIF(CF.2!$K$65:$K$108,CF.1!E77,CF.2!$M$65:$M$108)</f>
        <v>0</v>
      </c>
      <c r="Q77" s="1534">
        <f>SUMIF(CF.2!$H$112:$H$118,CF.1!E77,CF.2!$J$112:$J$118)+SUMIF(CF.2!$K$112:$K$118,CF.1!E77,CF.2!$M$112:$M$118)</f>
        <v>0</v>
      </c>
      <c r="R77" s="1534">
        <f>SUMIF(CF.2!$H$123:$H$134,CF.1!E77,CF.2!$J$123:$J$134)+SUMIF(CF.2!$K$123:$K$134,CF.1!E77,CF.2!$M$123:$M$134)</f>
        <v>0</v>
      </c>
      <c r="S77" s="1535">
        <f t="shared" si="12"/>
        <v>0</v>
      </c>
      <c r="U77" s="1537">
        <f t="shared" si="13"/>
        <v>0</v>
      </c>
    </row>
    <row r="78" spans="3:30" ht="18" customHeight="1">
      <c r="C78" s="1364">
        <v>1</v>
      </c>
      <c r="D78" s="1532" t="s">
        <v>809</v>
      </c>
      <c r="E78" s="1506" t="s">
        <v>809</v>
      </c>
      <c r="F78" s="1533" t="s">
        <v>881</v>
      </c>
      <c r="G78" s="1506" t="s">
        <v>810</v>
      </c>
      <c r="H78" s="1833">
        <v>0</v>
      </c>
      <c r="I78" s="1834">
        <v>0</v>
      </c>
      <c r="J78" s="1834">
        <v>0</v>
      </c>
      <c r="K78" s="1834">
        <v>0</v>
      </c>
      <c r="L78" s="1535">
        <f t="shared" si="11"/>
        <v>0</v>
      </c>
      <c r="N78" s="1536">
        <f>SUMIF(CF.2!$H$5:$H$25,CF.1!E78,CF.2!$J$5:$J$25)-SUMIF(CF.2!$K$5:$K$25,CF.1!E78,CF.2!$M$5:$M$25)</f>
        <v>0</v>
      </c>
      <c r="O78" s="1534">
        <f>SUMIF(CF.2!$H$31:$H$60,CF.1!E78,CF.2!$J$31:$J$60)+SUMIF(CF.2!$K$31:$K$60,CF.1!E78,CF.2!$M$31:$M$60)</f>
        <v>0</v>
      </c>
      <c r="P78" s="1534">
        <f>SUMIF(CF.2!$H$65:$H$108,CF.1!E78,CF.2!$J$65:$J$108)+SUMIF(CF.2!$K$65:$K$108,CF.1!E78,CF.2!$M$65:$M$108)</f>
        <v>0</v>
      </c>
      <c r="Q78" s="1534">
        <f>SUMIF(CF.2!$H$112:$H$118,CF.1!E78,CF.2!$J$112:$J$118)+SUMIF(CF.2!$K$112:$K$118,CF.1!E78,CF.2!$M$112:$M$118)</f>
        <v>0</v>
      </c>
      <c r="R78" s="1534">
        <f>SUMIF(CF.2!$H$123:$H$134,CF.1!E78,CF.2!$J$123:$J$134)+SUMIF(CF.2!$K$123:$K$134,CF.1!E78,CF.2!$M$123:$M$134)</f>
        <v>0</v>
      </c>
      <c r="S78" s="1535">
        <f t="shared" si="12"/>
        <v>0</v>
      </c>
      <c r="U78" s="1537">
        <f t="shared" si="13"/>
        <v>0</v>
      </c>
    </row>
    <row r="79" spans="3:30" ht="18" customHeight="1">
      <c r="C79" s="1364">
        <v>1</v>
      </c>
      <c r="D79" s="1532" t="s">
        <v>811</v>
      </c>
      <c r="E79" s="1506" t="s">
        <v>811</v>
      </c>
      <c r="F79" s="1533"/>
      <c r="G79" s="1506" t="s">
        <v>812</v>
      </c>
      <c r="H79" s="1833">
        <v>0</v>
      </c>
      <c r="I79" s="1834">
        <v>0</v>
      </c>
      <c r="J79" s="1834">
        <v>0</v>
      </c>
      <c r="K79" s="1834">
        <v>0</v>
      </c>
      <c r="L79" s="1535">
        <f t="shared" si="11"/>
        <v>0</v>
      </c>
      <c r="N79" s="1536">
        <f>SUMIF(CF.2!$H$5:$H$25,CF.1!E79,CF.2!$J$5:$J$25)-SUMIF(CF.2!$K$5:$K$25,CF.1!E79,CF.2!$M$5:$M$25)</f>
        <v>0</v>
      </c>
      <c r="O79" s="1534">
        <f>SUMIF(CF.2!$H$31:$H$60,CF.1!E79,CF.2!$J$31:$J$60)+SUMIF(CF.2!$K$31:$K$60,CF.1!E79,CF.2!$M$31:$M$60)</f>
        <v>0</v>
      </c>
      <c r="P79" s="1534">
        <f>SUMIF(CF.2!$H$65:$H$108,CF.1!E79,CF.2!$J$65:$J$108)+SUMIF(CF.2!$K$65:$K$108,CF.1!E79,CF.2!$M$65:$M$108)</f>
        <v>0</v>
      </c>
      <c r="Q79" s="1534">
        <f>SUMIF(CF.2!$H$112:$H$118,CF.1!E79,CF.2!$J$112:$J$118)+SUMIF(CF.2!$K$112:$K$118,CF.1!E79,CF.2!$M$112:$M$118)</f>
        <v>0</v>
      </c>
      <c r="R79" s="1534">
        <f>SUMIF(CF.2!$H$123:$H$134,CF.1!E79,CF.2!$J$123:$J$134)+SUMIF(CF.2!$K$123:$K$134,CF.1!E79,CF.2!$M$123:$M$134)</f>
        <v>0</v>
      </c>
      <c r="S79" s="1535">
        <f t="shared" si="12"/>
        <v>0</v>
      </c>
      <c r="U79" s="1537">
        <f t="shared" si="13"/>
        <v>0</v>
      </c>
    </row>
    <row r="80" spans="3:30" ht="18" customHeight="1">
      <c r="C80" s="1364">
        <v>1</v>
      </c>
      <c r="D80" s="1532" t="s">
        <v>813</v>
      </c>
      <c r="E80" s="1506" t="s">
        <v>813</v>
      </c>
      <c r="F80" s="1533"/>
      <c r="G80" s="1506" t="s">
        <v>814</v>
      </c>
      <c r="H80" s="1833">
        <v>0</v>
      </c>
      <c r="I80" s="1834">
        <v>0</v>
      </c>
      <c r="J80" s="1834">
        <v>0</v>
      </c>
      <c r="K80" s="1834">
        <v>0</v>
      </c>
      <c r="L80" s="1535">
        <f t="shared" si="11"/>
        <v>0</v>
      </c>
      <c r="N80" s="1536">
        <f>SUMIF(CF.2!$H$5:$H$25,CF.1!E80,CF.2!$J$5:$J$25)-SUMIF(CF.2!$K$5:$K$25,CF.1!E80,CF.2!$M$5:$M$25)</f>
        <v>0</v>
      </c>
      <c r="O80" s="1534">
        <f>SUMIF(CF.2!$H$31:$H$60,CF.1!E80,CF.2!$J$31:$J$60)+SUMIF(CF.2!$K$31:$K$60,CF.1!E80,CF.2!$M$31:$M$60)</f>
        <v>0</v>
      </c>
      <c r="P80" s="1534">
        <f>SUMIF(CF.2!$H$65:$H$108,CF.1!E80,CF.2!$J$65:$J$108)+SUMIF(CF.2!$K$65:$K$108,CF.1!E80,CF.2!$M$65:$M$108)</f>
        <v>0</v>
      </c>
      <c r="Q80" s="1534">
        <f>SUMIF(CF.2!$H$112:$H$118,CF.1!E80,CF.2!$J$112:$J$118)+SUMIF(CF.2!$K$112:$K$118,CF.1!E80,CF.2!$M$112:$M$118)</f>
        <v>0</v>
      </c>
      <c r="R80" s="1534">
        <f>SUMIF(CF.2!$H$123:$H$134,CF.1!E80,CF.2!$J$123:$J$134)+SUMIF(CF.2!$K$123:$K$134,CF.1!E80,CF.2!$M$123:$M$134)</f>
        <v>0</v>
      </c>
      <c r="S80" s="1535">
        <f t="shared" si="12"/>
        <v>0</v>
      </c>
      <c r="U80" s="1537">
        <f t="shared" si="13"/>
        <v>0</v>
      </c>
    </row>
    <row r="81" spans="3:23" ht="18" customHeight="1">
      <c r="C81" s="1364">
        <v>1</v>
      </c>
      <c r="D81" s="1532" t="s">
        <v>815</v>
      </c>
      <c r="E81" s="1506" t="s">
        <v>815</v>
      </c>
      <c r="F81" s="1533" t="s">
        <v>816</v>
      </c>
      <c r="G81" s="1506" t="s">
        <v>816</v>
      </c>
      <c r="H81" s="1833">
        <v>0</v>
      </c>
      <c r="I81" s="1834">
        <v>0</v>
      </c>
      <c r="J81" s="1834">
        <v>0</v>
      </c>
      <c r="K81" s="1834">
        <v>0</v>
      </c>
      <c r="L81" s="1535">
        <f t="shared" si="11"/>
        <v>0</v>
      </c>
      <c r="N81" s="1536">
        <f>SUMIF(CF.2!$H$5:$H$25,CF.1!E81,CF.2!$J$5:$J$25)-SUMIF(CF.2!$K$5:$K$25,CF.1!E81,CF.2!$M$5:$M$25)</f>
        <v>0</v>
      </c>
      <c r="O81" s="1534">
        <f>SUMIF(CF.2!$H$31:$H$60,CF.1!E81,CF.2!$J$31:$J$60)+SUMIF(CF.2!$K$31:$K$60,CF.1!E81,CF.2!$M$31:$M$60)</f>
        <v>0</v>
      </c>
      <c r="P81" s="1534">
        <f>SUMIF(CF.2!$H$65:$H$108,CF.1!E81,CF.2!$J$65:$J$108)+SUMIF(CF.2!$K$65:$K$108,CF.1!E81,CF.2!$M$65:$M$108)</f>
        <v>0</v>
      </c>
      <c r="Q81" s="1534">
        <f>SUMIF(CF.2!$H$112:$H$118,CF.1!E81,CF.2!$J$112:$J$118)+SUMIF(CF.2!$K$112:$K$118,CF.1!E81,CF.2!$M$112:$M$118)</f>
        <v>0</v>
      </c>
      <c r="R81" s="1534">
        <f>SUMIF(CF.2!$H$123:$H$134,CF.1!E81,CF.2!$J$123:$J$134)+SUMIF(CF.2!$K$123:$K$134,CF.1!E81,CF.2!$M$123:$M$134)</f>
        <v>-1413694186</v>
      </c>
      <c r="S81" s="1535">
        <f t="shared" si="12"/>
        <v>-1413694186</v>
      </c>
      <c r="U81" s="1537">
        <f t="shared" si="13"/>
        <v>-1413694186</v>
      </c>
      <c r="W81" s="1364" t="b">
        <f>U81=-T_IS!X119</f>
        <v>1</v>
      </c>
    </row>
    <row r="82" spans="3:23" ht="18" customHeight="1">
      <c r="C82" s="1364">
        <v>1</v>
      </c>
      <c r="D82" s="1532" t="s">
        <v>817</v>
      </c>
      <c r="E82" s="1506" t="s">
        <v>817</v>
      </c>
      <c r="F82" s="1533" t="s">
        <v>2391</v>
      </c>
      <c r="G82" s="1506" t="s">
        <v>818</v>
      </c>
      <c r="H82" s="1833">
        <v>0</v>
      </c>
      <c r="I82" s="1834">
        <v>0</v>
      </c>
      <c r="J82" s="1834">
        <v>0</v>
      </c>
      <c r="K82" s="1834">
        <v>0</v>
      </c>
      <c r="L82" s="1535">
        <f t="shared" si="11"/>
        <v>0</v>
      </c>
      <c r="N82" s="1536">
        <f>SUMIF(CF.2!$H$5:$H$25,CF.1!E82,CF.2!$J$5:$J$25)-SUMIF(CF.2!$K$5:$K$25,CF.1!E82,CF.2!$M$5:$M$25)</f>
        <v>0</v>
      </c>
      <c r="O82" s="1534">
        <f>SUMIF(CF.2!$H$31:$H$60,CF.1!E82,CF.2!$J$31:$J$60)+SUMIF(CF.2!$K$31:$K$60,CF.1!E82,CF.2!$M$31:$M$60)</f>
        <v>0</v>
      </c>
      <c r="P82" s="1534">
        <f>SUMIF(CF.2!$H$65:$H$108,CF.1!E82,CF.2!$J$65:$J$108)+SUMIF(CF.2!$K$65:$K$108,CF.1!E82,CF.2!$M$65:$M$108)</f>
        <v>0</v>
      </c>
      <c r="Q82" s="1534">
        <f>SUMIF(CF.2!$H$112:$H$118,CF.1!E82,CF.2!$J$112:$J$118)+SUMIF(CF.2!$K$112:$K$118,CF.1!E82,CF.2!$M$112:$M$118)</f>
        <v>0</v>
      </c>
      <c r="R82" s="1534">
        <f>SUMIF(CF.2!$H$123:$H$134,CF.1!E82,CF.2!$J$123:$J$134)+SUMIF(CF.2!$K$123:$K$134,CF.1!E82,CF.2!$M$123:$M$134)</f>
        <v>0</v>
      </c>
      <c r="S82" s="1535">
        <f t="shared" si="12"/>
        <v>0</v>
      </c>
      <c r="U82" s="1537">
        <f t="shared" si="13"/>
        <v>0</v>
      </c>
    </row>
    <row r="83" spans="3:23" ht="18" customHeight="1">
      <c r="C83" s="1364">
        <v>1</v>
      </c>
      <c r="D83" s="1532" t="s">
        <v>819</v>
      </c>
      <c r="E83" s="1506" t="s">
        <v>819</v>
      </c>
      <c r="F83" s="1533"/>
      <c r="G83" s="1506" t="s">
        <v>820</v>
      </c>
      <c r="H83" s="1833">
        <v>0</v>
      </c>
      <c r="I83" s="1834">
        <v>0</v>
      </c>
      <c r="J83" s="1834">
        <v>0</v>
      </c>
      <c r="K83" s="1834">
        <v>0</v>
      </c>
      <c r="L83" s="1535">
        <f t="shared" si="11"/>
        <v>0</v>
      </c>
      <c r="N83" s="1536">
        <f>SUMIF(CF.2!$H$5:$H$25,CF.1!E83,CF.2!$J$5:$J$25)-SUMIF(CF.2!$K$5:$K$25,CF.1!E83,CF.2!$M$5:$M$25)</f>
        <v>0</v>
      </c>
      <c r="O83" s="1534">
        <f>SUMIF(CF.2!$H$31:$H$60,CF.1!E83,CF.2!$J$31:$J$60)+SUMIF(CF.2!$K$31:$K$60,CF.1!E83,CF.2!$M$31:$M$60)</f>
        <v>0</v>
      </c>
      <c r="P83" s="1534">
        <f>SUMIF(CF.2!$H$65:$H$108,CF.1!E83,CF.2!$J$65:$J$108)+SUMIF(CF.2!$K$65:$K$108,CF.1!E83,CF.2!$M$65:$M$108)</f>
        <v>0</v>
      </c>
      <c r="Q83" s="1534">
        <f>SUMIF(CF.2!$H$112:$H$118,CF.1!E83,CF.2!$J$112:$J$118)+SUMIF(CF.2!$K$112:$K$118,CF.1!E83,CF.2!$M$112:$M$118)</f>
        <v>0</v>
      </c>
      <c r="R83" s="1534">
        <f>SUMIF(CF.2!$H$123:$H$134,CF.1!E83,CF.2!$J$123:$J$134)+SUMIF(CF.2!$K$123:$K$134,CF.1!E83,CF.2!$M$123:$M$134)</f>
        <v>0</v>
      </c>
      <c r="S83" s="1535">
        <f t="shared" si="12"/>
        <v>0</v>
      </c>
      <c r="U83" s="1537">
        <f t="shared" si="13"/>
        <v>0</v>
      </c>
    </row>
    <row r="84" spans="3:23" ht="18" customHeight="1">
      <c r="C84" s="1364">
        <v>1</v>
      </c>
      <c r="D84" s="1532" t="s">
        <v>821</v>
      </c>
      <c r="E84" s="1506" t="s">
        <v>821</v>
      </c>
      <c r="F84" s="1533"/>
      <c r="G84" s="1506" t="s">
        <v>822</v>
      </c>
      <c r="H84" s="1833">
        <v>0</v>
      </c>
      <c r="I84" s="1834">
        <v>0</v>
      </c>
      <c r="J84" s="1834">
        <v>0</v>
      </c>
      <c r="K84" s="1834">
        <v>0</v>
      </c>
      <c r="L84" s="1535">
        <f t="shared" si="11"/>
        <v>0</v>
      </c>
      <c r="N84" s="1536">
        <f>SUMIF(CF.2!$H$5:$H$25,CF.1!E84,CF.2!$J$5:$J$25)-SUMIF(CF.2!$K$5:$K$25,CF.1!E84,CF.2!$M$5:$M$25)</f>
        <v>0</v>
      </c>
      <c r="O84" s="1534">
        <f>SUMIF(CF.2!$H$31:$H$60,CF.1!E84,CF.2!$J$31:$J$60)+SUMIF(CF.2!$K$31:$K$60,CF.1!E84,CF.2!$M$31:$M$60)</f>
        <v>0</v>
      </c>
      <c r="P84" s="1534">
        <f>SUMIF(CF.2!$H$65:$H$108,CF.1!E84,CF.2!$J$65:$J$108)+SUMIF(CF.2!$K$65:$K$108,CF.1!E84,CF.2!$M$65:$M$108)</f>
        <v>0</v>
      </c>
      <c r="Q84" s="1534">
        <f>SUMIF(CF.2!$H$112:$H$118,CF.1!E84,CF.2!$J$112:$J$118)+SUMIF(CF.2!$K$112:$K$118,CF.1!E84,CF.2!$M$112:$M$118)</f>
        <v>0</v>
      </c>
      <c r="R84" s="1534">
        <f>SUMIF(CF.2!$H$123:$H$134,CF.1!E84,CF.2!$J$123:$J$134)+SUMIF(CF.2!$K$123:$K$134,CF.1!E84,CF.2!$M$123:$M$134)</f>
        <v>0</v>
      </c>
      <c r="S84" s="1535">
        <f t="shared" si="12"/>
        <v>0</v>
      </c>
      <c r="U84" s="1537">
        <f t="shared" si="13"/>
        <v>0</v>
      </c>
    </row>
    <row r="85" spans="3:23" ht="18" customHeight="1">
      <c r="C85" s="1364">
        <v>1</v>
      </c>
      <c r="D85" s="1532" t="s">
        <v>823</v>
      </c>
      <c r="E85" s="1506" t="s">
        <v>823</v>
      </c>
      <c r="F85" s="1533"/>
      <c r="G85" s="1506" t="s">
        <v>824</v>
      </c>
      <c r="H85" s="1833">
        <v>0</v>
      </c>
      <c r="I85" s="1834">
        <v>0</v>
      </c>
      <c r="J85" s="1834">
        <v>0</v>
      </c>
      <c r="K85" s="1834">
        <v>0</v>
      </c>
      <c r="L85" s="1535">
        <f t="shared" si="11"/>
        <v>0</v>
      </c>
      <c r="N85" s="1536">
        <f>SUMIF(CF.2!$H$5:$H$25,CF.1!E85,CF.2!$J$5:$J$25)-SUMIF(CF.2!$K$5:$K$25,CF.1!E85,CF.2!$M$5:$M$25)</f>
        <v>0</v>
      </c>
      <c r="O85" s="1534">
        <f>SUMIF(CF.2!$H$31:$H$60,CF.1!E85,CF.2!$J$31:$J$60)+SUMIF(CF.2!$K$31:$K$60,CF.1!E85,CF.2!$M$31:$M$60)</f>
        <v>0</v>
      </c>
      <c r="P85" s="1534">
        <f>SUMIF(CF.2!$H$65:$H$108,CF.1!E85,CF.2!$J$65:$J$108)+SUMIF(CF.2!$K$65:$K$108,CF.1!E85,CF.2!$M$65:$M$108)</f>
        <v>0</v>
      </c>
      <c r="Q85" s="1534">
        <f>SUMIF(CF.2!$H$112:$H$118,CF.1!E85,CF.2!$J$112:$J$118)+SUMIF(CF.2!$K$112:$K$118,CF.1!E85,CF.2!$M$112:$M$118)</f>
        <v>0</v>
      </c>
      <c r="R85" s="1534">
        <f>SUMIF(CF.2!$H$123:$H$134,CF.1!E85,CF.2!$J$123:$J$134)+SUMIF(CF.2!$K$123:$K$134,CF.1!E85,CF.2!$M$123:$M$134)</f>
        <v>0</v>
      </c>
      <c r="S85" s="1535">
        <f t="shared" si="12"/>
        <v>0</v>
      </c>
      <c r="U85" s="1537">
        <f t="shared" si="13"/>
        <v>0</v>
      </c>
    </row>
    <row r="86" spans="3:23" ht="18" customHeight="1">
      <c r="C86" s="1364">
        <v>1</v>
      </c>
      <c r="D86" s="1532" t="s">
        <v>825</v>
      </c>
      <c r="E86" s="1506" t="s">
        <v>825</v>
      </c>
      <c r="F86" s="1533"/>
      <c r="G86" s="1506" t="s">
        <v>826</v>
      </c>
      <c r="H86" s="1833">
        <v>0</v>
      </c>
      <c r="I86" s="1834">
        <v>0</v>
      </c>
      <c r="J86" s="1834">
        <v>0</v>
      </c>
      <c r="K86" s="1834">
        <v>0</v>
      </c>
      <c r="L86" s="1535">
        <f t="shared" si="11"/>
        <v>0</v>
      </c>
      <c r="N86" s="1536">
        <f>SUMIF(CF.2!$H$5:$H$25,CF.1!E86,CF.2!$J$5:$J$25)-SUMIF(CF.2!$K$5:$K$25,CF.1!E86,CF.2!$M$5:$M$25)</f>
        <v>0</v>
      </c>
      <c r="O86" s="1534">
        <f>SUMIF(CF.2!$H$31:$H$60,CF.1!E86,CF.2!$J$31:$J$60)+SUMIF(CF.2!$K$31:$K$60,CF.1!E86,CF.2!$M$31:$M$60)</f>
        <v>0</v>
      </c>
      <c r="P86" s="1534">
        <f>SUMIF(CF.2!$H$65:$H$108,CF.1!E86,CF.2!$J$65:$J$108)+SUMIF(CF.2!$K$65:$K$108,CF.1!E86,CF.2!$M$65:$M$108)</f>
        <v>0</v>
      </c>
      <c r="Q86" s="1534">
        <f>SUMIF(CF.2!$H$112:$H$118,CF.1!E86,CF.2!$J$112:$J$118)+SUMIF(CF.2!$K$112:$K$118,CF.1!E86,CF.2!$M$112:$M$118)</f>
        <v>0</v>
      </c>
      <c r="R86" s="1534">
        <f>SUMIF(CF.2!$H$123:$H$134,CF.1!E86,CF.2!$J$123:$J$134)+SUMIF(CF.2!$K$123:$K$134,CF.1!E86,CF.2!$M$123:$M$134)</f>
        <v>0</v>
      </c>
      <c r="S86" s="1535">
        <f t="shared" si="12"/>
        <v>0</v>
      </c>
      <c r="U86" s="1537">
        <f t="shared" si="13"/>
        <v>0</v>
      </c>
    </row>
    <row r="87" spans="3:23" ht="18" customHeight="1">
      <c r="C87" s="1364">
        <v>1</v>
      </c>
      <c r="D87" s="1532" t="s">
        <v>827</v>
      </c>
      <c r="E87" s="1506" t="s">
        <v>827</v>
      </c>
      <c r="F87" s="1533"/>
      <c r="G87" s="1506" t="s">
        <v>828</v>
      </c>
      <c r="H87" s="1833">
        <v>0</v>
      </c>
      <c r="I87" s="1834">
        <v>0</v>
      </c>
      <c r="J87" s="1834">
        <v>0</v>
      </c>
      <c r="K87" s="1834">
        <v>0</v>
      </c>
      <c r="L87" s="1535">
        <f t="shared" si="11"/>
        <v>0</v>
      </c>
      <c r="N87" s="1536">
        <f>SUMIF(CF.2!$H$5:$H$25,CF.1!E87,CF.2!$J$5:$J$25)-SUMIF(CF.2!$K$5:$K$25,CF.1!E87,CF.2!$M$5:$M$25)</f>
        <v>0</v>
      </c>
      <c r="O87" s="1534">
        <f>SUMIF(CF.2!$H$31:$H$60,CF.1!E87,CF.2!$J$31:$J$60)+SUMIF(CF.2!$K$31:$K$60,CF.1!E87,CF.2!$M$31:$M$60)</f>
        <v>0</v>
      </c>
      <c r="P87" s="1534">
        <f>SUMIF(CF.2!$H$65:$H$108,CF.1!E87,CF.2!$J$65:$J$108)+SUMIF(CF.2!$K$65:$K$108,CF.1!E87,CF.2!$M$65:$M$108)</f>
        <v>0</v>
      </c>
      <c r="Q87" s="1534">
        <f>SUMIF(CF.2!$H$112:$H$118,CF.1!E87,CF.2!$J$112:$J$118)+SUMIF(CF.2!$K$112:$K$118,CF.1!E87,CF.2!$M$112:$M$118)</f>
        <v>0</v>
      </c>
      <c r="R87" s="1534">
        <f>SUMIF(CF.2!$H$123:$H$134,CF.1!E87,CF.2!$J$123:$J$134)+SUMIF(CF.2!$K$123:$K$134,CF.1!E87,CF.2!$M$123:$M$134)</f>
        <v>0</v>
      </c>
      <c r="S87" s="1535">
        <f t="shared" si="12"/>
        <v>0</v>
      </c>
      <c r="U87" s="1537">
        <f t="shared" si="13"/>
        <v>0</v>
      </c>
    </row>
    <row r="88" spans="3:23" s="1089" customFormat="1" ht="18" customHeight="1">
      <c r="C88" s="1089">
        <v>1</v>
      </c>
      <c r="D88" s="1538" t="s">
        <v>829</v>
      </c>
      <c r="E88" s="1276" t="s">
        <v>829</v>
      </c>
      <c r="F88" s="1539"/>
      <c r="G88" s="1276" t="s">
        <v>830</v>
      </c>
      <c r="H88" s="1832">
        <v>0</v>
      </c>
      <c r="I88" s="1835">
        <v>0</v>
      </c>
      <c r="J88" s="1835">
        <v>0</v>
      </c>
      <c r="K88" s="1835">
        <v>0</v>
      </c>
      <c r="L88" s="1541">
        <f t="shared" si="11"/>
        <v>0</v>
      </c>
      <c r="N88" s="1555">
        <f>SUMIF(CF.2!$H$5:$H$25,CF.1!E88,CF.2!$J$5:$J$25)-SUMIF(CF.2!$K$5:$K$25,CF.1!E88,CF.2!$M$5:$M$25)</f>
        <v>0</v>
      </c>
      <c r="O88" s="1540">
        <f>SUMIF(CF.2!$H$31:$H$60,CF.1!E88,CF.2!$J$31:$J$60)+SUMIF(CF.2!$K$31:$K$60,CF.1!E88,CF.2!$M$31:$M$60)</f>
        <v>0</v>
      </c>
      <c r="P88" s="1540">
        <f>SUMIF(CF.2!$H$65:$H$108,CF.1!E88,CF.2!$J$65:$J$108)+SUMIF(CF.2!$K$65:$K$108,CF.1!E88,CF.2!$M$65:$M$108)</f>
        <v>0</v>
      </c>
      <c r="Q88" s="1540">
        <f>SUMIF(CF.2!$H$112:$H$118,CF.1!E88,CF.2!$J$112:$J$118)+SUMIF(CF.2!$K$112:$K$118,CF.1!E88,CF.2!$M$112:$M$118)</f>
        <v>0</v>
      </c>
      <c r="R88" s="1540">
        <f>SUMIF(CF.2!$H$123:$H$134,CF.1!E88,CF.2!$J$123:$J$134)+SUMIF(CF.2!$K$123:$K$134,CF.1!E88,CF.2!$M$123:$M$134)</f>
        <v>0</v>
      </c>
      <c r="S88" s="1541">
        <f t="shared" si="12"/>
        <v>0</v>
      </c>
      <c r="U88" s="1542">
        <f t="shared" si="13"/>
        <v>0</v>
      </c>
    </row>
    <row r="89" spans="3:23" s="1089" customFormat="1" ht="18" customHeight="1">
      <c r="C89" s="1089">
        <v>1</v>
      </c>
      <c r="D89" s="1538" t="s">
        <v>831</v>
      </c>
      <c r="E89" s="1276" t="s">
        <v>831</v>
      </c>
      <c r="F89" s="1539"/>
      <c r="G89" s="1276" t="s">
        <v>832</v>
      </c>
      <c r="H89" s="1832">
        <v>0</v>
      </c>
      <c r="I89" s="1835">
        <v>0</v>
      </c>
      <c r="J89" s="1835">
        <v>0</v>
      </c>
      <c r="K89" s="1835">
        <v>0</v>
      </c>
      <c r="L89" s="1541">
        <f t="shared" si="11"/>
        <v>0</v>
      </c>
      <c r="N89" s="1555">
        <f>SUMIF(CF.2!$H$5:$H$25,CF.1!E89,CF.2!$J$5:$J$25)-SUMIF(CF.2!$K$5:$K$25,CF.1!E89,CF.2!$M$5:$M$25)</f>
        <v>0</v>
      </c>
      <c r="O89" s="1540">
        <f>SUMIF(CF.2!$H$31:$H$60,CF.1!E89,CF.2!$J$31:$J$60)+SUMIF(CF.2!$K$31:$K$60,CF.1!E89,CF.2!$M$31:$M$60)</f>
        <v>0</v>
      </c>
      <c r="P89" s="1540">
        <f>SUMIF(CF.2!$H$65:$H$108,CF.1!E89,CF.2!$J$65:$J$108)+SUMIF(CF.2!$K$65:$K$108,CF.1!E89,CF.2!$M$65:$M$108)</f>
        <v>0</v>
      </c>
      <c r="Q89" s="1540">
        <f>SUMIF(CF.2!$H$112:$H$118,CF.1!E89,CF.2!$J$112:$J$118)+SUMIF(CF.2!$K$112:$K$118,CF.1!E89,CF.2!$M$112:$M$118)</f>
        <v>0</v>
      </c>
      <c r="R89" s="1540">
        <f>SUMIF(CF.2!$H$123:$H$134,CF.1!E89,CF.2!$J$123:$J$134)+SUMIF(CF.2!$K$123:$K$134,CF.1!E89,CF.2!$M$123:$M$134)</f>
        <v>0</v>
      </c>
      <c r="S89" s="1541">
        <f t="shared" si="12"/>
        <v>0</v>
      </c>
      <c r="U89" s="1542">
        <f t="shared" si="13"/>
        <v>0</v>
      </c>
    </row>
    <row r="90" spans="3:23" s="1089" customFormat="1" ht="18" customHeight="1">
      <c r="C90" s="1089">
        <v>1</v>
      </c>
      <c r="D90" s="1538" t="s">
        <v>833</v>
      </c>
      <c r="E90" s="1276" t="s">
        <v>833</v>
      </c>
      <c r="F90" s="1539" t="s">
        <v>678</v>
      </c>
      <c r="G90" s="1276" t="s">
        <v>678</v>
      </c>
      <c r="H90" s="1832">
        <v>-63636363</v>
      </c>
      <c r="I90" s="1835">
        <v>0</v>
      </c>
      <c r="J90" s="1835">
        <v>0</v>
      </c>
      <c r="K90" s="1835">
        <v>0</v>
      </c>
      <c r="L90" s="1541">
        <f t="shared" si="11"/>
        <v>-63636363</v>
      </c>
      <c r="N90" s="1555">
        <f>SUMIF(CF.2!$H$5:$H$25,CF.1!E90,CF.2!$J$5:$J$25)-SUMIF(CF.2!$K$5:$K$25,CF.1!E90,CF.2!$M$5:$M$25)</f>
        <v>0</v>
      </c>
      <c r="O90" s="1540">
        <f>SUMIF(CF.2!$H$31:$H$60,CF.1!E90,CF.2!$J$31:$J$60)+SUMIF(CF.2!$K$31:$K$60,CF.1!E90,CF.2!$M$31:$M$60)</f>
        <v>0</v>
      </c>
      <c r="P90" s="1540">
        <f>SUMIF(CF.2!$H$65:$H$108,CF.1!E90,CF.2!$J$65:$J$108)+SUMIF(CF.2!$K$65:$K$108,CF.1!E90,CF.2!$M$65:$M$108)</f>
        <v>0</v>
      </c>
      <c r="Q90" s="1540">
        <f>SUMIF(CF.2!$H$112:$H$118,CF.1!E90,CF.2!$J$112:$J$118)+SUMIF(CF.2!$K$112:$K$118,CF.1!E90,CF.2!$M$112:$M$118)</f>
        <v>0</v>
      </c>
      <c r="R90" s="1540">
        <f>SUMIF(CF.2!$H$123:$H$134,CF.1!E90,CF.2!$J$123:$J$134)+SUMIF(CF.2!$K$123:$K$134,CF.1!E90,CF.2!$M$123:$M$134)</f>
        <v>0</v>
      </c>
      <c r="S90" s="1541">
        <f t="shared" si="12"/>
        <v>0</v>
      </c>
      <c r="U90" s="1542">
        <f t="shared" si="13"/>
        <v>-63636363</v>
      </c>
      <c r="W90" s="1089" t="b">
        <f>U90=-T_IS!X102</f>
        <v>0</v>
      </c>
    </row>
    <row r="91" spans="3:23" s="1089" customFormat="1" ht="18" customHeight="1">
      <c r="C91" s="1089">
        <v>1</v>
      </c>
      <c r="D91" s="1538" t="s">
        <v>834</v>
      </c>
      <c r="E91" s="1276" t="s">
        <v>834</v>
      </c>
      <c r="F91" s="1539"/>
      <c r="G91" s="1276" t="s">
        <v>835</v>
      </c>
      <c r="H91" s="1832">
        <v>0</v>
      </c>
      <c r="I91" s="1835">
        <v>0</v>
      </c>
      <c r="J91" s="1835">
        <v>0</v>
      </c>
      <c r="K91" s="1835">
        <v>0</v>
      </c>
      <c r="L91" s="1541">
        <f t="shared" si="11"/>
        <v>0</v>
      </c>
      <c r="N91" s="1555">
        <f>SUMIF(CF.2!$H$5:$H$25,CF.1!E91,CF.2!$J$5:$J$25)-SUMIF(CF.2!$K$5:$K$25,CF.1!E91,CF.2!$M$5:$M$25)</f>
        <v>0</v>
      </c>
      <c r="O91" s="1540">
        <f>SUMIF(CF.2!$H$31:$H$60,CF.1!E91,CF.2!$J$31:$J$60)+SUMIF(CF.2!$K$31:$K$60,CF.1!E91,CF.2!$M$31:$M$60)</f>
        <v>0</v>
      </c>
      <c r="P91" s="1540">
        <f>SUMIF(CF.2!$H$65:$H$108,CF.1!E91,CF.2!$J$65:$J$108)+SUMIF(CF.2!$K$65:$K$108,CF.1!E91,CF.2!$M$65:$M$108)</f>
        <v>0</v>
      </c>
      <c r="Q91" s="1540">
        <f>SUMIF(CF.2!$H$112:$H$118,CF.1!E91,CF.2!$J$112:$J$118)+SUMIF(CF.2!$K$112:$K$118,CF.1!E91,CF.2!$M$112:$M$118)</f>
        <v>0</v>
      </c>
      <c r="R91" s="1540">
        <f>SUMIF(CF.2!$H$123:$H$134,CF.1!E91,CF.2!$J$123:$J$134)+SUMIF(CF.2!$K$123:$K$134,CF.1!E91,CF.2!$M$123:$M$134)</f>
        <v>0</v>
      </c>
      <c r="S91" s="1541">
        <f t="shared" si="12"/>
        <v>0</v>
      </c>
      <c r="U91" s="1542">
        <f t="shared" si="13"/>
        <v>0</v>
      </c>
    </row>
    <row r="92" spans="3:23" s="1089" customFormat="1" ht="18" customHeight="1">
      <c r="C92" s="1089">
        <v>1</v>
      </c>
      <c r="D92" s="1538" t="s">
        <v>836</v>
      </c>
      <c r="E92" s="1276" t="s">
        <v>836</v>
      </c>
      <c r="F92" s="1539" t="s">
        <v>679</v>
      </c>
      <c r="G92" s="1276" t="s">
        <v>679</v>
      </c>
      <c r="H92" s="1832">
        <v>0</v>
      </c>
      <c r="I92" s="1835">
        <v>0</v>
      </c>
      <c r="J92" s="1835">
        <v>0</v>
      </c>
      <c r="K92" s="1835">
        <v>0</v>
      </c>
      <c r="L92" s="1541">
        <f t="shared" si="11"/>
        <v>0</v>
      </c>
      <c r="N92" s="1555">
        <f>SUMIF(CF.2!$H$5:$H$25,CF.1!E92,CF.2!$J$5:$J$25)-SUMIF(CF.2!$K$5:$K$25,CF.1!E92,CF.2!$M$5:$M$25)</f>
        <v>0</v>
      </c>
      <c r="O92" s="1540">
        <f>SUMIF(CF.2!$H$31:$H$60,CF.1!E92,CF.2!$J$31:$J$60)+SUMIF(CF.2!$K$31:$K$60,CF.1!E92,CF.2!$M$31:$M$60)</f>
        <v>0</v>
      </c>
      <c r="P92" s="1540">
        <f>SUMIF(CF.2!$H$65:$H$108,CF.1!E92,CF.2!$J$65:$J$108)+SUMIF(CF.2!$K$65:$K$108,CF.1!E92,CF.2!$M$65:$M$108)</f>
        <v>0</v>
      </c>
      <c r="Q92" s="1540">
        <f>SUMIF(CF.2!$H$112:$H$118,CF.1!E92,CF.2!$J$112:$J$118)+SUMIF(CF.2!$K$112:$K$118,CF.1!E92,CF.2!$M$112:$M$118)</f>
        <v>0</v>
      </c>
      <c r="R92" s="1540">
        <f>SUMIF(CF.2!$H$123:$H$134,CF.1!E92,CF.2!$J$123:$J$134)+SUMIF(CF.2!$K$123:$K$134,CF.1!E92,CF.2!$M$123:$M$134)</f>
        <v>0</v>
      </c>
      <c r="S92" s="1541">
        <f t="shared" si="12"/>
        <v>0</v>
      </c>
      <c r="U92" s="1542">
        <f t="shared" si="13"/>
        <v>0</v>
      </c>
    </row>
    <row r="93" spans="3:23" s="1089" customFormat="1" ht="18" customHeight="1">
      <c r="C93" s="1089">
        <v>1</v>
      </c>
      <c r="D93" s="1538" t="s">
        <v>837</v>
      </c>
      <c r="E93" s="1276" t="s">
        <v>837</v>
      </c>
      <c r="F93" s="1539"/>
      <c r="G93" s="1276" t="s">
        <v>838</v>
      </c>
      <c r="H93" s="1832">
        <v>0</v>
      </c>
      <c r="I93" s="1835">
        <v>0</v>
      </c>
      <c r="J93" s="1835">
        <v>0</v>
      </c>
      <c r="K93" s="1835">
        <v>0</v>
      </c>
      <c r="L93" s="1541">
        <f t="shared" si="11"/>
        <v>0</v>
      </c>
      <c r="N93" s="1555">
        <f>SUMIF(CF.2!$H$5:$H$25,CF.1!E93,CF.2!$J$5:$J$25)-SUMIF(CF.2!$K$5:$K$25,CF.1!E93,CF.2!$M$5:$M$25)</f>
        <v>0</v>
      </c>
      <c r="O93" s="1540">
        <f>SUMIF(CF.2!$H$31:$H$60,CF.1!E93,CF.2!$J$31:$J$60)+SUMIF(CF.2!$K$31:$K$60,CF.1!E93,CF.2!$M$31:$M$60)</f>
        <v>0</v>
      </c>
      <c r="P93" s="1540">
        <f>SUMIF(CF.2!$H$65:$H$108,CF.1!E93,CF.2!$J$65:$J$108)+SUMIF(CF.2!$K$65:$K$108,CF.1!E93,CF.2!$M$65:$M$108)</f>
        <v>0</v>
      </c>
      <c r="Q93" s="1540">
        <f>SUMIF(CF.2!$H$112:$H$118,CF.1!E93,CF.2!$J$112:$J$118)+SUMIF(CF.2!$K$112:$K$118,CF.1!E93,CF.2!$M$112:$M$118)</f>
        <v>0</v>
      </c>
      <c r="R93" s="1540">
        <f>SUMIF(CF.2!$H$123:$H$134,CF.1!E93,CF.2!$J$123:$J$134)+SUMIF(CF.2!$K$123:$K$134,CF.1!E93,CF.2!$M$123:$M$134)</f>
        <v>0</v>
      </c>
      <c r="S93" s="1541">
        <f t="shared" si="12"/>
        <v>0</v>
      </c>
      <c r="U93" s="1542">
        <f t="shared" si="13"/>
        <v>0</v>
      </c>
    </row>
    <row r="94" spans="3:23" s="1089" customFormat="1" ht="18" customHeight="1">
      <c r="C94" s="1089">
        <v>1</v>
      </c>
      <c r="D94" s="1538" t="s">
        <v>839</v>
      </c>
      <c r="E94" s="1276" t="s">
        <v>839</v>
      </c>
      <c r="F94" s="1539" t="s">
        <v>2054</v>
      </c>
      <c r="G94" s="1276" t="s">
        <v>840</v>
      </c>
      <c r="H94" s="1832">
        <v>-99628699</v>
      </c>
      <c r="I94" s="1835">
        <v>0</v>
      </c>
      <c r="J94" s="1835">
        <v>0</v>
      </c>
      <c r="K94" s="1835">
        <v>-75539746</v>
      </c>
      <c r="L94" s="1541">
        <f t="shared" si="11"/>
        <v>-175168445</v>
      </c>
      <c r="N94" s="1555">
        <f>SUMIF(CF.2!$H$5:$H$25,CF.1!E94,CF.2!$J$5:$J$25)-SUMIF(CF.2!$K$5:$K$25,CF.1!E94,CF.2!$M$5:$M$25)</f>
        <v>0</v>
      </c>
      <c r="O94" s="1540">
        <f>SUMIF(CF.2!$H$31:$H$60,CF.1!E94,CF.2!$J$31:$J$60)+SUMIF(CF.2!$K$31:$K$60,CF.1!E94,CF.2!$M$31:$M$60)</f>
        <v>0</v>
      </c>
      <c r="P94" s="1540">
        <f>SUMIF(CF.2!$H$65:$H$108,CF.1!E94,CF.2!$J$65:$J$108)+SUMIF(CF.2!$K$65:$K$108,CF.1!E94,CF.2!$M$65:$M$108)</f>
        <v>0</v>
      </c>
      <c r="Q94" s="1540">
        <f>SUMIF(CF.2!$H$112:$H$118,CF.1!E94,CF.2!$J$112:$J$118)+SUMIF(CF.2!$K$112:$K$118,CF.1!E94,CF.2!$M$112:$M$118)</f>
        <v>0</v>
      </c>
      <c r="R94" s="1540">
        <f>SUMIF(CF.2!$H$123:$H$134,CF.1!E94,CF.2!$J$123:$J$134)+SUMIF(CF.2!$K$123:$K$134,CF.1!E94,CF.2!$M$123:$M$134)</f>
        <v>0</v>
      </c>
      <c r="S94" s="1541">
        <f t="shared" si="12"/>
        <v>0</v>
      </c>
      <c r="U94" s="1542">
        <f t="shared" si="13"/>
        <v>-175168445</v>
      </c>
      <c r="W94" s="1089" t="s">
        <v>2502</v>
      </c>
    </row>
    <row r="95" spans="3:23" s="1089" customFormat="1" ht="18" customHeight="1">
      <c r="C95" s="1089">
        <v>1</v>
      </c>
      <c r="D95" s="1538" t="s">
        <v>841</v>
      </c>
      <c r="E95" s="1276" t="s">
        <v>841</v>
      </c>
      <c r="F95" s="1539" t="s">
        <v>2711</v>
      </c>
      <c r="G95" s="1276" t="s">
        <v>842</v>
      </c>
      <c r="H95" s="1832">
        <v>0</v>
      </c>
      <c r="I95" s="1835">
        <v>0</v>
      </c>
      <c r="J95" s="1835">
        <v>0</v>
      </c>
      <c r="K95" s="1835">
        <v>0</v>
      </c>
      <c r="L95" s="1541">
        <f t="shared" si="11"/>
        <v>0</v>
      </c>
      <c r="N95" s="1555">
        <f>SUMIF(CF.2!$H$5:$H$25,CF.1!E95,CF.2!$J$5:$J$25)-SUMIF(CF.2!$K$5:$K$25,CF.1!E95,CF.2!$M$5:$M$25)</f>
        <v>0</v>
      </c>
      <c r="O95" s="1540">
        <f>SUMIF(CF.2!$H$31:$H$60,CF.1!E95,CF.2!$J$31:$J$60)+SUMIF(CF.2!$K$31:$K$60,CF.1!E95,CF.2!$M$31:$M$60)</f>
        <v>0</v>
      </c>
      <c r="P95" s="1540">
        <f>SUMIF(CF.2!$H$65:$H$108,CF.1!E95,CF.2!$J$65:$J$108)+SUMIF(CF.2!$K$65:$K$108,CF.1!E95,CF.2!$M$65:$M$108)</f>
        <v>0</v>
      </c>
      <c r="Q95" s="1540">
        <f>SUMIF(CF.2!$H$112:$H$118,CF.1!E95,CF.2!$J$112:$J$118)+SUMIF(CF.2!$K$112:$K$118,CF.1!E95,CF.2!$M$112:$M$118)</f>
        <v>0</v>
      </c>
      <c r="R95" s="1540">
        <f>SUMIF(CF.2!$H$123:$H$134,CF.1!E95,CF.2!$J$123:$J$134)+SUMIF(CF.2!$K$123:$K$134,CF.1!E95,CF.2!$M$123:$M$134)</f>
        <v>0</v>
      </c>
      <c r="S95" s="1541">
        <f t="shared" si="12"/>
        <v>0</v>
      </c>
      <c r="U95" s="1542">
        <f t="shared" si="13"/>
        <v>0</v>
      </c>
    </row>
    <row r="96" spans="3:23" s="1089" customFormat="1" ht="18" customHeight="1">
      <c r="C96" s="1089">
        <v>1</v>
      </c>
      <c r="D96" s="1538" t="s">
        <v>843</v>
      </c>
      <c r="E96" s="1276" t="s">
        <v>843</v>
      </c>
      <c r="F96" s="1539" t="s">
        <v>844</v>
      </c>
      <c r="G96" s="1276" t="s">
        <v>844</v>
      </c>
      <c r="H96" s="1832">
        <v>-2360356206</v>
      </c>
      <c r="I96" s="1835">
        <v>0</v>
      </c>
      <c r="J96" s="1835">
        <v>0</v>
      </c>
      <c r="K96" s="1835">
        <v>0</v>
      </c>
      <c r="L96" s="1541">
        <f t="shared" si="11"/>
        <v>-2360356206</v>
      </c>
      <c r="N96" s="1555">
        <f>SUMIF(CF.2!$H$5:$H$25,CF.1!E96,CF.2!$J$5:$J$25)-SUMIF(CF.2!$K$5:$K$25,CF.1!E96,CF.2!$M$5:$M$25)</f>
        <v>0</v>
      </c>
      <c r="O96" s="1540">
        <f>SUMIF(CF.2!$H$31:$H$60,CF.1!E96,CF.2!$J$31:$J$60)+SUMIF(CF.2!$K$31:$K$60,CF.1!E96,CF.2!$M$31:$M$60)</f>
        <v>0</v>
      </c>
      <c r="P96" s="1540">
        <f>SUMIF(CF.2!$H$65:$H$108,CF.1!E96,CF.2!$J$65:$J$108)+SUMIF(CF.2!$K$65:$K$108,CF.1!E96,CF.2!$M$65:$M$108)</f>
        <v>1543857535</v>
      </c>
      <c r="Q96" s="1540">
        <f>SUMIF(CF.2!$H$112:$H$118,CF.1!E96,CF.2!$J$112:$J$118)+SUMIF(CF.2!$K$112:$K$118,CF.1!E96,CF.2!$M$112:$M$118)</f>
        <v>0</v>
      </c>
      <c r="R96" s="1540">
        <f>SUMIF(CF.2!$H$123:$H$134,CF.1!E96,CF.2!$J$123:$J$134)+SUMIF(CF.2!$K$123:$K$134,CF.1!E96,CF.2!$M$123:$M$134)</f>
        <v>0</v>
      </c>
      <c r="S96" s="1541">
        <f t="shared" si="12"/>
        <v>1543857535</v>
      </c>
      <c r="U96" s="1542">
        <f t="shared" si="13"/>
        <v>-816498671</v>
      </c>
      <c r="W96" s="1089" t="b">
        <f>U96=-T_IS!X101</f>
        <v>1</v>
      </c>
    </row>
    <row r="97" spans="3:26" s="1089" customFormat="1" ht="18" customHeight="1">
      <c r="C97" s="1089">
        <v>1</v>
      </c>
      <c r="D97" s="1538" t="s">
        <v>845</v>
      </c>
      <c r="E97" s="1276" t="s">
        <v>845</v>
      </c>
      <c r="F97" s="1539"/>
      <c r="G97" s="1276" t="s">
        <v>846</v>
      </c>
      <c r="H97" s="1832">
        <v>0</v>
      </c>
      <c r="I97" s="1835">
        <v>0</v>
      </c>
      <c r="J97" s="1835">
        <v>0</v>
      </c>
      <c r="K97" s="1835">
        <v>0</v>
      </c>
      <c r="L97" s="1541">
        <f t="shared" si="11"/>
        <v>0</v>
      </c>
      <c r="N97" s="1555">
        <f>SUMIF(CF.2!$H$5:$H$25,CF.1!E97,CF.2!$J$5:$J$25)-SUMIF(CF.2!$K$5:$K$25,CF.1!E97,CF.2!$M$5:$M$25)</f>
        <v>0</v>
      </c>
      <c r="O97" s="1540">
        <f>SUMIF(CF.2!$H$31:$H$60,CF.1!E97,CF.2!$J$31:$J$60)+SUMIF(CF.2!$K$31:$K$60,CF.1!E97,CF.2!$M$31:$M$60)</f>
        <v>0</v>
      </c>
      <c r="P97" s="1540">
        <f>SUMIF(CF.2!$H$65:$H$108,CF.1!E97,CF.2!$J$65:$J$108)+SUMIF(CF.2!$K$65:$K$108,CF.1!E97,CF.2!$M$65:$M$108)</f>
        <v>0</v>
      </c>
      <c r="Q97" s="1540">
        <f>SUMIF(CF.2!$H$112:$H$118,CF.1!E97,CF.2!$J$112:$J$118)+SUMIF(CF.2!$K$112:$K$118,CF.1!E97,CF.2!$M$112:$M$118)</f>
        <v>0</v>
      </c>
      <c r="R97" s="1540">
        <f>SUMIF(CF.2!$H$123:$H$134,CF.1!E97,CF.2!$J$123:$J$134)+SUMIF(CF.2!$K$123:$K$134,CF.1!E97,CF.2!$M$123:$M$134)</f>
        <v>0</v>
      </c>
      <c r="S97" s="1541">
        <f t="shared" si="12"/>
        <v>0</v>
      </c>
      <c r="U97" s="1542">
        <f t="shared" si="13"/>
        <v>0</v>
      </c>
    </row>
    <row r="98" spans="3:26" s="1089" customFormat="1" ht="18" customHeight="1">
      <c r="C98" s="1089">
        <v>1</v>
      </c>
      <c r="D98" s="1538" t="s">
        <v>847</v>
      </c>
      <c r="E98" s="1276" t="s">
        <v>847</v>
      </c>
      <c r="F98" s="1539"/>
      <c r="G98" s="1276" t="s">
        <v>848</v>
      </c>
      <c r="H98" s="1832">
        <v>0</v>
      </c>
      <c r="I98" s="1835">
        <v>0</v>
      </c>
      <c r="J98" s="1835">
        <v>0</v>
      </c>
      <c r="K98" s="1835">
        <v>0</v>
      </c>
      <c r="L98" s="1541">
        <f t="shared" si="11"/>
        <v>0</v>
      </c>
      <c r="N98" s="1555">
        <f>SUMIF(CF.2!$H$5:$H$25,CF.1!E98,CF.2!$J$5:$J$25)-SUMIF(CF.2!$K$5:$K$25,CF.1!E98,CF.2!$M$5:$M$25)</f>
        <v>0</v>
      </c>
      <c r="O98" s="1540">
        <f>SUMIF(CF.2!$H$31:$H$60,CF.1!E98,CF.2!$J$31:$J$60)+SUMIF(CF.2!$K$31:$K$60,CF.1!E98,CF.2!$M$31:$M$60)</f>
        <v>0</v>
      </c>
      <c r="P98" s="1540">
        <f>SUMIF(CF.2!$H$65:$H$108,CF.1!E98,CF.2!$J$65:$J$108)+SUMIF(CF.2!$K$65:$K$108,CF.1!E98,CF.2!$M$65:$M$108)</f>
        <v>0</v>
      </c>
      <c r="Q98" s="1540">
        <f>SUMIF(CF.2!$H$112:$H$118,CF.1!E98,CF.2!$J$112:$J$118)+SUMIF(CF.2!$K$112:$K$118,CF.1!E98,CF.2!$M$112:$M$118)</f>
        <v>0</v>
      </c>
      <c r="R98" s="1540">
        <f>SUMIF(CF.2!$H$123:$H$134,CF.1!E98,CF.2!$J$123:$J$134)+SUMIF(CF.2!$K$123:$K$134,CF.1!E98,CF.2!$M$123:$M$134)</f>
        <v>0</v>
      </c>
      <c r="S98" s="1541">
        <f t="shared" si="12"/>
        <v>0</v>
      </c>
      <c r="U98" s="1542">
        <f t="shared" si="13"/>
        <v>0</v>
      </c>
    </row>
    <row r="99" spans="3:26" s="1089" customFormat="1" ht="18" customHeight="1">
      <c r="C99" s="1089">
        <v>1</v>
      </c>
      <c r="D99" s="1538" t="s">
        <v>849</v>
      </c>
      <c r="E99" s="1276" t="s">
        <v>849</v>
      </c>
      <c r="F99" s="1539"/>
      <c r="G99" s="1276" t="s">
        <v>850</v>
      </c>
      <c r="H99" s="1832">
        <v>0</v>
      </c>
      <c r="I99" s="1835">
        <v>0</v>
      </c>
      <c r="J99" s="1835">
        <v>0</v>
      </c>
      <c r="K99" s="1835">
        <v>0</v>
      </c>
      <c r="L99" s="1541">
        <f t="shared" si="11"/>
        <v>0</v>
      </c>
      <c r="N99" s="1555">
        <f>SUMIF(CF.2!$H$5:$H$25,CF.1!E99,CF.2!$J$5:$J$25)-SUMIF(CF.2!$K$5:$K$25,CF.1!E99,CF.2!$M$5:$M$25)</f>
        <v>0</v>
      </c>
      <c r="O99" s="1540">
        <f>SUMIF(CF.2!$H$31:$H$60,CF.1!E99,CF.2!$J$31:$J$60)+SUMIF(CF.2!$K$31:$K$60,CF.1!E99,CF.2!$M$31:$M$60)</f>
        <v>0</v>
      </c>
      <c r="P99" s="1540">
        <f>SUMIF(CF.2!$H$65:$H$108,CF.1!E99,CF.2!$J$65:$J$108)+SUMIF(CF.2!$K$65:$K$108,CF.1!E99,CF.2!$M$65:$M$108)</f>
        <v>0</v>
      </c>
      <c r="Q99" s="1540">
        <f>SUMIF(CF.2!$H$112:$H$118,CF.1!E99,CF.2!$J$112:$J$118)+SUMIF(CF.2!$K$112:$K$118,CF.1!E99,CF.2!$M$112:$M$118)</f>
        <v>0</v>
      </c>
      <c r="R99" s="1540">
        <f>SUMIF(CF.2!$H$123:$H$134,CF.1!E99,CF.2!$J$123:$J$134)+SUMIF(CF.2!$K$123:$K$134,CF.1!E99,CF.2!$M$123:$M$134)</f>
        <v>0</v>
      </c>
      <c r="S99" s="1541">
        <f t="shared" si="12"/>
        <v>0</v>
      </c>
      <c r="U99" s="1542">
        <f t="shared" si="13"/>
        <v>0</v>
      </c>
    </row>
    <row r="100" spans="3:26" ht="18" customHeight="1">
      <c r="C100" s="1364">
        <v>1</v>
      </c>
      <c r="D100" s="1532" t="s">
        <v>851</v>
      </c>
      <c r="E100" s="1506" t="s">
        <v>851</v>
      </c>
      <c r="F100" s="1533"/>
      <c r="G100" s="1506" t="s">
        <v>852</v>
      </c>
      <c r="H100" s="1833">
        <v>0</v>
      </c>
      <c r="I100" s="1834">
        <v>0</v>
      </c>
      <c r="J100" s="1834">
        <v>0</v>
      </c>
      <c r="K100" s="1834">
        <v>0</v>
      </c>
      <c r="L100" s="1535">
        <f t="shared" si="11"/>
        <v>0</v>
      </c>
      <c r="N100" s="1536">
        <f>SUMIF(CF.2!$H$5:$H$25,CF.1!E100,CF.2!$J$5:$J$25)-SUMIF(CF.2!$K$5:$K$25,CF.1!E100,CF.2!$M$5:$M$25)</f>
        <v>0</v>
      </c>
      <c r="O100" s="1534">
        <f>SUMIF(CF.2!$H$31:$H$60,CF.1!E100,CF.2!$J$31:$J$60)+SUMIF(CF.2!$K$31:$K$60,CF.1!E100,CF.2!$M$31:$M$60)</f>
        <v>0</v>
      </c>
      <c r="P100" s="1534">
        <f>SUMIF(CF.2!$H$65:$H$108,CF.1!E100,CF.2!$J$65:$J$108)+SUMIF(CF.2!$K$65:$K$108,CF.1!E100,CF.2!$M$65:$M$108)</f>
        <v>0</v>
      </c>
      <c r="Q100" s="1534">
        <f>SUMIF(CF.2!$H$112:$H$118,CF.1!E100,CF.2!$J$112:$J$118)+SUMIF(CF.2!$K$112:$K$118,CF.1!E100,CF.2!$M$112:$M$118)</f>
        <v>0</v>
      </c>
      <c r="R100" s="1534">
        <f>SUMIF(CF.2!$H$123:$H$134,CF.1!E100,CF.2!$J$123:$J$134)+SUMIF(CF.2!$K$123:$K$134,CF.1!E100,CF.2!$M$123:$M$134)</f>
        <v>0</v>
      </c>
      <c r="S100" s="1535">
        <f t="shared" si="12"/>
        <v>0</v>
      </c>
      <c r="U100" s="1537">
        <f t="shared" si="13"/>
        <v>0</v>
      </c>
    </row>
    <row r="101" spans="3:26" ht="18" customHeight="1">
      <c r="C101" s="1364">
        <v>1</v>
      </c>
      <c r="D101" s="1532" t="s">
        <v>853</v>
      </c>
      <c r="E101" s="1506" t="s">
        <v>853</v>
      </c>
      <c r="F101" s="1533"/>
      <c r="G101" s="1506" t="s">
        <v>854</v>
      </c>
      <c r="H101" s="1833">
        <v>0</v>
      </c>
      <c r="I101" s="1834">
        <v>0</v>
      </c>
      <c r="J101" s="1834">
        <v>0</v>
      </c>
      <c r="K101" s="1834">
        <v>0</v>
      </c>
      <c r="L101" s="1535">
        <f t="shared" si="11"/>
        <v>0</v>
      </c>
      <c r="N101" s="1536">
        <f>SUMIF(CF.2!$H$5:$H$25,CF.1!E101,CF.2!$J$5:$J$25)-SUMIF(CF.2!$K$5:$K$25,CF.1!E101,CF.2!$M$5:$M$25)</f>
        <v>0</v>
      </c>
      <c r="O101" s="1534">
        <f>SUMIF(CF.2!$H$31:$H$60,CF.1!E101,CF.2!$J$31:$J$60)+SUMIF(CF.2!$K$31:$K$60,CF.1!E101,CF.2!$M$31:$M$60)</f>
        <v>0</v>
      </c>
      <c r="P101" s="1534">
        <f>SUMIF(CF.2!$H$65:$H$108,CF.1!E101,CF.2!$J$65:$J$108)+SUMIF(CF.2!$K$65:$K$108,CF.1!E101,CF.2!$M$65:$M$108)</f>
        <v>0</v>
      </c>
      <c r="Q101" s="1534">
        <f>SUMIF(CF.2!$H$112:$H$118,CF.1!E101,CF.2!$J$112:$J$118)+SUMIF(CF.2!$K$112:$K$118,CF.1!E101,CF.2!$M$112:$M$118)</f>
        <v>0</v>
      </c>
      <c r="R101" s="1534">
        <f>SUMIF(CF.2!$H$123:$H$134,CF.1!E101,CF.2!$J$123:$J$134)+SUMIF(CF.2!$K$123:$K$134,CF.1!E101,CF.2!$M$123:$M$134)</f>
        <v>0</v>
      </c>
      <c r="S101" s="1535">
        <f t="shared" si="12"/>
        <v>0</v>
      </c>
      <c r="U101" s="1537">
        <f t="shared" si="13"/>
        <v>0</v>
      </c>
    </row>
    <row r="102" spans="3:26" ht="18" customHeight="1">
      <c r="C102" s="1364">
        <v>1</v>
      </c>
      <c r="D102" s="1532" t="s">
        <v>855</v>
      </c>
      <c r="E102" s="1506" t="s">
        <v>855</v>
      </c>
      <c r="F102" s="1533"/>
      <c r="G102" s="1506" t="s">
        <v>856</v>
      </c>
      <c r="H102" s="1833">
        <v>0</v>
      </c>
      <c r="I102" s="1834">
        <v>0</v>
      </c>
      <c r="J102" s="1834">
        <v>0</v>
      </c>
      <c r="K102" s="1834">
        <v>0</v>
      </c>
      <c r="L102" s="1535">
        <f t="shared" si="11"/>
        <v>0</v>
      </c>
      <c r="N102" s="1536">
        <f>SUMIF(CF.2!$H$5:$H$25,CF.1!E102,CF.2!$J$5:$J$25)-SUMIF(CF.2!$K$5:$K$25,CF.1!E102,CF.2!$M$5:$M$25)</f>
        <v>0</v>
      </c>
      <c r="O102" s="1534">
        <f>SUMIF(CF.2!$H$31:$H$60,CF.1!E102,CF.2!$J$31:$J$60)+SUMIF(CF.2!$K$31:$K$60,CF.1!E102,CF.2!$M$31:$M$60)</f>
        <v>0</v>
      </c>
      <c r="P102" s="1534">
        <f>SUMIF(CF.2!$H$65:$H$108,CF.1!E102,CF.2!$J$65:$J$108)+SUMIF(CF.2!$K$65:$K$108,CF.1!E102,CF.2!$M$65:$M$108)</f>
        <v>0</v>
      </c>
      <c r="Q102" s="1534">
        <f>SUMIF(CF.2!$H$112:$H$118,CF.1!E102,CF.2!$J$112:$J$118)+SUMIF(CF.2!$K$112:$K$118,CF.1!E102,CF.2!$M$112:$M$118)</f>
        <v>0</v>
      </c>
      <c r="R102" s="1534">
        <f>SUMIF(CF.2!$H$123:$H$134,CF.1!E102,CF.2!$J$123:$J$134)+SUMIF(CF.2!$K$123:$K$134,CF.1!E102,CF.2!$M$123:$M$134)</f>
        <v>0</v>
      </c>
      <c r="S102" s="1535">
        <f t="shared" si="12"/>
        <v>0</v>
      </c>
      <c r="U102" s="1537">
        <f t="shared" si="13"/>
        <v>0</v>
      </c>
    </row>
    <row r="103" spans="3:26" ht="18" customHeight="1">
      <c r="C103" s="1364">
        <v>1</v>
      </c>
      <c r="D103" s="1532" t="s">
        <v>857</v>
      </c>
      <c r="E103" s="1506" t="s">
        <v>857</v>
      </c>
      <c r="F103" s="1533"/>
      <c r="G103" s="1506" t="s">
        <v>858</v>
      </c>
      <c r="H103" s="1833">
        <v>0</v>
      </c>
      <c r="I103" s="1834">
        <v>0</v>
      </c>
      <c r="J103" s="1834">
        <v>0</v>
      </c>
      <c r="K103" s="1834">
        <v>0</v>
      </c>
      <c r="L103" s="1535">
        <f t="shared" si="11"/>
        <v>0</v>
      </c>
      <c r="N103" s="1536">
        <f>SUMIF(CF.2!$H$5:$H$25,CF.1!E103,CF.2!$J$5:$J$25)-SUMIF(CF.2!$K$5:$K$25,CF.1!E103,CF.2!$M$5:$M$25)</f>
        <v>0</v>
      </c>
      <c r="O103" s="1534">
        <f>SUMIF(CF.2!$H$31:$H$60,CF.1!E103,CF.2!$J$31:$J$60)+SUMIF(CF.2!$K$31:$K$60,CF.1!E103,CF.2!$M$31:$M$60)</f>
        <v>0</v>
      </c>
      <c r="P103" s="1534">
        <f>SUMIF(CF.2!$H$65:$H$108,CF.1!E103,CF.2!$J$65:$J$108)+SUMIF(CF.2!$K$65:$K$108,CF.1!E103,CF.2!$M$65:$M$108)</f>
        <v>0</v>
      </c>
      <c r="Q103" s="1534">
        <f>SUMIF(CF.2!$H$112:$H$118,CF.1!E103,CF.2!$J$112:$J$118)+SUMIF(CF.2!$K$112:$K$118,CF.1!E103,CF.2!$M$112:$M$118)</f>
        <v>0</v>
      </c>
      <c r="R103" s="1534">
        <f>SUMIF(CF.2!$H$123:$H$134,CF.1!E103,CF.2!$J$123:$J$134)+SUMIF(CF.2!$K$123:$K$134,CF.1!E103,CF.2!$M$123:$M$134)</f>
        <v>0</v>
      </c>
      <c r="S103" s="1535">
        <f t="shared" si="12"/>
        <v>0</v>
      </c>
      <c r="U103" s="1537">
        <f t="shared" si="13"/>
        <v>0</v>
      </c>
    </row>
    <row r="104" spans="3:26" ht="18" customHeight="1">
      <c r="C104" s="1364">
        <v>1</v>
      </c>
      <c r="D104" s="1532" t="s">
        <v>859</v>
      </c>
      <c r="E104" s="1506" t="s">
        <v>859</v>
      </c>
      <c r="F104" s="1533"/>
      <c r="G104" s="1506" t="s">
        <v>860</v>
      </c>
      <c r="H104" s="1833">
        <v>0</v>
      </c>
      <c r="I104" s="1834">
        <v>0</v>
      </c>
      <c r="J104" s="1834">
        <v>0</v>
      </c>
      <c r="K104" s="1834">
        <v>0</v>
      </c>
      <c r="L104" s="1535">
        <f t="shared" si="11"/>
        <v>0</v>
      </c>
      <c r="N104" s="1536">
        <f>SUMIF(CF.2!$H$5:$H$25,CF.1!E104,CF.2!$J$5:$J$25)-SUMIF(CF.2!$K$5:$K$25,CF.1!E104,CF.2!$M$5:$M$25)</f>
        <v>0</v>
      </c>
      <c r="O104" s="1534">
        <f>SUMIF(CF.2!$H$31:$H$60,CF.1!E104,CF.2!$J$31:$J$60)+SUMIF(CF.2!$K$31:$K$60,CF.1!E104,CF.2!$M$31:$M$60)</f>
        <v>0</v>
      </c>
      <c r="P104" s="1534">
        <f>SUMIF(CF.2!$H$65:$H$108,CF.1!E104,CF.2!$J$65:$J$108)+SUMIF(CF.2!$K$65:$K$108,CF.1!E104,CF.2!$M$65:$M$108)</f>
        <v>0</v>
      </c>
      <c r="Q104" s="1534">
        <f>SUMIF(CF.2!$H$112:$H$118,CF.1!E104,CF.2!$J$112:$J$118)+SUMIF(CF.2!$K$112:$K$118,CF.1!E104,CF.2!$M$112:$M$118)</f>
        <v>0</v>
      </c>
      <c r="R104" s="1534">
        <f>SUMIF(CF.2!$H$123:$H$134,CF.1!E104,CF.2!$J$123:$J$134)+SUMIF(CF.2!$K$123:$K$134,CF.1!E104,CF.2!$M$123:$M$134)</f>
        <v>0</v>
      </c>
      <c r="S104" s="1535">
        <f t="shared" si="12"/>
        <v>0</v>
      </c>
      <c r="U104" s="1537">
        <f t="shared" si="13"/>
        <v>0</v>
      </c>
    </row>
    <row r="105" spans="3:26" ht="18" customHeight="1">
      <c r="C105" s="1364">
        <v>1</v>
      </c>
      <c r="D105" s="1532" t="s">
        <v>861</v>
      </c>
      <c r="E105" s="1506" t="s">
        <v>861</v>
      </c>
      <c r="F105" s="1533"/>
      <c r="G105" s="1506" t="s">
        <v>862</v>
      </c>
      <c r="H105" s="1833">
        <v>0</v>
      </c>
      <c r="I105" s="1834">
        <v>0</v>
      </c>
      <c r="J105" s="1834">
        <v>0</v>
      </c>
      <c r="K105" s="1834">
        <v>0</v>
      </c>
      <c r="L105" s="1535">
        <f t="shared" si="11"/>
        <v>0</v>
      </c>
      <c r="N105" s="1536">
        <f>SUMIF(CF.2!$H$5:$H$25,CF.1!E105,CF.2!$J$5:$J$25)-SUMIF(CF.2!$K$5:$K$25,CF.1!E105,CF.2!$M$5:$M$25)</f>
        <v>0</v>
      </c>
      <c r="O105" s="1534">
        <f>SUMIF(CF.2!$H$31:$H$60,CF.1!E105,CF.2!$J$31:$J$60)+SUMIF(CF.2!$K$31:$K$60,CF.1!E105,CF.2!$M$31:$M$60)</f>
        <v>0</v>
      </c>
      <c r="P105" s="1534">
        <f>SUMIF(CF.2!$H$65:$H$108,CF.1!E105,CF.2!$J$65:$J$108)+SUMIF(CF.2!$K$65:$K$108,CF.1!E105,CF.2!$M$65:$M$108)</f>
        <v>0</v>
      </c>
      <c r="Q105" s="1534">
        <f>SUMIF(CF.2!$H$112:$H$118,CF.1!E105,CF.2!$J$112:$J$118)+SUMIF(CF.2!$K$112:$K$118,CF.1!E105,CF.2!$M$112:$M$118)</f>
        <v>0</v>
      </c>
      <c r="R105" s="1534">
        <f>SUMIF(CF.2!$H$123:$H$134,CF.1!E105,CF.2!$J$123:$J$134)+SUMIF(CF.2!$K$123:$K$134,CF.1!E105,CF.2!$M$123:$M$134)</f>
        <v>0</v>
      </c>
      <c r="S105" s="1535">
        <f t="shared" si="12"/>
        <v>0</v>
      </c>
      <c r="U105" s="1537">
        <f t="shared" si="13"/>
        <v>0</v>
      </c>
    </row>
    <row r="106" spans="3:26" ht="18" customHeight="1">
      <c r="C106" s="1364">
        <v>1</v>
      </c>
      <c r="D106" s="1532" t="s">
        <v>863</v>
      </c>
      <c r="E106" s="1506" t="s">
        <v>863</v>
      </c>
      <c r="F106" s="1533"/>
      <c r="G106" s="1506" t="s">
        <v>864</v>
      </c>
      <c r="H106" s="1833">
        <v>0</v>
      </c>
      <c r="I106" s="1834">
        <v>0</v>
      </c>
      <c r="J106" s="1834">
        <v>0</v>
      </c>
      <c r="K106" s="1834">
        <v>0</v>
      </c>
      <c r="L106" s="1535">
        <f t="shared" si="11"/>
        <v>0</v>
      </c>
      <c r="N106" s="1536">
        <f>SUMIF(CF.2!$H$5:$H$25,CF.1!E106,CF.2!$J$5:$J$25)-SUMIF(CF.2!$K$5:$K$25,CF.1!E106,CF.2!$M$5:$M$25)</f>
        <v>0</v>
      </c>
      <c r="O106" s="1534">
        <f>SUMIF(CF.2!$H$31:$H$60,CF.1!E106,CF.2!$J$31:$J$60)+SUMIF(CF.2!$K$31:$K$60,CF.1!E106,CF.2!$M$31:$M$60)</f>
        <v>0</v>
      </c>
      <c r="P106" s="1534">
        <f>SUMIF(CF.2!$H$65:$H$108,CF.1!E106,CF.2!$J$65:$J$108)+SUMIF(CF.2!$K$65:$K$108,CF.1!E106,CF.2!$M$65:$M$108)</f>
        <v>0</v>
      </c>
      <c r="Q106" s="1534">
        <f>SUMIF(CF.2!$H$112:$H$118,CF.1!E106,CF.2!$J$112:$J$118)+SUMIF(CF.2!$K$112:$K$118,CF.1!E106,CF.2!$M$112:$M$118)</f>
        <v>0</v>
      </c>
      <c r="R106" s="1534">
        <f>SUMIF(CF.2!$H$123:$H$134,CF.1!E106,CF.2!$J$123:$J$134)+SUMIF(CF.2!$K$123:$K$134,CF.1!E106,CF.2!$M$123:$M$134)</f>
        <v>0</v>
      </c>
      <c r="S106" s="1535">
        <f t="shared" si="12"/>
        <v>0</v>
      </c>
      <c r="U106" s="1537">
        <f t="shared" si="13"/>
        <v>0</v>
      </c>
    </row>
    <row r="107" spans="3:26" ht="18" customHeight="1">
      <c r="C107" s="1364">
        <v>1</v>
      </c>
      <c r="D107" s="1532" t="s">
        <v>865</v>
      </c>
      <c r="E107" s="1506" t="s">
        <v>865</v>
      </c>
      <c r="F107" s="1533"/>
      <c r="G107" s="1506" t="s">
        <v>866</v>
      </c>
      <c r="H107" s="1833">
        <v>0</v>
      </c>
      <c r="I107" s="1834">
        <v>0</v>
      </c>
      <c r="J107" s="1834">
        <v>0</v>
      </c>
      <c r="K107" s="1834">
        <v>0</v>
      </c>
      <c r="L107" s="1535">
        <f t="shared" si="11"/>
        <v>0</v>
      </c>
      <c r="N107" s="1536">
        <f>SUMIF(CF.2!$H$5:$H$25,CF.1!E107,CF.2!$J$5:$J$25)-SUMIF(CF.2!$K$5:$K$25,CF.1!E107,CF.2!$M$5:$M$25)</f>
        <v>0</v>
      </c>
      <c r="O107" s="1534">
        <f>SUMIF(CF.2!$H$31:$H$60,CF.1!E107,CF.2!$J$31:$J$60)+SUMIF(CF.2!$K$31:$K$60,CF.1!E107,CF.2!$M$31:$M$60)</f>
        <v>0</v>
      </c>
      <c r="P107" s="1534">
        <f>SUMIF(CF.2!$H$65:$H$108,CF.1!E107,CF.2!$J$65:$J$108)+SUMIF(CF.2!$K$65:$K$108,CF.1!E107,CF.2!$M$65:$M$108)</f>
        <v>0</v>
      </c>
      <c r="Q107" s="1534">
        <f>SUMIF(CF.2!$H$112:$H$118,CF.1!E107,CF.2!$J$112:$J$118)+SUMIF(CF.2!$K$112:$K$118,CF.1!E107,CF.2!$M$112:$M$118)</f>
        <v>0</v>
      </c>
      <c r="R107" s="1534">
        <f>SUMIF(CF.2!$H$123:$H$134,CF.1!E107,CF.2!$J$123:$J$134)+SUMIF(CF.2!$K$123:$K$134,CF.1!E107,CF.2!$M$123:$M$134)</f>
        <v>0</v>
      </c>
      <c r="S107" s="1535">
        <f t="shared" si="12"/>
        <v>0</v>
      </c>
      <c r="U107" s="1537">
        <f t="shared" si="13"/>
        <v>0</v>
      </c>
    </row>
    <row r="108" spans="3:26" ht="18" customHeight="1">
      <c r="C108" s="1364">
        <v>1</v>
      </c>
      <c r="D108" s="1532" t="s">
        <v>867</v>
      </c>
      <c r="E108" s="1506" t="s">
        <v>867</v>
      </c>
      <c r="F108" s="1533"/>
      <c r="G108" s="1506" t="s">
        <v>868</v>
      </c>
      <c r="H108" s="1833">
        <v>0</v>
      </c>
      <c r="I108" s="1834">
        <v>0</v>
      </c>
      <c r="J108" s="1834">
        <v>0</v>
      </c>
      <c r="K108" s="1834">
        <v>0</v>
      </c>
      <c r="L108" s="1535">
        <f t="shared" ref="L108:L126" si="14">SUM(H108:K108)</f>
        <v>0</v>
      </c>
      <c r="N108" s="1536">
        <f>SUMIF(CF.2!$H$5:$H$25,CF.1!E108,CF.2!$J$5:$J$25)-SUMIF(CF.2!$K$5:$K$25,CF.1!E108,CF.2!$M$5:$M$25)</f>
        <v>0</v>
      </c>
      <c r="O108" s="1534">
        <f>SUMIF(CF.2!$H$31:$H$60,CF.1!E108,CF.2!$J$31:$J$60)+SUMIF(CF.2!$K$31:$K$60,CF.1!E108,CF.2!$M$31:$M$60)</f>
        <v>0</v>
      </c>
      <c r="P108" s="1534">
        <f>SUMIF(CF.2!$H$65:$H$108,CF.1!E108,CF.2!$J$65:$J$108)+SUMIF(CF.2!$K$65:$K$108,CF.1!E108,CF.2!$M$65:$M$108)</f>
        <v>0</v>
      </c>
      <c r="Q108" s="1534">
        <f>SUMIF(CF.2!$H$112:$H$118,CF.1!E108,CF.2!$J$112:$J$118)+SUMIF(CF.2!$K$112:$K$118,CF.1!E108,CF.2!$M$112:$M$118)</f>
        <v>0</v>
      </c>
      <c r="R108" s="1534">
        <f>SUMIF(CF.2!$H$123:$H$134,CF.1!E108,CF.2!$J$123:$J$134)+SUMIF(CF.2!$K$123:$K$134,CF.1!E108,CF.2!$M$123:$M$134)</f>
        <v>0</v>
      </c>
      <c r="S108" s="1535">
        <f t="shared" ref="S108:S126" si="15">SUM(N108:R108)</f>
        <v>0</v>
      </c>
      <c r="U108" s="1537">
        <f t="shared" ref="U108:U126" si="16">ROUND(S108+L108,0)</f>
        <v>0</v>
      </c>
    </row>
    <row r="109" spans="3:26" ht="18" customHeight="1">
      <c r="C109" s="1364">
        <v>1</v>
      </c>
      <c r="D109" s="1532" t="s">
        <v>869</v>
      </c>
      <c r="E109" s="1506" t="s">
        <v>869</v>
      </c>
      <c r="F109" s="1533" t="s">
        <v>870</v>
      </c>
      <c r="G109" s="1506" t="s">
        <v>870</v>
      </c>
      <c r="H109" s="1432">
        <v>0</v>
      </c>
      <c r="I109" s="1834">
        <v>0</v>
      </c>
      <c r="J109" s="1834">
        <v>0</v>
      </c>
      <c r="K109" s="1834">
        <v>0</v>
      </c>
      <c r="L109" s="1535">
        <f t="shared" si="14"/>
        <v>0</v>
      </c>
      <c r="N109" s="1536">
        <f>SUMIF(CF.2!$H$5:$H$25,CF.1!E109,CF.2!$J$5:$J$25)-SUMIF(CF.2!$K$5:$K$25,CF.1!E109,CF.2!$M$5:$M$25)</f>
        <v>0</v>
      </c>
      <c r="O109" s="1534">
        <f>SUMIF(CF.2!$H$31:$H$60,CF.1!E109,CF.2!$J$31:$J$60)+SUMIF(CF.2!$K$31:$K$60,CF.1!E109,CF.2!$M$31:$M$60)</f>
        <v>0</v>
      </c>
      <c r="P109" s="1534">
        <f>SUMIF(CF.2!$H$65:$H$108,CF.1!E109,CF.2!$J$65:$J$108)+SUMIF(CF.2!$K$65:$K$108,CF.1!E109,CF.2!$M$65:$M$108)</f>
        <v>0</v>
      </c>
      <c r="Q109" s="1534">
        <f>SUMIF(CF.2!$H$112:$H$118,CF.1!E109,CF.2!$J$112:$J$118)+SUMIF(CF.2!$K$112:$K$118,CF.1!E109,CF.2!$M$112:$M$118)</f>
        <v>0</v>
      </c>
      <c r="R109" s="1534">
        <f>SUMIF(CF.2!$H$123:$H$134,CF.1!E109,CF.2!$J$123:$J$134)+SUMIF(CF.2!$K$123:$K$134,CF.1!E109,CF.2!$M$123:$M$134)</f>
        <v>0</v>
      </c>
      <c r="S109" s="1535">
        <f t="shared" si="15"/>
        <v>0</v>
      </c>
      <c r="U109" s="1537">
        <f t="shared" si="16"/>
        <v>0</v>
      </c>
      <c r="W109" s="1364" t="b">
        <f>U109=T_IS!X40</f>
        <v>0</v>
      </c>
    </row>
    <row r="110" spans="3:26" ht="18" customHeight="1">
      <c r="C110" s="1364">
        <v>1</v>
      </c>
      <c r="D110" s="1532" t="s">
        <v>871</v>
      </c>
      <c r="E110" s="1506" t="s">
        <v>871</v>
      </c>
      <c r="F110" s="1533"/>
      <c r="G110" s="1506" t="s">
        <v>872</v>
      </c>
      <c r="H110" s="1833">
        <v>0</v>
      </c>
      <c r="I110" s="1834">
        <v>0</v>
      </c>
      <c r="J110" s="1834">
        <v>0</v>
      </c>
      <c r="K110" s="1834">
        <v>0</v>
      </c>
      <c r="L110" s="1535">
        <f t="shared" si="14"/>
        <v>0</v>
      </c>
      <c r="N110" s="1536">
        <f>SUMIF(CF.2!$H$5:$H$25,CF.1!E110,CF.2!$J$5:$J$25)-SUMIF(CF.2!$K$5:$K$25,CF.1!E110,CF.2!$M$5:$M$25)</f>
        <v>0</v>
      </c>
      <c r="O110" s="1534">
        <f>SUMIF(CF.2!$H$31:$H$60,CF.1!E110,CF.2!$J$31:$J$60)+SUMIF(CF.2!$K$31:$K$60,CF.1!E110,CF.2!$M$31:$M$60)</f>
        <v>0</v>
      </c>
      <c r="P110" s="1534">
        <f>SUMIF(CF.2!$H$65:$H$108,CF.1!E110,CF.2!$J$65:$J$108)+SUMIF(CF.2!$K$65:$K$108,CF.1!E110,CF.2!$M$65:$M$108)</f>
        <v>0</v>
      </c>
      <c r="Q110" s="1534">
        <f>SUMIF(CF.2!$H$112:$H$118,CF.1!E110,CF.2!$J$112:$J$118)+SUMIF(CF.2!$K$112:$K$118,CF.1!E110,CF.2!$M$112:$M$118)</f>
        <v>0</v>
      </c>
      <c r="R110" s="1534">
        <f>SUMIF(CF.2!$H$123:$H$134,CF.1!E110,CF.2!$J$123:$J$134)+SUMIF(CF.2!$K$123:$K$134,CF.1!E110,CF.2!$M$123:$M$134)</f>
        <v>0</v>
      </c>
      <c r="S110" s="1535">
        <f t="shared" si="15"/>
        <v>0</v>
      </c>
      <c r="U110" s="1537">
        <f t="shared" si="16"/>
        <v>0</v>
      </c>
    </row>
    <row r="111" spans="3:26" ht="18" customHeight="1">
      <c r="C111" s="1364">
        <v>1</v>
      </c>
      <c r="D111" s="1532" t="s">
        <v>873</v>
      </c>
      <c r="E111" s="1506" t="s">
        <v>873</v>
      </c>
      <c r="F111" s="1533" t="s">
        <v>673</v>
      </c>
      <c r="G111" s="1506" t="s">
        <v>673</v>
      </c>
      <c r="H111" s="1833">
        <v>-1680822924</v>
      </c>
      <c r="I111" s="1834">
        <v>-5363942</v>
      </c>
      <c r="J111" s="1834"/>
      <c r="K111" s="1834">
        <v>-27641124</v>
      </c>
      <c r="L111" s="1535">
        <f t="shared" si="14"/>
        <v>-1713827990</v>
      </c>
      <c r="N111" s="1536">
        <f>SUMIF(CF.2!$H$5:$H$25,CF.1!E111,CF.2!$J$5:$J$25)-SUMIF(CF.2!$K$5:$K$25,CF.1!E111,CF.2!$M$5:$M$25)</f>
        <v>0</v>
      </c>
      <c r="O111" s="1534">
        <f>SUMIF(CF.2!$H$31:$H$60,CF.1!E111,CF.2!$J$31:$J$60)+SUMIF(CF.2!$K$31:$K$60,CF.1!E111,CF.2!$M$31:$M$60)</f>
        <v>0</v>
      </c>
      <c r="P111" s="1534">
        <f>SUMIF(CF.2!$H$65:$H$108,CF.1!E111,CF.2!$J$65:$J$108)+SUMIF(CF.2!$K$65:$K$108,CF.1!E111,CF.2!$M$65:$M$108)</f>
        <v>46841095</v>
      </c>
      <c r="Q111" s="1534">
        <f>SUMIF(CF.2!$H$112:$H$118,CF.1!E111,CF.2!$J$112:$J$118)+SUMIF(CF.2!$K$112:$K$118,CF.1!E111,CF.2!$M$112:$M$118)</f>
        <v>0</v>
      </c>
      <c r="R111" s="1534">
        <f>SUMIF(CF.2!$H$123:$H$134,CF.1!E111,CF.2!$J$123:$J$134)+SUMIF(CF.2!$K$123:$K$134,CF.1!E111,CF.2!$M$123:$M$134)</f>
        <v>0</v>
      </c>
      <c r="S111" s="1535">
        <f t="shared" si="15"/>
        <v>46841095</v>
      </c>
      <c r="U111" s="1542">
        <f t="shared" si="16"/>
        <v>-1666986895</v>
      </c>
      <c r="V111" s="1089"/>
      <c r="W111" s="925" t="b">
        <f>U111=-SUM(T_IS!X77:X78)</f>
        <v>0</v>
      </c>
      <c r="X111" s="1089"/>
      <c r="Y111" s="1089"/>
      <c r="Z111" s="1089"/>
    </row>
    <row r="112" spans="3:26" ht="18" customHeight="1">
      <c r="C112" s="1364">
        <v>1</v>
      </c>
      <c r="D112" s="1532" t="s">
        <v>874</v>
      </c>
      <c r="E112" s="1506" t="s">
        <v>874</v>
      </c>
      <c r="F112" s="1533"/>
      <c r="G112" s="1506" t="s">
        <v>875</v>
      </c>
      <c r="H112" s="1833">
        <v>0</v>
      </c>
      <c r="I112" s="1834">
        <v>0</v>
      </c>
      <c r="J112" s="1834">
        <v>0</v>
      </c>
      <c r="K112" s="1834">
        <v>0</v>
      </c>
      <c r="L112" s="1535">
        <f t="shared" si="14"/>
        <v>0</v>
      </c>
      <c r="N112" s="1536">
        <f>SUMIF(CF.2!$H$5:$H$25,CF.1!E112,CF.2!$J$5:$J$25)-SUMIF(CF.2!$K$5:$K$25,CF.1!E112,CF.2!$M$5:$M$25)</f>
        <v>0</v>
      </c>
      <c r="O112" s="1534">
        <f>SUMIF(CF.2!$H$31:$H$60,CF.1!E112,CF.2!$J$31:$J$60)+SUMIF(CF.2!$K$31:$K$60,CF.1!E112,CF.2!$M$31:$M$60)</f>
        <v>0</v>
      </c>
      <c r="P112" s="1534">
        <f>SUMIF(CF.2!$H$65:$H$108,CF.1!E112,CF.2!$J$65:$J$108)+SUMIF(CF.2!$K$65:$K$108,CF.1!E112,CF.2!$M$65:$M$108)</f>
        <v>0</v>
      </c>
      <c r="Q112" s="1534">
        <f>SUMIF(CF.2!$H$112:$H$118,CF.1!E112,CF.2!$J$112:$J$118)+SUMIF(CF.2!$K$112:$K$118,CF.1!E112,CF.2!$M$112:$M$118)</f>
        <v>0</v>
      </c>
      <c r="R112" s="1534">
        <f>SUMIF(CF.2!$H$123:$H$134,CF.1!E112,CF.2!$J$123:$J$134)+SUMIF(CF.2!$K$123:$K$134,CF.1!E112,CF.2!$M$123:$M$134)</f>
        <v>0</v>
      </c>
      <c r="S112" s="1535">
        <f t="shared" si="15"/>
        <v>0</v>
      </c>
      <c r="U112" s="1537">
        <f t="shared" si="16"/>
        <v>0</v>
      </c>
    </row>
    <row r="113" spans="3:30" ht="18" customHeight="1">
      <c r="C113" s="1364">
        <v>1</v>
      </c>
      <c r="D113" s="1532" t="s">
        <v>876</v>
      </c>
      <c r="E113" s="1506" t="s">
        <v>876</v>
      </c>
      <c r="F113" s="1533"/>
      <c r="G113" s="1506" t="s">
        <v>877</v>
      </c>
      <c r="H113" s="1833">
        <v>0</v>
      </c>
      <c r="I113" s="1834">
        <v>0</v>
      </c>
      <c r="J113" s="1834">
        <v>0</v>
      </c>
      <c r="K113" s="1834">
        <v>0</v>
      </c>
      <c r="L113" s="1535">
        <f t="shared" si="14"/>
        <v>0</v>
      </c>
      <c r="N113" s="1536">
        <f>SUMIF(CF.2!$H$5:$H$25,CF.1!E113,CF.2!$J$5:$J$25)-SUMIF(CF.2!$K$5:$K$25,CF.1!E113,CF.2!$M$5:$M$25)</f>
        <v>0</v>
      </c>
      <c r="O113" s="1534">
        <f>SUMIF(CF.2!$H$31:$H$60,CF.1!E113,CF.2!$J$31:$J$60)+SUMIF(CF.2!$K$31:$K$60,CF.1!E113,CF.2!$M$31:$M$60)</f>
        <v>0</v>
      </c>
      <c r="P113" s="1534">
        <f>SUMIF(CF.2!$H$65:$H$108,CF.1!E113,CF.2!$J$65:$J$108)+SUMIF(CF.2!$K$65:$K$108,CF.1!E113,CF.2!$M$65:$M$108)</f>
        <v>0</v>
      </c>
      <c r="Q113" s="1534">
        <f>SUMIF(CF.2!$H$112:$H$118,CF.1!E113,CF.2!$J$112:$J$118)+SUMIF(CF.2!$K$112:$K$118,CF.1!E113,CF.2!$M$112:$M$118)</f>
        <v>0</v>
      </c>
      <c r="R113" s="1534">
        <f>SUMIF(CF.2!$H$123:$H$134,CF.1!E113,CF.2!$J$123:$J$134)+SUMIF(CF.2!$K$123:$K$134,CF.1!E113,CF.2!$M$123:$M$134)</f>
        <v>0</v>
      </c>
      <c r="S113" s="1535">
        <f t="shared" si="15"/>
        <v>0</v>
      </c>
      <c r="U113" s="1537">
        <f t="shared" si="16"/>
        <v>0</v>
      </c>
    </row>
    <row r="114" spans="3:30" ht="18" customHeight="1">
      <c r="C114" s="1364">
        <v>1</v>
      </c>
      <c r="D114" s="1532" t="s">
        <v>878</v>
      </c>
      <c r="E114" s="1506" t="s">
        <v>878</v>
      </c>
      <c r="F114" s="1533"/>
      <c r="G114" s="1506" t="s">
        <v>879</v>
      </c>
      <c r="H114" s="1833">
        <v>0</v>
      </c>
      <c r="I114" s="1834">
        <v>0</v>
      </c>
      <c r="J114" s="1834">
        <v>0</v>
      </c>
      <c r="K114" s="1834">
        <v>0</v>
      </c>
      <c r="L114" s="1535">
        <f t="shared" si="14"/>
        <v>0</v>
      </c>
      <c r="N114" s="1536">
        <f>SUMIF(CF.2!$H$5:$H$25,CF.1!E114,CF.2!$J$5:$J$25)-SUMIF(CF.2!$K$5:$K$25,CF.1!E114,CF.2!$M$5:$M$25)</f>
        <v>0</v>
      </c>
      <c r="O114" s="1534">
        <f>SUMIF(CF.2!$H$31:$H$60,CF.1!E114,CF.2!$J$31:$J$60)+SUMIF(CF.2!$K$31:$K$60,CF.1!E114,CF.2!$M$31:$M$60)</f>
        <v>0</v>
      </c>
      <c r="P114" s="1534">
        <f>SUMIF(CF.2!$H$65:$H$108,CF.1!E114,CF.2!$J$65:$J$108)+SUMIF(CF.2!$K$65:$K$108,CF.1!E114,CF.2!$M$65:$M$108)</f>
        <v>0</v>
      </c>
      <c r="Q114" s="1534">
        <f>SUMIF(CF.2!$H$112:$H$118,CF.1!E114,CF.2!$J$112:$J$118)+SUMIF(CF.2!$K$112:$K$118,CF.1!E114,CF.2!$M$112:$M$118)</f>
        <v>0</v>
      </c>
      <c r="R114" s="1534">
        <f>SUMIF(CF.2!$H$123:$H$134,CF.1!E114,CF.2!$J$123:$J$134)+SUMIF(CF.2!$K$123:$K$134,CF.1!E114,CF.2!$M$123:$M$134)</f>
        <v>0</v>
      </c>
      <c r="S114" s="1535">
        <f t="shared" si="15"/>
        <v>0</v>
      </c>
      <c r="U114" s="1537">
        <f t="shared" si="16"/>
        <v>0</v>
      </c>
    </row>
    <row r="115" spans="3:30" s="1552" customFormat="1" ht="18" customHeight="1">
      <c r="C115" s="1364">
        <v>1</v>
      </c>
      <c r="D115" s="1546" t="s">
        <v>809</v>
      </c>
      <c r="E115" s="1547" t="s">
        <v>880</v>
      </c>
      <c r="F115" s="1548" t="s">
        <v>1418</v>
      </c>
      <c r="G115" s="1547" t="s">
        <v>881</v>
      </c>
      <c r="H115" s="1833">
        <v>0</v>
      </c>
      <c r="I115" s="1834">
        <v>0</v>
      </c>
      <c r="J115" s="1834">
        <v>0</v>
      </c>
      <c r="K115" s="1834">
        <v>0</v>
      </c>
      <c r="L115" s="1535">
        <f t="shared" si="14"/>
        <v>0</v>
      </c>
      <c r="N115" s="1550">
        <f>SUMIF(CF.2!$H$5:$H$25,CF.1!E115,CF.2!$J$5:$J$25)-SUMIF(CF.2!$K$5:$K$25,CF.1!E115,CF.2!$M$5:$M$25)</f>
        <v>0</v>
      </c>
      <c r="O115" s="1551">
        <f>SUMIF(CF.2!$H$31:$H$60,CF.1!E115,CF.2!$J$31:$J$60)+SUMIF(CF.2!$K$31:$K$60,CF.1!E115,CF.2!$M$31:$M$60)</f>
        <v>0</v>
      </c>
      <c r="P115" s="1551">
        <f>SUMIF(CF.2!$H$65:$H$108,CF.1!E115,CF.2!$J$65:$J$108)+SUMIF(CF.2!$K$65:$K$108,CF.1!E115,CF.2!$M$65:$M$108)</f>
        <v>0</v>
      </c>
      <c r="Q115" s="1551">
        <f>SUMIF(CF.2!$H$112:$H$118,CF.1!E115,CF.2!$J$112:$J$118)+SUMIF(CF.2!$K$112:$K$118,CF.1!E115,CF.2!$M$112:$M$118)</f>
        <v>0</v>
      </c>
      <c r="R115" s="1551">
        <f>SUMIF(CF.2!$H$123:$H$134,CF.1!E115,CF.2!$J$123:$J$134)+SUMIF(CF.2!$K$123:$K$134,CF.1!E115,CF.2!$M$123:$M$134)</f>
        <v>0</v>
      </c>
      <c r="S115" s="1549">
        <f t="shared" si="15"/>
        <v>0</v>
      </c>
      <c r="U115" s="1537">
        <f t="shared" si="16"/>
        <v>0</v>
      </c>
      <c r="X115" s="1364"/>
      <c r="Y115" s="1364"/>
      <c r="Z115" s="1364"/>
      <c r="AD115" s="1364"/>
    </row>
    <row r="116" spans="3:30" s="1552" customFormat="1" ht="18" customHeight="1">
      <c r="C116" s="1364">
        <v>1</v>
      </c>
      <c r="D116" s="1546" t="s">
        <v>2566</v>
      </c>
      <c r="E116" s="1547" t="s">
        <v>882</v>
      </c>
      <c r="F116" s="1548" t="s">
        <v>1419</v>
      </c>
      <c r="G116" s="1547" t="s">
        <v>883</v>
      </c>
      <c r="H116" s="1833">
        <v>-3510625687</v>
      </c>
      <c r="I116" s="1834">
        <v>0</v>
      </c>
      <c r="J116" s="1834">
        <v>0</v>
      </c>
      <c r="K116" s="1834">
        <v>0</v>
      </c>
      <c r="L116" s="1535">
        <f t="shared" si="14"/>
        <v>-3510625687</v>
      </c>
      <c r="N116" s="1550">
        <f>SUMIF(CF.2!$H$5:$H$25,CF.1!E116,CF.2!$J$5:$J$25)-SUMIF(CF.2!$K$5:$K$25,CF.1!E116,CF.2!$M$5:$M$25)</f>
        <v>0</v>
      </c>
      <c r="O116" s="1551">
        <f>SUMIF(CF.2!$H$31:$H$60,CF.1!E116,CF.2!$J$31:$J$60)+SUMIF(CF.2!$K$31:$K$60,CF.1!E116,CF.2!$M$31:$M$60)</f>
        <v>0</v>
      </c>
      <c r="P116" s="1551">
        <f>SUMIF(CF.2!$H$65:$H$108,CF.1!E116,CF.2!$J$65:$J$108)+SUMIF(CF.2!$K$65:$K$108,CF.1!E116,CF.2!$M$65:$M$108)</f>
        <v>0</v>
      </c>
      <c r="Q116" s="1551">
        <f>SUMIF(CF.2!$H$112:$H$118,CF.1!E116,CF.2!$J$112:$J$118)+SUMIF(CF.2!$K$112:$K$118,CF.1!E116,CF.2!$M$112:$M$118)</f>
        <v>0</v>
      </c>
      <c r="R116" s="1551">
        <f>SUMIF(CF.2!$H$123:$H$134,CF.1!E116,CF.2!$J$123:$J$134)+SUMIF(CF.2!$K$123:$K$134,CF.1!E116,CF.2!$M$123:$M$134)</f>
        <v>0</v>
      </c>
      <c r="S116" s="1549">
        <f t="shared" si="15"/>
        <v>0</v>
      </c>
      <c r="U116" s="1537">
        <f t="shared" si="16"/>
        <v>-3510625687</v>
      </c>
      <c r="W116" s="710" t="b">
        <f>U116=-T_IS!X86</f>
        <v>1</v>
      </c>
      <c r="Y116" s="1364"/>
      <c r="AD116" s="1364"/>
    </row>
    <row r="117" spans="3:30" ht="18" customHeight="1">
      <c r="C117" s="1364">
        <v>1</v>
      </c>
      <c r="D117" s="1532" t="s">
        <v>884</v>
      </c>
      <c r="E117" s="1506" t="s">
        <v>884</v>
      </c>
      <c r="F117" s="1533"/>
      <c r="G117" s="1506" t="s">
        <v>885</v>
      </c>
      <c r="H117" s="1833">
        <v>0</v>
      </c>
      <c r="I117" s="1834">
        <v>0</v>
      </c>
      <c r="J117" s="1834">
        <v>0</v>
      </c>
      <c r="K117" s="1834">
        <v>0</v>
      </c>
      <c r="L117" s="1535">
        <f t="shared" si="14"/>
        <v>0</v>
      </c>
      <c r="N117" s="1536">
        <f>SUMIF(CF.2!$H$5:$H$25,CF.1!E117,CF.2!$J$5:$J$25)-SUMIF(CF.2!$K$5:$K$25,CF.1!E117,CF.2!$M$5:$M$25)</f>
        <v>0</v>
      </c>
      <c r="O117" s="1534">
        <f>SUMIF(CF.2!$H$31:$H$60,CF.1!E117,CF.2!$J$31:$J$60)+SUMIF(CF.2!$K$31:$K$60,CF.1!E117,CF.2!$M$31:$M$60)</f>
        <v>0</v>
      </c>
      <c r="P117" s="1534">
        <f>SUMIF(CF.2!$H$65:$H$108,CF.1!E117,CF.2!$J$65:$J$108)+SUMIF(CF.2!$K$65:$K$108,CF.1!E117,CF.2!$M$65:$M$108)</f>
        <v>0</v>
      </c>
      <c r="Q117" s="1534">
        <f>SUMIF(CF.2!$H$112:$H$118,CF.1!E117,CF.2!$J$112:$J$118)+SUMIF(CF.2!$K$112:$K$118,CF.1!E117,CF.2!$M$112:$M$118)</f>
        <v>0</v>
      </c>
      <c r="R117" s="1534">
        <f>SUMIF(CF.2!$H$123:$H$134,CF.1!E117,CF.2!$J$123:$J$134)+SUMIF(CF.2!$K$123:$K$134,CF.1!E117,CF.2!$M$123:$M$134)</f>
        <v>0</v>
      </c>
      <c r="S117" s="1535">
        <f t="shared" si="15"/>
        <v>0</v>
      </c>
      <c r="U117" s="1537">
        <f t="shared" si="16"/>
        <v>0</v>
      </c>
      <c r="X117" s="1552"/>
      <c r="Z117" s="1552"/>
    </row>
    <row r="118" spans="3:30" ht="18" customHeight="1">
      <c r="C118" s="1364">
        <v>1</v>
      </c>
      <c r="D118" s="1532" t="s">
        <v>886</v>
      </c>
      <c r="E118" s="1506" t="s">
        <v>886</v>
      </c>
      <c r="F118" s="1533"/>
      <c r="G118" s="1506" t="s">
        <v>887</v>
      </c>
      <c r="H118" s="1833">
        <v>0</v>
      </c>
      <c r="I118" s="1834">
        <v>0</v>
      </c>
      <c r="J118" s="1834">
        <v>0</v>
      </c>
      <c r="K118" s="1834">
        <v>0</v>
      </c>
      <c r="L118" s="1535">
        <f t="shared" si="14"/>
        <v>0</v>
      </c>
      <c r="N118" s="1536">
        <f>SUMIF(CF.2!$H$5:$H$25,CF.1!E118,CF.2!$J$5:$J$25)-SUMIF(CF.2!$K$5:$K$25,CF.1!E118,CF.2!$M$5:$M$25)</f>
        <v>0</v>
      </c>
      <c r="O118" s="1534">
        <f>SUMIF(CF.2!$H$31:$H$60,CF.1!E118,CF.2!$J$31:$J$60)+SUMIF(CF.2!$K$31:$K$60,CF.1!E118,CF.2!$M$31:$M$60)</f>
        <v>0</v>
      </c>
      <c r="P118" s="1534">
        <f>SUMIF(CF.2!$H$65:$H$108,CF.1!E118,CF.2!$J$65:$J$108)+SUMIF(CF.2!$K$65:$K$108,CF.1!E118,CF.2!$M$65:$M$108)</f>
        <v>0</v>
      </c>
      <c r="Q118" s="1534">
        <f>SUMIF(CF.2!$H$112:$H$118,CF.1!E118,CF.2!$J$112:$J$118)+SUMIF(CF.2!$K$112:$K$118,CF.1!E118,CF.2!$M$112:$M$118)</f>
        <v>0</v>
      </c>
      <c r="R118" s="1534">
        <f>SUMIF(CF.2!$H$123:$H$134,CF.1!E118,CF.2!$J$123:$J$134)+SUMIF(CF.2!$K$123:$K$134,CF.1!E118,CF.2!$M$123:$M$134)</f>
        <v>0</v>
      </c>
      <c r="S118" s="1535">
        <f t="shared" si="15"/>
        <v>0</v>
      </c>
      <c r="U118" s="1537">
        <f t="shared" si="16"/>
        <v>0</v>
      </c>
    </row>
    <row r="119" spans="3:30" ht="18" customHeight="1">
      <c r="C119" s="1364">
        <v>1</v>
      </c>
      <c r="D119" s="1532" t="s">
        <v>888</v>
      </c>
      <c r="E119" s="1506" t="s">
        <v>888</v>
      </c>
      <c r="F119" s="1533"/>
      <c r="G119" s="1506" t="s">
        <v>889</v>
      </c>
      <c r="H119" s="1833">
        <v>0</v>
      </c>
      <c r="I119" s="1834">
        <v>0</v>
      </c>
      <c r="J119" s="1834">
        <v>0</v>
      </c>
      <c r="K119" s="1834">
        <v>0</v>
      </c>
      <c r="L119" s="1535">
        <f t="shared" si="14"/>
        <v>0</v>
      </c>
      <c r="N119" s="1536">
        <f>SUMIF(CF.2!$H$5:$H$25,CF.1!E119,CF.2!$J$5:$J$25)-SUMIF(CF.2!$K$5:$K$25,CF.1!E119,CF.2!$M$5:$M$25)</f>
        <v>0</v>
      </c>
      <c r="O119" s="1534">
        <f>SUMIF(CF.2!$H$31:$H$60,CF.1!E119,CF.2!$J$31:$J$60)+SUMIF(CF.2!$K$31:$K$60,CF.1!E119,CF.2!$M$31:$M$60)</f>
        <v>0</v>
      </c>
      <c r="P119" s="1534">
        <f>SUMIF(CF.2!$H$65:$H$108,CF.1!E119,CF.2!$J$65:$J$108)+SUMIF(CF.2!$K$65:$K$108,CF.1!E119,CF.2!$M$65:$M$108)</f>
        <v>0</v>
      </c>
      <c r="Q119" s="1534">
        <f>SUMIF(CF.2!$H$112:$H$118,CF.1!E119,CF.2!$J$112:$J$118)+SUMIF(CF.2!$K$112:$K$118,CF.1!E119,CF.2!$M$112:$M$118)</f>
        <v>0</v>
      </c>
      <c r="R119" s="1534">
        <f>SUMIF(CF.2!$H$123:$H$134,CF.1!E119,CF.2!$J$123:$J$134)+SUMIF(CF.2!$K$123:$K$134,CF.1!E119,CF.2!$M$123:$M$134)</f>
        <v>0</v>
      </c>
      <c r="S119" s="1535">
        <f t="shared" si="15"/>
        <v>0</v>
      </c>
      <c r="U119" s="1537">
        <f t="shared" si="16"/>
        <v>0</v>
      </c>
    </row>
    <row r="120" spans="3:30" ht="18" customHeight="1">
      <c r="C120" s="1364">
        <v>1</v>
      </c>
      <c r="D120" s="1532" t="s">
        <v>890</v>
      </c>
      <c r="E120" s="1506" t="s">
        <v>890</v>
      </c>
      <c r="F120" s="1533"/>
      <c r="G120" s="1506" t="s">
        <v>891</v>
      </c>
      <c r="H120" s="1833">
        <v>0</v>
      </c>
      <c r="I120" s="1834">
        <v>0</v>
      </c>
      <c r="J120" s="1834">
        <v>0</v>
      </c>
      <c r="K120" s="1834">
        <v>0</v>
      </c>
      <c r="L120" s="1535">
        <f t="shared" si="14"/>
        <v>0</v>
      </c>
      <c r="N120" s="1536">
        <f>SUMIF(CF.2!$H$5:$H$25,CF.1!E120,CF.2!$J$5:$J$25)-SUMIF(CF.2!$K$5:$K$25,CF.1!E120,CF.2!$M$5:$M$25)</f>
        <v>0</v>
      </c>
      <c r="O120" s="1534">
        <f>SUMIF(CF.2!$H$31:$H$60,CF.1!E120,CF.2!$J$31:$J$60)+SUMIF(CF.2!$K$31:$K$60,CF.1!E120,CF.2!$M$31:$M$60)</f>
        <v>0</v>
      </c>
      <c r="P120" s="1534">
        <f>SUMIF(CF.2!$H$65:$H$108,CF.1!E120,CF.2!$J$65:$J$108)+SUMIF(CF.2!$K$65:$K$108,CF.1!E120,CF.2!$M$65:$M$108)</f>
        <v>0</v>
      </c>
      <c r="Q120" s="1534">
        <f>SUMIF(CF.2!$H$112:$H$118,CF.1!E120,CF.2!$J$112:$J$118)+SUMIF(CF.2!$K$112:$K$118,CF.1!E120,CF.2!$M$112:$M$118)</f>
        <v>0</v>
      </c>
      <c r="R120" s="1534">
        <f>SUMIF(CF.2!$H$123:$H$134,CF.1!E120,CF.2!$J$123:$J$134)+SUMIF(CF.2!$K$123:$K$134,CF.1!E120,CF.2!$M$123:$M$134)</f>
        <v>0</v>
      </c>
      <c r="S120" s="1535">
        <f t="shared" si="15"/>
        <v>0</v>
      </c>
      <c r="U120" s="1537">
        <f t="shared" si="16"/>
        <v>0</v>
      </c>
    </row>
    <row r="121" spans="3:30" ht="18" customHeight="1">
      <c r="C121" s="1364">
        <v>1</v>
      </c>
      <c r="D121" s="1532" t="s">
        <v>892</v>
      </c>
      <c r="E121" s="1506" t="s">
        <v>892</v>
      </c>
      <c r="F121" s="1533"/>
      <c r="G121" s="1506" t="s">
        <v>893</v>
      </c>
      <c r="H121" s="1833">
        <v>0</v>
      </c>
      <c r="I121" s="1834">
        <v>0</v>
      </c>
      <c r="J121" s="1834">
        <v>0</v>
      </c>
      <c r="K121" s="1834">
        <v>0</v>
      </c>
      <c r="L121" s="1535">
        <f t="shared" si="14"/>
        <v>0</v>
      </c>
      <c r="N121" s="1536">
        <f>SUMIF(CF.2!$H$5:$H$25,CF.1!E121,CF.2!$J$5:$J$25)-SUMIF(CF.2!$K$5:$K$25,CF.1!E121,CF.2!$M$5:$M$25)</f>
        <v>0</v>
      </c>
      <c r="O121" s="1534">
        <f>SUMIF(CF.2!$H$31:$H$60,CF.1!E121,CF.2!$J$31:$J$60)+SUMIF(CF.2!$K$31:$K$60,CF.1!E121,CF.2!$M$31:$M$60)</f>
        <v>0</v>
      </c>
      <c r="P121" s="1534">
        <f>SUMIF(CF.2!$H$65:$H$108,CF.1!E121,CF.2!$J$65:$J$108)+SUMIF(CF.2!$K$65:$K$108,CF.1!E121,CF.2!$M$65:$M$108)</f>
        <v>0</v>
      </c>
      <c r="Q121" s="1534">
        <f>SUMIF(CF.2!$H$112:$H$118,CF.1!E121,CF.2!$J$112:$J$118)+SUMIF(CF.2!$K$112:$K$118,CF.1!E121,CF.2!$M$112:$M$118)</f>
        <v>0</v>
      </c>
      <c r="R121" s="1534">
        <f>SUMIF(CF.2!$H$123:$H$134,CF.1!E121,CF.2!$J$123:$J$134)+SUMIF(CF.2!$K$123:$K$134,CF.1!E121,CF.2!$M$123:$M$134)</f>
        <v>0</v>
      </c>
      <c r="S121" s="1535">
        <f t="shared" si="15"/>
        <v>0</v>
      </c>
      <c r="U121" s="1537">
        <f t="shared" si="16"/>
        <v>0</v>
      </c>
    </row>
    <row r="122" spans="3:30" ht="18" customHeight="1">
      <c r="C122" s="1364">
        <v>1</v>
      </c>
      <c r="D122" s="1532" t="s">
        <v>894</v>
      </c>
      <c r="E122" s="1506" t="s">
        <v>894</v>
      </c>
      <c r="F122" s="1533"/>
      <c r="G122" s="1506" t="s">
        <v>895</v>
      </c>
      <c r="H122" s="1833">
        <v>0</v>
      </c>
      <c r="I122" s="1834">
        <v>0</v>
      </c>
      <c r="J122" s="1834">
        <v>0</v>
      </c>
      <c r="K122" s="1834">
        <v>0</v>
      </c>
      <c r="L122" s="1535">
        <f t="shared" si="14"/>
        <v>0</v>
      </c>
      <c r="N122" s="1536">
        <f>SUMIF(CF.2!$H$5:$H$25,CF.1!E122,CF.2!$J$5:$J$25)-SUMIF(CF.2!$K$5:$K$25,CF.1!E122,CF.2!$M$5:$M$25)</f>
        <v>0</v>
      </c>
      <c r="O122" s="1534">
        <f>SUMIF(CF.2!$H$31:$H$60,CF.1!E122,CF.2!$J$31:$J$60)+SUMIF(CF.2!$K$31:$K$60,CF.1!E122,CF.2!$M$31:$M$60)</f>
        <v>0</v>
      </c>
      <c r="P122" s="1534">
        <f>SUMIF(CF.2!$H$65:$H$108,CF.1!E122,CF.2!$J$65:$J$108)+SUMIF(CF.2!$K$65:$K$108,CF.1!E122,CF.2!$M$65:$M$108)</f>
        <v>0</v>
      </c>
      <c r="Q122" s="1534">
        <f>SUMIF(CF.2!$H$112:$H$118,CF.1!E122,CF.2!$J$112:$J$118)+SUMIF(CF.2!$K$112:$K$118,CF.1!E122,CF.2!$M$112:$M$118)</f>
        <v>0</v>
      </c>
      <c r="R122" s="1534">
        <f>SUMIF(CF.2!$H$123:$H$134,CF.1!E122,CF.2!$J$123:$J$134)+SUMIF(CF.2!$K$123:$K$134,CF.1!E122,CF.2!$M$123:$M$134)</f>
        <v>0</v>
      </c>
      <c r="S122" s="1535">
        <f t="shared" si="15"/>
        <v>0</v>
      </c>
      <c r="U122" s="1537">
        <f t="shared" si="16"/>
        <v>0</v>
      </c>
    </row>
    <row r="123" spans="3:30" ht="18" customHeight="1">
      <c r="C123" s="1364">
        <v>1</v>
      </c>
      <c r="D123" s="1532" t="s">
        <v>896</v>
      </c>
      <c r="E123" s="1506" t="s">
        <v>896</v>
      </c>
      <c r="F123" s="1533"/>
      <c r="G123" s="1506" t="s">
        <v>897</v>
      </c>
      <c r="H123" s="1833">
        <v>0</v>
      </c>
      <c r="I123" s="1834">
        <v>0</v>
      </c>
      <c r="J123" s="1834">
        <v>0</v>
      </c>
      <c r="K123" s="1834">
        <v>0</v>
      </c>
      <c r="L123" s="1535">
        <f t="shared" si="14"/>
        <v>0</v>
      </c>
      <c r="N123" s="1536">
        <f>SUMIF(CF.2!$H$5:$H$25,CF.1!E123,CF.2!$J$5:$J$25)-SUMIF(CF.2!$K$5:$K$25,CF.1!E123,CF.2!$M$5:$M$25)</f>
        <v>0</v>
      </c>
      <c r="O123" s="1534">
        <f>SUMIF(CF.2!$H$31:$H$60,CF.1!E123,CF.2!$J$31:$J$60)+SUMIF(CF.2!$K$31:$K$60,CF.1!E123,CF.2!$M$31:$M$60)</f>
        <v>0</v>
      </c>
      <c r="P123" s="1534">
        <f>SUMIF(CF.2!$H$65:$H$108,CF.1!E123,CF.2!$J$65:$J$108)+SUMIF(CF.2!$K$65:$K$108,CF.1!E123,CF.2!$M$65:$M$108)</f>
        <v>0</v>
      </c>
      <c r="Q123" s="1534">
        <f>SUMIF(CF.2!$H$112:$H$118,CF.1!E123,CF.2!$J$112:$J$118)+SUMIF(CF.2!$K$112:$K$118,CF.1!E123,CF.2!$M$112:$M$118)</f>
        <v>0</v>
      </c>
      <c r="R123" s="1534">
        <f>SUMIF(CF.2!$H$123:$H$134,CF.1!E123,CF.2!$J$123:$J$134)+SUMIF(CF.2!$K$123:$K$134,CF.1!E123,CF.2!$M$123:$M$134)</f>
        <v>0</v>
      </c>
      <c r="S123" s="1535">
        <f t="shared" si="15"/>
        <v>0</v>
      </c>
      <c r="U123" s="1537">
        <f t="shared" si="16"/>
        <v>0</v>
      </c>
    </row>
    <row r="124" spans="3:30" ht="18" customHeight="1">
      <c r="C124" s="1364">
        <v>1</v>
      </c>
      <c r="D124" s="1532" t="s">
        <v>898</v>
      </c>
      <c r="E124" s="1506" t="s">
        <v>898</v>
      </c>
      <c r="F124" s="1533"/>
      <c r="G124" s="1506" t="s">
        <v>899</v>
      </c>
      <c r="H124" s="1833">
        <v>0</v>
      </c>
      <c r="I124" s="1834">
        <v>0</v>
      </c>
      <c r="J124" s="1834">
        <v>0</v>
      </c>
      <c r="K124" s="1834">
        <v>0</v>
      </c>
      <c r="L124" s="1535">
        <f t="shared" si="14"/>
        <v>0</v>
      </c>
      <c r="N124" s="1536">
        <f>SUMIF(CF.2!$H$5:$H$25,CF.1!E124,CF.2!$J$5:$J$25)-SUMIF(CF.2!$K$5:$K$25,CF.1!E124,CF.2!$M$5:$M$25)</f>
        <v>0</v>
      </c>
      <c r="O124" s="1534">
        <f>SUMIF(CF.2!$H$31:$H$60,CF.1!E124,CF.2!$J$31:$J$60)+SUMIF(CF.2!$K$31:$K$60,CF.1!E124,CF.2!$M$31:$M$60)</f>
        <v>0</v>
      </c>
      <c r="P124" s="1534">
        <f>SUMIF(CF.2!$H$65:$H$108,CF.1!E124,CF.2!$J$65:$J$108)+SUMIF(CF.2!$K$65:$K$108,CF.1!E124,CF.2!$M$65:$M$108)</f>
        <v>0</v>
      </c>
      <c r="Q124" s="1534">
        <f>SUMIF(CF.2!$H$112:$H$118,CF.1!E124,CF.2!$J$112:$J$118)+SUMIF(CF.2!$K$112:$K$118,CF.1!E124,CF.2!$M$112:$M$118)</f>
        <v>0</v>
      </c>
      <c r="R124" s="1534">
        <f>SUMIF(CF.2!$H$123:$H$134,CF.1!E124,CF.2!$J$123:$J$134)+SUMIF(CF.2!$K$123:$K$134,CF.1!E124,CF.2!$M$123:$M$134)</f>
        <v>0</v>
      </c>
      <c r="S124" s="1535">
        <f t="shared" si="15"/>
        <v>0</v>
      </c>
      <c r="U124" s="1537">
        <f t="shared" si="16"/>
        <v>0</v>
      </c>
    </row>
    <row r="125" spans="3:30" ht="18" customHeight="1">
      <c r="C125" s="1089">
        <v>1</v>
      </c>
      <c r="D125" s="1538" t="s">
        <v>2504</v>
      </c>
      <c r="E125" s="1276" t="s">
        <v>892</v>
      </c>
      <c r="F125" s="1539" t="s">
        <v>2543</v>
      </c>
      <c r="G125" s="1259" t="s">
        <v>893</v>
      </c>
      <c r="H125" s="1833">
        <v>-41363014942</v>
      </c>
      <c r="I125" s="1834">
        <v>0</v>
      </c>
      <c r="J125" s="1834">
        <v>0</v>
      </c>
      <c r="K125" s="1834"/>
      <c r="L125" s="1535">
        <f t="shared" si="14"/>
        <v>-41363014942</v>
      </c>
      <c r="N125" s="1536">
        <f>SUMIF(CF.2!$H$5:$H$25,CF.1!E125,CF.2!$J$5:$J$25)-SUMIF(CF.2!$K$5:$K$25,CF.1!E125,CF.2!$M$5:$M$25)</f>
        <v>0</v>
      </c>
      <c r="O125" s="1534">
        <f>SUMIF(CF.2!$H$31:$H$60,CF.1!E125,CF.2!$J$31:$J$60)+SUMIF(CF.2!$K$31:$K$60,CF.1!E125,CF.2!$M$31:$M$60)</f>
        <v>0</v>
      </c>
      <c r="P125" s="1534">
        <f>SUMIF(CF.2!$H$65:$H$108,CF.1!E125,CF.2!$J$65:$J$108)+SUMIF(CF.2!$K$65:$K$108,CF.1!E125,CF.2!$M$65:$M$108)</f>
        <v>0</v>
      </c>
      <c r="Q125" s="1534">
        <f>SUMIF(CF.2!$H$112:$H$118,CF.1!E125,CF.2!$J$112:$J$118)+SUMIF(CF.2!$K$112:$K$118,CF.1!E125,CF.2!$M$112:$M$118)</f>
        <v>0</v>
      </c>
      <c r="R125" s="1534">
        <f>SUMIF(CF.2!$H$123:$H$134,CF.1!E125,CF.2!$J$123:$J$134)+SUMIF(CF.2!$K$123:$K$134,CF.1!E125,CF.2!$M$123:$M$134)</f>
        <v>0</v>
      </c>
      <c r="S125" s="1535">
        <f t="shared" si="15"/>
        <v>0</v>
      </c>
      <c r="U125" s="1537">
        <f t="shared" si="16"/>
        <v>-41363014942</v>
      </c>
      <c r="W125" s="1364" t="b">
        <f>U125=-T_IS!X85</f>
        <v>1</v>
      </c>
    </row>
    <row r="126" spans="3:30" s="1089" customFormat="1" ht="18" customHeight="1">
      <c r="C126" s="1089">
        <v>1</v>
      </c>
      <c r="D126" s="1538" t="s">
        <v>900</v>
      </c>
      <c r="E126" s="1276" t="s">
        <v>900</v>
      </c>
      <c r="F126" s="1539" t="s">
        <v>901</v>
      </c>
      <c r="G126" s="1276" t="s">
        <v>901</v>
      </c>
      <c r="H126" s="1832">
        <v>-61773000</v>
      </c>
      <c r="I126" s="1835">
        <v>0</v>
      </c>
      <c r="J126" s="1835">
        <v>0</v>
      </c>
      <c r="K126" s="1835">
        <v>0</v>
      </c>
      <c r="L126" s="1541">
        <f t="shared" si="14"/>
        <v>-61773000</v>
      </c>
      <c r="N126" s="1555">
        <f>SUMIF(CF.2!$H$5:$H$25,CF.1!E126,CF.2!$J$5:$J$25)-SUMIF(CF.2!$K$5:$K$25,CF.1!E126,CF.2!$M$5:$M$25)</f>
        <v>0</v>
      </c>
      <c r="O126" s="1540">
        <f>SUMIF(CF.2!$H$31:$H$60,CF.1!E126,CF.2!$J$31:$J$60)+SUMIF(CF.2!$K$31:$K$60,CF.1!E126,CF.2!$M$31:$M$60)</f>
        <v>0</v>
      </c>
      <c r="P126" s="1540">
        <f>SUMIF(CF.2!$H$65:$H$108,CF.1!E126,CF.2!$J$65:$J$108)+SUMIF(CF.2!$K$65:$K$108,CF.1!E126,CF.2!$M$65:$M$108)</f>
        <v>0</v>
      </c>
      <c r="Q126" s="1540">
        <f>SUMIF(CF.2!$H$112:$H$118,CF.1!E126,CF.2!$J$112:$J$118)+SUMIF(CF.2!$K$112:$K$118,CF.1!E126,CF.2!$M$112:$M$118)</f>
        <v>0</v>
      </c>
      <c r="R126" s="1540">
        <f>SUMIF(CF.2!$H$123:$H$134,CF.1!E126,CF.2!$J$123:$J$134)+SUMIF(CF.2!$K$123:$K$134,CF.1!E126,CF.2!$M$123:$M$134)</f>
        <v>0</v>
      </c>
      <c r="S126" s="1541">
        <f t="shared" si="15"/>
        <v>0</v>
      </c>
      <c r="U126" s="1542">
        <f t="shared" si="16"/>
        <v>-61773000</v>
      </c>
    </row>
    <row r="127" spans="3:30" ht="18" customHeight="1">
      <c r="C127" s="1364">
        <v>1</v>
      </c>
      <c r="D127" s="1525" t="s">
        <v>902</v>
      </c>
      <c r="E127" s="1526" t="s">
        <v>902</v>
      </c>
      <c r="F127" s="1527"/>
      <c r="G127" s="1526" t="s">
        <v>903</v>
      </c>
      <c r="H127" s="1831">
        <f>SUM(H128:H176)</f>
        <v>4098513720</v>
      </c>
      <c r="I127" s="1831">
        <f>SUM(I128:I176)</f>
        <v>229507926</v>
      </c>
      <c r="J127" s="1831">
        <f>SUM(J128:J176)</f>
        <v>-30532289</v>
      </c>
      <c r="K127" s="1831">
        <f>SUM(K128:K176)</f>
        <v>-1996350537</v>
      </c>
      <c r="L127" s="1529">
        <f>SUM(L128:L176)</f>
        <v>2301138820</v>
      </c>
      <c r="N127" s="1530">
        <f t="shared" ref="N127:S127" si="17">SUM(N128:N176)</f>
        <v>0</v>
      </c>
      <c r="O127" s="1528">
        <f t="shared" si="17"/>
        <v>200232780</v>
      </c>
      <c r="P127" s="1528">
        <f t="shared" si="17"/>
        <v>281015741</v>
      </c>
      <c r="Q127" s="1528">
        <f t="shared" si="17"/>
        <v>0</v>
      </c>
      <c r="R127" s="1528">
        <f t="shared" si="17"/>
        <v>0</v>
      </c>
      <c r="S127" s="1529">
        <f t="shared" si="17"/>
        <v>481248521</v>
      </c>
      <c r="U127" s="1531">
        <f>SUM(U128:U176)</f>
        <v>2782387341</v>
      </c>
      <c r="V127" s="1364" t="b">
        <f>U127=SUM(U128:U176)</f>
        <v>1</v>
      </c>
      <c r="W127" s="509" t="b">
        <f>U127='CFS(연간)'!K105</f>
        <v>1</v>
      </c>
      <c r="X127" s="1089"/>
      <c r="Y127" s="1089"/>
      <c r="Z127" s="1089"/>
    </row>
    <row r="128" spans="3:30" ht="18" customHeight="1">
      <c r="C128" s="1364">
        <v>1</v>
      </c>
      <c r="D128" s="1532" t="s">
        <v>904</v>
      </c>
      <c r="E128" s="1506" t="s">
        <v>904</v>
      </c>
      <c r="F128" s="1553" t="s">
        <v>2265</v>
      </c>
      <c r="G128" s="1506" t="s">
        <v>905</v>
      </c>
      <c r="H128" s="1833">
        <v>-2430362412</v>
      </c>
      <c r="I128" s="1834">
        <v>519755500</v>
      </c>
      <c r="J128" s="1834">
        <v>-2808560</v>
      </c>
      <c r="K128" s="1834">
        <v>-3097180716</v>
      </c>
      <c r="L128" s="1535">
        <f t="shared" ref="L128:L159" si="18">SUM(H128:K128)</f>
        <v>-5010596188</v>
      </c>
      <c r="N128" s="1536">
        <f>SUMIF(CF.2!$H$5:$H$25,CF.1!E128,CF.2!$J$5:$J$25)-SUMIF(CF.2!$K$5:$K$25,CF.1!E128,CF.2!$M$5:$M$25)</f>
        <v>0</v>
      </c>
      <c r="O128" s="1534">
        <f>SUMIF(CF.2!$H$31:$H$60,CF.1!E128,CF.2!$J$31:$J$60)+SUMIF(CF.2!$K$31:$K$60,CF.1!E128,CF.2!$M$31:$M$60)</f>
        <v>0</v>
      </c>
      <c r="P128" s="1534">
        <f>SUMIF(CF.2!$H$65:$H$108,CF.1!E128,CF.2!$J$65:$J$108)+SUMIF(CF.2!$K$65:$K$108,CF.1!E128,CF.2!$M$65:$M$108)</f>
        <v>136311794</v>
      </c>
      <c r="Q128" s="1534">
        <f>SUMIF(CF.2!$H$112:$H$118,CF.1!E128,CF.2!$J$112:$J$118)+SUMIF(CF.2!$K$112:$K$118,CF.1!E128,CF.2!$M$112:$M$118)</f>
        <v>0</v>
      </c>
      <c r="R128" s="1534">
        <f>SUMIF(CF.2!$H$123:$H$134,CF.1!E128,CF.2!$J$123:$J$134)+SUMIF(CF.2!$K$123:$K$134,CF.1!E128,CF.2!$M$123:$M$134)</f>
        <v>0</v>
      </c>
      <c r="S128" s="1535">
        <f t="shared" ref="S128:S159" si="19">SUM(N128:R128)</f>
        <v>136311794</v>
      </c>
      <c r="U128" s="1537">
        <f t="shared" ref="U128:U159" si="20">ROUND(S128+L128,0)</f>
        <v>-4874284394</v>
      </c>
      <c r="X128" s="1089"/>
      <c r="Y128" s="1089"/>
      <c r="Z128" s="1089"/>
    </row>
    <row r="129" spans="3:26" ht="18" customHeight="1">
      <c r="C129" s="1364">
        <v>1</v>
      </c>
      <c r="D129" s="1532" t="s">
        <v>906</v>
      </c>
      <c r="E129" s="1506" t="s">
        <v>906</v>
      </c>
      <c r="F129" s="1533" t="s">
        <v>1423</v>
      </c>
      <c r="G129" s="1506" t="s">
        <v>907</v>
      </c>
      <c r="H129" s="1833">
        <v>1362027268</v>
      </c>
      <c r="I129" s="1834">
        <v>0</v>
      </c>
      <c r="J129" s="1834">
        <v>-491579</v>
      </c>
      <c r="K129" s="1834">
        <v>7124334</v>
      </c>
      <c r="L129" s="1535">
        <f t="shared" si="18"/>
        <v>1368660023</v>
      </c>
      <c r="N129" s="1536">
        <f>SUMIF(CF.2!$H$5:$H$25,CF.1!E129,CF.2!$J$5:$J$25)-SUMIF(CF.2!$K$5:$K$25,CF.1!E129,CF.2!$M$5:$M$25)</f>
        <v>0</v>
      </c>
      <c r="O129" s="1534">
        <f>SUMIF(CF.2!$H$31:$H$60,CF.1!E129,CF.2!$J$31:$J$60)+SUMIF(CF.2!$K$31:$K$60,CF.1!E129,CF.2!$M$31:$M$60)</f>
        <v>0</v>
      </c>
      <c r="P129" s="1534">
        <f>SUMIF(CF.2!$H$65:$H$108,CF.1!E129,CF.2!$J$65:$J$108)+SUMIF(CF.2!$K$65:$K$108,CF.1!E129,CF.2!$M$65:$M$108)</f>
        <v>0</v>
      </c>
      <c r="Q129" s="1534">
        <f>SUMIF(CF.2!$H$112:$H$118,CF.1!E129,CF.2!$J$112:$J$118)+SUMIF(CF.2!$K$112:$K$118,CF.1!E129,CF.2!$M$112:$M$118)</f>
        <v>0</v>
      </c>
      <c r="R129" s="1534">
        <f>SUMIF(CF.2!$H$123:$H$134,CF.1!E129,CF.2!$J$123:$J$134)+SUMIF(CF.2!$K$123:$K$134,CF.1!E129,CF.2!$M$123:$M$134)</f>
        <v>0</v>
      </c>
      <c r="S129" s="1535">
        <f t="shared" si="19"/>
        <v>0</v>
      </c>
      <c r="U129" s="1537">
        <f t="shared" si="20"/>
        <v>1368660023</v>
      </c>
    </row>
    <row r="130" spans="3:26" ht="18" customHeight="1">
      <c r="C130" s="1364">
        <v>1</v>
      </c>
      <c r="D130" s="1532" t="s">
        <v>908</v>
      </c>
      <c r="E130" s="1506" t="s">
        <v>908</v>
      </c>
      <c r="F130" s="1533" t="s">
        <v>1423</v>
      </c>
      <c r="G130" s="1506" t="s">
        <v>909</v>
      </c>
      <c r="H130" s="1833">
        <v>-198862193</v>
      </c>
      <c r="I130" s="1834">
        <v>0</v>
      </c>
      <c r="J130" s="1834">
        <v>0</v>
      </c>
      <c r="K130" s="1834">
        <v>0</v>
      </c>
      <c r="L130" s="1535">
        <f t="shared" si="18"/>
        <v>-198862193</v>
      </c>
      <c r="N130" s="1536">
        <f>SUMIF(CF.2!$H$5:$H$25,CF.1!E130,CF.2!$J$5:$J$25)-SUMIF(CF.2!$K$5:$K$25,CF.1!E130,CF.2!$M$5:$M$25)</f>
        <v>0</v>
      </c>
      <c r="O130" s="1534">
        <f>SUMIF(CF.2!$H$31:$H$60,CF.1!E130,CF.2!$J$31:$J$60)+SUMIF(CF.2!$K$31:$K$60,CF.1!E130,CF.2!$M$31:$M$60)</f>
        <v>0</v>
      </c>
      <c r="P130" s="1540">
        <f>SUMIF(CF.2!$H$65:$H$108,CF.1!E130,CF.2!$J$65:$J$108)+SUMIF(CF.2!$K$65:$K$108,CF.1!E130,CF.2!$M$65:$M$108)</f>
        <v>-87715070</v>
      </c>
      <c r="Q130" s="1534">
        <f>SUMIF(CF.2!$H$112:$H$118,CF.1!E130,CF.2!$J$112:$J$118)+SUMIF(CF.2!$K$112:$K$118,CF.1!E130,CF.2!$M$112:$M$118)</f>
        <v>0</v>
      </c>
      <c r="R130" s="1534">
        <f>SUMIF(CF.2!$H$123:$H$134,CF.1!E130,CF.2!$J$123:$J$134)+SUMIF(CF.2!$K$123:$K$134,CF.1!E130,CF.2!$M$123:$M$134)</f>
        <v>0</v>
      </c>
      <c r="S130" s="1535">
        <f t="shared" si="19"/>
        <v>-87715070</v>
      </c>
      <c r="U130" s="1537">
        <f t="shared" si="20"/>
        <v>-286577263</v>
      </c>
    </row>
    <row r="131" spans="3:26" ht="18" customHeight="1">
      <c r="C131" s="1364">
        <v>1</v>
      </c>
      <c r="D131" s="1532" t="s">
        <v>910</v>
      </c>
      <c r="E131" s="1506" t="s">
        <v>910</v>
      </c>
      <c r="F131" s="1533" t="s">
        <v>1424</v>
      </c>
      <c r="G131" s="1506" t="s">
        <v>911</v>
      </c>
      <c r="H131" s="1833">
        <v>7203024098</v>
      </c>
      <c r="I131" s="1834">
        <v>-3780681</v>
      </c>
      <c r="J131" s="1834">
        <v>-5814237</v>
      </c>
      <c r="K131" s="1834">
        <v>-4246610</v>
      </c>
      <c r="L131" s="1535">
        <f t="shared" si="18"/>
        <v>7189182570</v>
      </c>
      <c r="N131" s="1536">
        <f>SUMIF(CF.2!$H$5:$H$25,CF.1!E131,CF.2!$J$5:$J$25)-SUMIF(CF.2!$K$5:$K$25,CF.1!E131,CF.2!$M$5:$M$25)</f>
        <v>0</v>
      </c>
      <c r="O131" s="1534">
        <f>SUMIF(CF.2!$H$31:$H$60,CF.1!E131,CF.2!$J$31:$J$60)+SUMIF(CF.2!$K$31:$K$60,CF.1!E131,CF.2!$M$31:$M$60)</f>
        <v>193111111</v>
      </c>
      <c r="P131" s="1534">
        <f>SUMIF(CF.2!$H$65:$H$108,CF.1!E131,CF.2!$J$65:$J$108)+SUMIF(CF.2!$K$65:$K$108,CF.1!E131,CF.2!$M$65:$M$108)</f>
        <v>281934919</v>
      </c>
      <c r="Q131" s="1534">
        <f>SUMIF(CF.2!$H$112:$H$118,CF.1!E131,CF.2!$J$112:$J$118)+SUMIF(CF.2!$K$112:$K$118,CF.1!E131,CF.2!$M$112:$M$118)</f>
        <v>0</v>
      </c>
      <c r="R131" s="1534">
        <f>SUMIF(CF.2!$H$123:$H$134,CF.1!E131,CF.2!$J$123:$J$134)+SUMIF(CF.2!$K$123:$K$134,CF.1!E131,CF.2!$M$123:$M$134)</f>
        <v>0</v>
      </c>
      <c r="S131" s="1535">
        <f t="shared" si="19"/>
        <v>475046030</v>
      </c>
      <c r="U131" s="1537">
        <f t="shared" si="20"/>
        <v>7664228600</v>
      </c>
      <c r="X131" s="1089"/>
      <c r="Y131" s="1089"/>
      <c r="Z131" s="1089"/>
    </row>
    <row r="132" spans="3:26" ht="18" customHeight="1">
      <c r="C132" s="1364">
        <v>1</v>
      </c>
      <c r="D132" s="1532" t="s">
        <v>912</v>
      </c>
      <c r="E132" s="1506" t="s">
        <v>912</v>
      </c>
      <c r="F132" s="1533"/>
      <c r="G132" s="1506" t="s">
        <v>913</v>
      </c>
      <c r="H132" s="1833">
        <v>0</v>
      </c>
      <c r="I132" s="1834">
        <v>0</v>
      </c>
      <c r="J132" s="1834">
        <v>0</v>
      </c>
      <c r="K132" s="1834">
        <v>0</v>
      </c>
      <c r="L132" s="1535">
        <f t="shared" si="18"/>
        <v>0</v>
      </c>
      <c r="N132" s="1536">
        <f>SUMIF(CF.2!$H$5:$H$25,CF.1!E132,CF.2!$J$5:$J$25)-SUMIF(CF.2!$K$5:$K$25,CF.1!E132,CF.2!$M$5:$M$25)</f>
        <v>0</v>
      </c>
      <c r="O132" s="1534">
        <f>SUMIF(CF.2!$H$31:$H$60,CF.1!E132,CF.2!$J$31:$J$60)+SUMIF(CF.2!$K$31:$K$60,CF.1!E132,CF.2!$M$31:$M$60)</f>
        <v>0</v>
      </c>
      <c r="P132" s="1534">
        <f>SUMIF(CF.2!$H$65:$H$108,CF.1!E132,CF.2!$J$65:$J$108)+SUMIF(CF.2!$K$65:$K$108,CF.1!E132,CF.2!$M$65:$M$108)</f>
        <v>0</v>
      </c>
      <c r="Q132" s="1534">
        <f>SUMIF(CF.2!$H$112:$H$118,CF.1!E132,CF.2!$J$112:$J$118)+SUMIF(CF.2!$K$112:$K$118,CF.1!E132,CF.2!$M$112:$M$118)</f>
        <v>0</v>
      </c>
      <c r="R132" s="1534">
        <f>SUMIF(CF.2!$H$123:$H$134,CF.1!E132,CF.2!$J$123:$J$134)+SUMIF(CF.2!$K$123:$K$134,CF.1!E132,CF.2!$M$123:$M$134)</f>
        <v>0</v>
      </c>
      <c r="S132" s="1535">
        <f t="shared" si="19"/>
        <v>0</v>
      </c>
      <c r="U132" s="1537">
        <f t="shared" si="20"/>
        <v>0</v>
      </c>
    </row>
    <row r="133" spans="3:26" ht="18" customHeight="1">
      <c r="C133" s="1364">
        <v>1</v>
      </c>
      <c r="D133" s="1532" t="s">
        <v>914</v>
      </c>
      <c r="E133" s="1506" t="s">
        <v>914</v>
      </c>
      <c r="F133" s="1533" t="s">
        <v>1424</v>
      </c>
      <c r="G133" s="1506" t="s">
        <v>915</v>
      </c>
      <c r="H133" s="1833">
        <v>377957856</v>
      </c>
      <c r="I133" s="1834">
        <v>0</v>
      </c>
      <c r="J133" s="1834">
        <v>0</v>
      </c>
      <c r="K133" s="1834">
        <v>-6040079</v>
      </c>
      <c r="L133" s="1535">
        <f t="shared" si="18"/>
        <v>371917777</v>
      </c>
      <c r="N133" s="1536">
        <f>SUMIF(CF.2!$H$5:$H$25,CF.1!E133,CF.2!$J$5:$J$25)-SUMIF(CF.2!$K$5:$K$25,CF.1!E133,CF.2!$M$5:$M$25)</f>
        <v>0</v>
      </c>
      <c r="O133" s="1534">
        <f>SUMIF(CF.2!$H$31:$H$60,CF.1!E133,CF.2!$J$31:$J$60)+SUMIF(CF.2!$K$31:$K$60,CF.1!E133,CF.2!$M$31:$M$60)</f>
        <v>0</v>
      </c>
      <c r="P133" s="1534">
        <f>SUMIF(CF.2!$H$65:$H$108,CF.1!E133,CF.2!$J$65:$J$108)+SUMIF(CF.2!$K$65:$K$108,CF.1!E133,CF.2!$M$65:$M$108)</f>
        <v>0</v>
      </c>
      <c r="Q133" s="1534">
        <f>SUMIF(CF.2!$H$112:$H$118,CF.1!E133,CF.2!$J$112:$J$118)+SUMIF(CF.2!$K$112:$K$118,CF.1!E133,CF.2!$M$112:$M$118)</f>
        <v>0</v>
      </c>
      <c r="R133" s="1534">
        <f>SUMIF(CF.2!$H$123:$H$134,CF.1!E133,CF.2!$J$123:$J$134)+SUMIF(CF.2!$K$123:$K$134,CF.1!E133,CF.2!$M$123:$M$134)</f>
        <v>0</v>
      </c>
      <c r="S133" s="1535">
        <f t="shared" si="19"/>
        <v>0</v>
      </c>
      <c r="U133" s="1537">
        <f t="shared" si="20"/>
        <v>371917777</v>
      </c>
    </row>
    <row r="134" spans="3:26" ht="18" customHeight="1">
      <c r="C134" s="1364">
        <v>1</v>
      </c>
      <c r="D134" s="1532" t="s">
        <v>916</v>
      </c>
      <c r="E134" s="1506" t="s">
        <v>916</v>
      </c>
      <c r="F134" s="1533" t="s">
        <v>1423</v>
      </c>
      <c r="G134" s="1506" t="s">
        <v>917</v>
      </c>
      <c r="H134" s="1833">
        <v>0</v>
      </c>
      <c r="I134" s="1834">
        <v>0</v>
      </c>
      <c r="J134" s="1834">
        <v>0</v>
      </c>
      <c r="K134" s="1834">
        <v>0</v>
      </c>
      <c r="L134" s="1535">
        <f t="shared" si="18"/>
        <v>0</v>
      </c>
      <c r="N134" s="1536">
        <f>SUMIF(CF.2!$H$5:$H$25,CF.1!E134,CF.2!$J$5:$J$25)-SUMIF(CF.2!$K$5:$K$25,CF.1!E134,CF.2!$M$5:$M$25)</f>
        <v>0</v>
      </c>
      <c r="O134" s="1534">
        <f>SUMIF(CF.2!$H$31:$H$60,CF.1!E134,CF.2!$J$31:$J$60)+SUMIF(CF.2!$K$31:$K$60,CF.1!E134,CF.2!$M$31:$M$60)</f>
        <v>0</v>
      </c>
      <c r="P134" s="1534">
        <f>SUMIF(CF.2!$H$65:$H$108,CF.1!E134,CF.2!$J$65:$J$108)+SUMIF(CF.2!$K$65:$K$108,CF.1!E134,CF.2!$M$65:$M$108)</f>
        <v>0</v>
      </c>
      <c r="Q134" s="1534">
        <f>SUMIF(CF.2!$H$112:$H$118,CF.1!E134,CF.2!$J$112:$J$118)+SUMIF(CF.2!$K$112:$K$118,CF.1!E134,CF.2!$M$112:$M$118)</f>
        <v>0</v>
      </c>
      <c r="R134" s="1534">
        <f>SUMIF(CF.2!$H$123:$H$134,CF.1!E134,CF.2!$J$123:$J$134)+SUMIF(CF.2!$K$123:$K$134,CF.1!E134,CF.2!$M$123:$M$134)</f>
        <v>0</v>
      </c>
      <c r="S134" s="1535">
        <f t="shared" si="19"/>
        <v>0</v>
      </c>
      <c r="U134" s="1537">
        <f t="shared" si="20"/>
        <v>0</v>
      </c>
    </row>
    <row r="135" spans="3:26" ht="18" customHeight="1">
      <c r="C135" s="1364">
        <v>1</v>
      </c>
      <c r="D135" s="1532" t="s">
        <v>918</v>
      </c>
      <c r="E135" s="1506" t="s">
        <v>918</v>
      </c>
      <c r="F135" s="1533"/>
      <c r="G135" s="1506" t="s">
        <v>919</v>
      </c>
      <c r="H135" s="1833">
        <v>0</v>
      </c>
      <c r="I135" s="1834">
        <v>0</v>
      </c>
      <c r="J135" s="1834">
        <v>0</v>
      </c>
      <c r="K135" s="1834">
        <v>0</v>
      </c>
      <c r="L135" s="1535">
        <f t="shared" si="18"/>
        <v>0</v>
      </c>
      <c r="N135" s="1536">
        <f>SUMIF(CF.2!$H$5:$H$25,CF.1!E135,CF.2!$J$5:$J$25)-SUMIF(CF.2!$K$5:$K$25,CF.1!E135,CF.2!$M$5:$M$25)</f>
        <v>0</v>
      </c>
      <c r="O135" s="1534">
        <f>SUMIF(CF.2!$H$31:$H$60,CF.1!E135,CF.2!$J$31:$J$60)+SUMIF(CF.2!$K$31:$K$60,CF.1!E135,CF.2!$M$31:$M$60)</f>
        <v>0</v>
      </c>
      <c r="P135" s="1534">
        <f>SUMIF(CF.2!$H$65:$H$108,CF.1!E135,CF.2!$J$65:$J$108)+SUMIF(CF.2!$K$65:$K$108,CF.1!E135,CF.2!$M$65:$M$108)</f>
        <v>0</v>
      </c>
      <c r="Q135" s="1534">
        <f>SUMIF(CF.2!$H$112:$H$118,CF.1!E135,CF.2!$J$112:$J$118)+SUMIF(CF.2!$K$112:$K$118,CF.1!E135,CF.2!$M$112:$M$118)</f>
        <v>0</v>
      </c>
      <c r="R135" s="1534">
        <f>SUMIF(CF.2!$H$123:$H$134,CF.1!E135,CF.2!$J$123:$J$134)+SUMIF(CF.2!$K$123:$K$134,CF.1!E135,CF.2!$M$123:$M$134)</f>
        <v>0</v>
      </c>
      <c r="S135" s="1535">
        <f t="shared" si="19"/>
        <v>0</v>
      </c>
      <c r="U135" s="1537">
        <f t="shared" si="20"/>
        <v>0</v>
      </c>
    </row>
    <row r="136" spans="3:26" ht="18" customHeight="1">
      <c r="C136" s="1364">
        <v>1</v>
      </c>
      <c r="D136" s="1532" t="s">
        <v>920</v>
      </c>
      <c r="E136" s="1506" t="s">
        <v>920</v>
      </c>
      <c r="F136" s="1533" t="s">
        <v>1424</v>
      </c>
      <c r="G136" s="1506" t="s">
        <v>921</v>
      </c>
      <c r="H136" s="1833">
        <v>778050</v>
      </c>
      <c r="I136" s="1834">
        <v>0</v>
      </c>
      <c r="J136" s="1834">
        <v>0</v>
      </c>
      <c r="K136" s="1834">
        <v>-761699924</v>
      </c>
      <c r="L136" s="1535">
        <f t="shared" si="18"/>
        <v>-760921874</v>
      </c>
      <c r="N136" s="1536">
        <f>SUMIF(CF.2!$H$5:$H$25,CF.1!E136,CF.2!$J$5:$J$25)-SUMIF(CF.2!$K$5:$K$25,CF.1!E136,CF.2!$M$5:$M$25)</f>
        <v>0</v>
      </c>
      <c r="O136" s="1534">
        <f>SUMIF(CF.2!$H$31:$H$60,CF.1!E136,CF.2!$J$31:$J$60)+SUMIF(CF.2!$K$31:$K$60,CF.1!E136,CF.2!$M$31:$M$60)</f>
        <v>0</v>
      </c>
      <c r="P136" s="1534">
        <f>SUMIF(CF.2!$H$65:$H$108,CF.1!E136,CF.2!$J$65:$J$108)+SUMIF(CF.2!$K$65:$K$108,CF.1!E136,CF.2!$M$65:$M$108)</f>
        <v>0</v>
      </c>
      <c r="Q136" s="1534">
        <f>SUMIF(CF.2!$H$112:$H$118,CF.1!E136,CF.2!$J$112:$J$118)+SUMIF(CF.2!$K$112:$K$118,CF.1!E136,CF.2!$M$112:$M$118)</f>
        <v>0</v>
      </c>
      <c r="R136" s="1534">
        <f>SUMIF(CF.2!$H$123:$H$134,CF.1!E136,CF.2!$J$123:$J$134)+SUMIF(CF.2!$K$123:$K$134,CF.1!E136,CF.2!$M$123:$M$134)</f>
        <v>1128563830</v>
      </c>
      <c r="S136" s="1535">
        <f t="shared" si="19"/>
        <v>1128563830</v>
      </c>
      <c r="U136" s="1537">
        <f t="shared" si="20"/>
        <v>367641956</v>
      </c>
    </row>
    <row r="137" spans="3:26" ht="18" customHeight="1">
      <c r="C137" s="1364">
        <v>1</v>
      </c>
      <c r="D137" s="1532" t="s">
        <v>922</v>
      </c>
      <c r="E137" s="1506" t="s">
        <v>922</v>
      </c>
      <c r="F137" s="1533" t="s">
        <v>2266</v>
      </c>
      <c r="G137" s="1506" t="s">
        <v>923</v>
      </c>
      <c r="H137" s="1832">
        <v>-6143216745</v>
      </c>
      <c r="I137" s="1833">
        <v>0</v>
      </c>
      <c r="J137" s="1834">
        <v>-3789936</v>
      </c>
      <c r="K137" s="1834">
        <v>-457504958</v>
      </c>
      <c r="L137" s="1535">
        <f t="shared" si="18"/>
        <v>-6604511639</v>
      </c>
      <c r="N137" s="1536">
        <f>SUMIF(CF.2!$H$5:$H$25,CF.1!E137,CF.2!$J$5:$J$25)-SUMIF(CF.2!$K$5:$K$25,CF.1!E137,CF.2!$M$5:$M$25)</f>
        <v>0</v>
      </c>
      <c r="O137" s="1534">
        <f>SUMIF(CF.2!$H$31:$H$60,CF.1!E137,CF.2!$J$31:$J$60)+SUMIF(CF.2!$K$31:$K$60,CF.1!E137,CF.2!$M$31:$M$60)</f>
        <v>7121669</v>
      </c>
      <c r="P137" s="1534">
        <f>SUMIF(CF.2!$H$65:$H$108,CF.1!E137,CF.2!$J$65:$J$108)+SUMIF(CF.2!$K$65:$K$108,CF.1!E137,CF.2!$M$65:$M$108)</f>
        <v>0</v>
      </c>
      <c r="Q137" s="1534">
        <f>SUMIF(CF.2!$H$112:$H$118,CF.1!E137,CF.2!$J$112:$J$118)+SUMIF(CF.2!$K$112:$K$118,CF.1!E137,CF.2!$M$112:$M$118)</f>
        <v>0</v>
      </c>
      <c r="R137" s="1534">
        <f>SUMIF(CF.2!$H$123:$H$134,CF.1!E137,CF.2!$J$123:$J$134)+SUMIF(CF.2!$K$123:$K$134,CF.1!E137,CF.2!$M$123:$M$134)</f>
        <v>0</v>
      </c>
      <c r="S137" s="1535">
        <f t="shared" si="19"/>
        <v>7121669</v>
      </c>
      <c r="U137" s="1537">
        <f t="shared" si="20"/>
        <v>-6597389970</v>
      </c>
    </row>
    <row r="138" spans="3:26" ht="18" customHeight="1">
      <c r="C138" s="1364">
        <v>1</v>
      </c>
      <c r="D138" s="1532" t="s">
        <v>924</v>
      </c>
      <c r="E138" s="1506" t="s">
        <v>924</v>
      </c>
      <c r="F138" s="1533"/>
      <c r="G138" s="1506" t="s">
        <v>925</v>
      </c>
      <c r="H138" s="1833">
        <v>0</v>
      </c>
      <c r="I138" s="1833">
        <v>0</v>
      </c>
      <c r="J138" s="1834">
        <v>0</v>
      </c>
      <c r="K138" s="1834">
        <v>0</v>
      </c>
      <c r="L138" s="1535">
        <f t="shared" si="18"/>
        <v>0</v>
      </c>
      <c r="N138" s="1536">
        <f>SUMIF(CF.2!$H$5:$H$25,CF.1!E138,CF.2!$J$5:$J$25)-SUMIF(CF.2!$K$5:$K$25,CF.1!E138,CF.2!$M$5:$M$25)</f>
        <v>0</v>
      </c>
      <c r="O138" s="1534">
        <f>SUMIF(CF.2!$H$31:$H$60,CF.1!E138,CF.2!$J$31:$J$60)+SUMIF(CF.2!$K$31:$K$60,CF.1!E138,CF.2!$M$31:$M$60)</f>
        <v>0</v>
      </c>
      <c r="P138" s="1534">
        <f>SUMIF(CF.2!$H$65:$H$108,CF.1!E138,CF.2!$J$65:$J$108)+SUMIF(CF.2!$K$65:$K$108,CF.1!E138,CF.2!$M$65:$M$108)</f>
        <v>0</v>
      </c>
      <c r="Q138" s="1534">
        <f>SUMIF(CF.2!$H$112:$H$118,CF.1!E138,CF.2!$J$112:$J$118)+SUMIF(CF.2!$K$112:$K$118,CF.1!E138,CF.2!$M$112:$M$118)</f>
        <v>0</v>
      </c>
      <c r="R138" s="1534">
        <f>SUMIF(CF.2!$H$123:$H$134,CF.1!E138,CF.2!$J$123:$J$134)+SUMIF(CF.2!$K$123:$K$134,CF.1!E138,CF.2!$M$123:$M$134)</f>
        <v>0</v>
      </c>
      <c r="S138" s="1535">
        <f t="shared" si="19"/>
        <v>0</v>
      </c>
      <c r="U138" s="1537">
        <f t="shared" si="20"/>
        <v>0</v>
      </c>
    </row>
    <row r="139" spans="3:26" ht="18" customHeight="1">
      <c r="C139" s="1364">
        <v>1</v>
      </c>
      <c r="D139" s="1532" t="s">
        <v>926</v>
      </c>
      <c r="E139" s="1506" t="s">
        <v>926</v>
      </c>
      <c r="F139" s="1533"/>
      <c r="G139" s="1506" t="s">
        <v>927</v>
      </c>
      <c r="H139" s="1833">
        <v>0</v>
      </c>
      <c r="I139" s="1834">
        <v>0</v>
      </c>
      <c r="J139" s="1834">
        <v>0</v>
      </c>
      <c r="K139" s="1834">
        <v>0</v>
      </c>
      <c r="L139" s="1535">
        <f t="shared" si="18"/>
        <v>0</v>
      </c>
      <c r="N139" s="1536">
        <f>SUMIF(CF.2!$H$5:$H$25,CF.1!E139,CF.2!$J$5:$J$25)-SUMIF(CF.2!$K$5:$K$25,CF.1!E139,CF.2!$M$5:$M$25)</f>
        <v>0</v>
      </c>
      <c r="O139" s="1534">
        <f>SUMIF(CF.2!$H$31:$H$60,CF.1!E139,CF.2!$J$31:$J$60)+SUMIF(CF.2!$K$31:$K$60,CF.1!E139,CF.2!$M$31:$M$60)</f>
        <v>0</v>
      </c>
      <c r="P139" s="1534">
        <f>SUMIF(CF.2!$H$65:$H$108,CF.1!E139,CF.2!$J$65:$J$108)+SUMIF(CF.2!$K$65:$K$108,CF.1!E139,CF.2!$M$65:$M$108)</f>
        <v>0</v>
      </c>
      <c r="Q139" s="1534">
        <f>SUMIF(CF.2!$H$112:$H$118,CF.1!E139,CF.2!$J$112:$J$118)+SUMIF(CF.2!$K$112:$K$118,CF.1!E139,CF.2!$M$112:$M$118)</f>
        <v>0</v>
      </c>
      <c r="R139" s="1534">
        <f>SUMIF(CF.2!$H$123:$H$134,CF.1!E139,CF.2!$J$123:$J$134)+SUMIF(CF.2!$K$123:$K$134,CF.1!E139,CF.2!$M$123:$M$134)</f>
        <v>0</v>
      </c>
      <c r="S139" s="1535">
        <f t="shared" si="19"/>
        <v>0</v>
      </c>
      <c r="U139" s="1537">
        <f t="shared" si="20"/>
        <v>0</v>
      </c>
    </row>
    <row r="140" spans="3:26" ht="18" customHeight="1">
      <c r="C140" s="1364">
        <v>1</v>
      </c>
      <c r="D140" s="1532" t="s">
        <v>928</v>
      </c>
      <c r="E140" s="1506" t="s">
        <v>928</v>
      </c>
      <c r="F140" s="1533"/>
      <c r="G140" s="1506" t="s">
        <v>929</v>
      </c>
      <c r="H140" s="1833">
        <v>0</v>
      </c>
      <c r="I140" s="1834">
        <v>0</v>
      </c>
      <c r="J140" s="1834">
        <v>0</v>
      </c>
      <c r="K140" s="1834">
        <v>0</v>
      </c>
      <c r="L140" s="1535">
        <f t="shared" si="18"/>
        <v>0</v>
      </c>
      <c r="N140" s="1536">
        <f>SUMIF(CF.2!$H$5:$H$25,CF.1!E140,CF.2!$J$5:$J$25)-SUMIF(CF.2!$K$5:$K$25,CF.1!E140,CF.2!$M$5:$M$25)</f>
        <v>0</v>
      </c>
      <c r="O140" s="1534">
        <f>SUMIF(CF.2!$H$31:$H$60,CF.1!E140,CF.2!$J$31:$J$60)+SUMIF(CF.2!$K$31:$K$60,CF.1!E140,CF.2!$M$31:$M$60)</f>
        <v>0</v>
      </c>
      <c r="P140" s="1534">
        <f>SUMIF(CF.2!$H$65:$H$108,CF.1!E140,CF.2!$J$65:$J$108)+SUMIF(CF.2!$K$65:$K$108,CF.1!E140,CF.2!$M$65:$M$108)</f>
        <v>0</v>
      </c>
      <c r="Q140" s="1534">
        <f>SUMIF(CF.2!$H$112:$H$118,CF.1!E140,CF.2!$J$112:$J$118)+SUMIF(CF.2!$K$112:$K$118,CF.1!E140,CF.2!$M$112:$M$118)</f>
        <v>0</v>
      </c>
      <c r="R140" s="1534">
        <f>SUMIF(CF.2!$H$123:$H$134,CF.1!E140,CF.2!$J$123:$J$134)+SUMIF(CF.2!$K$123:$K$134,CF.1!E140,CF.2!$M$123:$M$134)</f>
        <v>0</v>
      </c>
      <c r="S140" s="1535">
        <f t="shared" si="19"/>
        <v>0</v>
      </c>
      <c r="U140" s="1537">
        <f t="shared" si="20"/>
        <v>0</v>
      </c>
    </row>
    <row r="141" spans="3:26" ht="18" customHeight="1">
      <c r="C141" s="1364">
        <v>1</v>
      </c>
      <c r="D141" s="1532" t="s">
        <v>930</v>
      </c>
      <c r="E141" s="1506" t="s">
        <v>930</v>
      </c>
      <c r="F141" s="1533"/>
      <c r="G141" s="1506" t="s">
        <v>931</v>
      </c>
      <c r="H141" s="1833">
        <v>0</v>
      </c>
      <c r="I141" s="1834">
        <v>0</v>
      </c>
      <c r="J141" s="1834">
        <v>0</v>
      </c>
      <c r="K141" s="1834">
        <v>0</v>
      </c>
      <c r="L141" s="1535">
        <f t="shared" si="18"/>
        <v>0</v>
      </c>
      <c r="N141" s="1536">
        <f>SUMIF(CF.2!$H$5:$H$25,CF.1!E141,CF.2!$J$5:$J$25)-SUMIF(CF.2!$K$5:$K$25,CF.1!E141,CF.2!$M$5:$M$25)</f>
        <v>0</v>
      </c>
      <c r="O141" s="1534">
        <f>SUMIF(CF.2!$H$31:$H$60,CF.1!E141,CF.2!$J$31:$J$60)+SUMIF(CF.2!$K$31:$K$60,CF.1!E141,CF.2!$M$31:$M$60)</f>
        <v>0</v>
      </c>
      <c r="P141" s="1534">
        <f>SUMIF(CF.2!$H$65:$H$108,CF.1!E141,CF.2!$J$65:$J$108)+SUMIF(CF.2!$K$65:$K$108,CF.1!E141,CF.2!$M$65:$M$108)</f>
        <v>0</v>
      </c>
      <c r="Q141" s="1534">
        <f>SUMIF(CF.2!$H$112:$H$118,CF.1!E141,CF.2!$J$112:$J$118)+SUMIF(CF.2!$K$112:$K$118,CF.1!E141,CF.2!$M$112:$M$118)</f>
        <v>0</v>
      </c>
      <c r="R141" s="1534">
        <f>SUMIF(CF.2!$H$123:$H$134,CF.1!E141,CF.2!$J$123:$J$134)+SUMIF(CF.2!$K$123:$K$134,CF.1!E141,CF.2!$M$123:$M$134)</f>
        <v>0</v>
      </c>
      <c r="S141" s="1535">
        <f t="shared" si="19"/>
        <v>0</v>
      </c>
      <c r="U141" s="1537">
        <f t="shared" si="20"/>
        <v>0</v>
      </c>
    </row>
    <row r="142" spans="3:26" ht="18" customHeight="1">
      <c r="C142" s="1364">
        <v>1</v>
      </c>
      <c r="D142" s="1532" t="s">
        <v>932</v>
      </c>
      <c r="E142" s="1506" t="s">
        <v>932</v>
      </c>
      <c r="F142" s="1533"/>
      <c r="G142" s="1506" t="s">
        <v>933</v>
      </c>
      <c r="H142" s="1833">
        <v>0</v>
      </c>
      <c r="I142" s="1834">
        <v>0</v>
      </c>
      <c r="J142" s="1834">
        <v>0</v>
      </c>
      <c r="K142" s="1834">
        <v>0</v>
      </c>
      <c r="L142" s="1535">
        <f t="shared" si="18"/>
        <v>0</v>
      </c>
      <c r="N142" s="1536">
        <f>SUMIF(CF.2!$H$5:$H$25,CF.1!E142,CF.2!$J$5:$J$25)-SUMIF(CF.2!$K$5:$K$25,CF.1!E142,CF.2!$M$5:$M$25)</f>
        <v>0</v>
      </c>
      <c r="O142" s="1534">
        <f>SUMIF(CF.2!$H$31:$H$60,CF.1!E142,CF.2!$J$31:$J$60)+SUMIF(CF.2!$K$31:$K$60,CF.1!E142,CF.2!$M$31:$M$60)</f>
        <v>0</v>
      </c>
      <c r="P142" s="1534">
        <f>SUMIF(CF.2!$H$65:$H$108,CF.1!E142,CF.2!$J$65:$J$108)+SUMIF(CF.2!$K$65:$K$108,CF.1!E142,CF.2!$M$65:$M$108)</f>
        <v>0</v>
      </c>
      <c r="Q142" s="1534">
        <f>SUMIF(CF.2!$H$112:$H$118,CF.1!E142,CF.2!$J$112:$J$118)+SUMIF(CF.2!$K$112:$K$118,CF.1!E142,CF.2!$M$112:$M$118)</f>
        <v>0</v>
      </c>
      <c r="R142" s="1534">
        <f>SUMIF(CF.2!$H$123:$H$134,CF.1!E142,CF.2!$J$123:$J$134)+SUMIF(CF.2!$K$123:$K$134,CF.1!E142,CF.2!$M$123:$M$134)</f>
        <v>0</v>
      </c>
      <c r="S142" s="1535">
        <f t="shared" si="19"/>
        <v>0</v>
      </c>
      <c r="U142" s="1537">
        <f t="shared" si="20"/>
        <v>0</v>
      </c>
    </row>
    <row r="143" spans="3:26" ht="18" customHeight="1">
      <c r="C143" s="1364">
        <v>1</v>
      </c>
      <c r="D143" s="1532" t="s">
        <v>934</v>
      </c>
      <c r="E143" s="1506" t="s">
        <v>934</v>
      </c>
      <c r="F143" s="1533" t="s">
        <v>1955</v>
      </c>
      <c r="G143" s="1506" t="s">
        <v>935</v>
      </c>
      <c r="H143" s="1833">
        <v>0</v>
      </c>
      <c r="I143" s="1834">
        <v>0</v>
      </c>
      <c r="J143" s="1834">
        <v>0</v>
      </c>
      <c r="K143" s="1834">
        <v>0</v>
      </c>
      <c r="L143" s="1535">
        <f t="shared" si="18"/>
        <v>0</v>
      </c>
      <c r="N143" s="1536">
        <f>SUMIF(CF.2!$H$5:$H$25,CF.1!E143,CF.2!$J$5:$J$25)-SUMIF(CF.2!$K$5:$K$25,CF.1!E143,CF.2!$M$5:$M$25)</f>
        <v>0</v>
      </c>
      <c r="O143" s="1534">
        <f>SUMIF(CF.2!$H$31:$H$60,CF.1!E143,CF.2!$J$31:$J$60)+SUMIF(CF.2!$K$31:$K$60,CF.1!E143,CF.2!$M$31:$M$60)</f>
        <v>0</v>
      </c>
      <c r="P143" s="1534">
        <f>SUMIF(CF.2!$H$65:$H$108,CF.1!E143,CF.2!$J$65:$J$108)+SUMIF(CF.2!$K$65:$K$108,CF.1!E143,CF.2!$M$65:$M$108)</f>
        <v>0</v>
      </c>
      <c r="Q143" s="1534">
        <f>SUMIF(CF.2!$H$112:$H$118,CF.1!E143,CF.2!$J$112:$J$118)+SUMIF(CF.2!$K$112:$K$118,CF.1!E143,CF.2!$M$112:$M$118)</f>
        <v>0</v>
      </c>
      <c r="R143" s="1534">
        <f>SUMIF(CF.2!$H$123:$H$134,CF.1!E143,CF.2!$J$123:$J$134)+SUMIF(CF.2!$K$123:$K$134,CF.1!E143,CF.2!$M$123:$M$134)</f>
        <v>0</v>
      </c>
      <c r="S143" s="1535">
        <f t="shared" si="19"/>
        <v>0</v>
      </c>
      <c r="U143" s="1537">
        <f t="shared" si="20"/>
        <v>0</v>
      </c>
    </row>
    <row r="144" spans="3:26" ht="18" customHeight="1">
      <c r="C144" s="1364">
        <v>1</v>
      </c>
      <c r="D144" s="1532" t="s">
        <v>936</v>
      </c>
      <c r="E144" s="1506" t="s">
        <v>936</v>
      </c>
      <c r="F144" s="1533"/>
      <c r="G144" s="1506" t="s">
        <v>937</v>
      </c>
      <c r="H144" s="1833">
        <v>0</v>
      </c>
      <c r="I144" s="1834">
        <v>0</v>
      </c>
      <c r="J144" s="1834">
        <v>0</v>
      </c>
      <c r="K144" s="1834">
        <v>0</v>
      </c>
      <c r="L144" s="1535">
        <f t="shared" si="18"/>
        <v>0</v>
      </c>
      <c r="N144" s="1536">
        <f>SUMIF(CF.2!$H$5:$H$25,CF.1!E144,CF.2!$J$5:$J$25)-SUMIF(CF.2!$K$5:$K$25,CF.1!E144,CF.2!$M$5:$M$25)</f>
        <v>0</v>
      </c>
      <c r="O144" s="1534">
        <f>SUMIF(CF.2!$H$31:$H$60,CF.1!E144,CF.2!$J$31:$J$60)+SUMIF(CF.2!$K$31:$K$60,CF.1!E144,CF.2!$M$31:$M$60)</f>
        <v>0</v>
      </c>
      <c r="P144" s="1534">
        <f>SUMIF(CF.2!$H$65:$H$108,CF.1!E144,CF.2!$J$65:$J$108)+SUMIF(CF.2!$K$65:$K$108,CF.1!E144,CF.2!$M$65:$M$108)</f>
        <v>0</v>
      </c>
      <c r="Q144" s="1534">
        <f>SUMIF(CF.2!$H$112:$H$118,CF.1!E144,CF.2!$J$112:$J$118)+SUMIF(CF.2!$K$112:$K$118,CF.1!E144,CF.2!$M$112:$M$118)</f>
        <v>0</v>
      </c>
      <c r="R144" s="1534">
        <f>SUMIF(CF.2!$H$123:$H$134,CF.1!E144,CF.2!$J$123:$J$134)+SUMIF(CF.2!$K$123:$K$134,CF.1!E144,CF.2!$M$123:$M$134)</f>
        <v>0</v>
      </c>
      <c r="S144" s="1535">
        <f t="shared" si="19"/>
        <v>0</v>
      </c>
      <c r="U144" s="1537">
        <f t="shared" si="20"/>
        <v>0</v>
      </c>
    </row>
    <row r="145" spans="3:26" ht="18" customHeight="1">
      <c r="C145" s="1364">
        <v>1</v>
      </c>
      <c r="D145" s="1532" t="s">
        <v>938</v>
      </c>
      <c r="E145" s="1506" t="s">
        <v>938</v>
      </c>
      <c r="F145" s="1533" t="s">
        <v>1676</v>
      </c>
      <c r="G145" s="1506" t="s">
        <v>939</v>
      </c>
      <c r="H145" s="1833">
        <v>0</v>
      </c>
      <c r="I145" s="1834">
        <v>0</v>
      </c>
      <c r="J145" s="1834">
        <v>0</v>
      </c>
      <c r="K145" s="1834">
        <v>0</v>
      </c>
      <c r="L145" s="1535">
        <f t="shared" si="18"/>
        <v>0</v>
      </c>
      <c r="N145" s="1536">
        <f>SUMIF(CF.2!$H$5:$H$25,CF.1!E145,CF.2!$J$5:$J$25)-SUMIF(CF.2!$K$5:$K$25,CF.1!E145,CF.2!$M$5:$M$25)</f>
        <v>0</v>
      </c>
      <c r="O145" s="1534">
        <f>SUMIF(CF.2!$H$31:$H$60,CF.1!E145,CF.2!$J$31:$J$60)+SUMIF(CF.2!$K$31:$K$60,CF.1!E145,CF.2!$M$31:$M$60)</f>
        <v>0</v>
      </c>
      <c r="P145" s="1534">
        <f>SUMIF(CF.2!$H$65:$H$108,CF.1!E145,CF.2!$J$65:$J$108)+SUMIF(CF.2!$K$65:$K$108,CF.1!E145,CF.2!$M$65:$M$108)</f>
        <v>0</v>
      </c>
      <c r="Q145" s="1534">
        <f>SUMIF(CF.2!$H$112:$H$118,CF.1!E145,CF.2!$J$112:$J$118)+SUMIF(CF.2!$K$112:$K$118,CF.1!E145,CF.2!$M$112:$M$118)</f>
        <v>0</v>
      </c>
      <c r="R145" s="1534">
        <f>SUMIF(CF.2!$H$123:$H$134,CF.1!E145,CF.2!$J$123:$J$134)+SUMIF(CF.2!$K$123:$K$134,CF.1!E145,CF.2!$M$123:$M$134)</f>
        <v>0</v>
      </c>
      <c r="S145" s="1535">
        <f t="shared" si="19"/>
        <v>0</v>
      </c>
      <c r="U145" s="1537">
        <f t="shared" si="20"/>
        <v>0</v>
      </c>
    </row>
    <row r="146" spans="3:26" ht="18" customHeight="1">
      <c r="C146" s="1364">
        <v>1</v>
      </c>
      <c r="D146" s="1532" t="s">
        <v>940</v>
      </c>
      <c r="E146" s="1506" t="s">
        <v>940</v>
      </c>
      <c r="F146" s="1533" t="s">
        <v>2267</v>
      </c>
      <c r="G146" s="1506" t="s">
        <v>941</v>
      </c>
      <c r="H146" s="1833">
        <v>4642050097</v>
      </c>
      <c r="I146" s="1834">
        <v>83217980</v>
      </c>
      <c r="J146" s="1834">
        <v>8213526</v>
      </c>
      <c r="K146" s="1834">
        <v>672049143</v>
      </c>
      <c r="L146" s="1535">
        <f t="shared" si="18"/>
        <v>5405530746</v>
      </c>
      <c r="N146" s="1536">
        <f>SUMIF(CF.2!$H$5:$H$25,CF.1!E146,CF.2!$J$5:$J$25)-SUMIF(CF.2!$K$5:$K$25,CF.1!E146,CF.2!$M$5:$M$25)</f>
        <v>0</v>
      </c>
      <c r="O146" s="1534">
        <f>SUMIF(CF.2!$H$31:$H$60,CF.1!E146,CF.2!$J$31:$J$60)+SUMIF(CF.2!$K$31:$K$60,CF.1!E146,CF.2!$M$31:$M$60)</f>
        <v>0</v>
      </c>
      <c r="P146" s="1534">
        <f>SUMIF(CF.2!$H$65:$H$108,CF.1!E146,CF.2!$J$65:$J$108)+SUMIF(CF.2!$K$65:$K$108,CF.1!E146,CF.2!$M$65:$M$108)</f>
        <v>-519265494</v>
      </c>
      <c r="Q146" s="1534">
        <f>SUMIF(CF.2!$H$112:$H$118,CF.1!E146,CF.2!$J$112:$J$118)+SUMIF(CF.2!$K$112:$K$118,CF.1!E146,CF.2!$M$112:$M$118)</f>
        <v>0</v>
      </c>
      <c r="R146" s="1534">
        <f>SUMIF(CF.2!$H$123:$H$134,CF.1!E146,CF.2!$J$123:$J$134)+SUMIF(CF.2!$K$123:$K$134,CF.1!E146,CF.2!$M$123:$M$134)</f>
        <v>0</v>
      </c>
      <c r="S146" s="1535">
        <f t="shared" si="19"/>
        <v>-519265494</v>
      </c>
      <c r="U146" s="1537">
        <f t="shared" si="20"/>
        <v>4886265252</v>
      </c>
      <c r="X146" s="1089"/>
      <c r="Y146" s="1089"/>
      <c r="Z146" s="1089"/>
    </row>
    <row r="147" spans="3:26" ht="18" customHeight="1">
      <c r="C147" s="1364">
        <v>1</v>
      </c>
      <c r="D147" s="1532" t="s">
        <v>998</v>
      </c>
      <c r="E147" s="1506" t="s">
        <v>942</v>
      </c>
      <c r="F147" s="1533" t="s">
        <v>1428</v>
      </c>
      <c r="G147" s="1506" t="s">
        <v>943</v>
      </c>
      <c r="H147" s="1833">
        <v>-413728014</v>
      </c>
      <c r="I147" s="1834">
        <v>0</v>
      </c>
      <c r="J147" s="1834">
        <v>0</v>
      </c>
      <c r="K147" s="1834">
        <v>0</v>
      </c>
      <c r="L147" s="1535">
        <f t="shared" si="18"/>
        <v>-413728014</v>
      </c>
      <c r="N147" s="1536">
        <f>SUMIF(CF.2!$H$5:$H$25,CF.1!E147,CF.2!$J$5:$J$25)-SUMIF(CF.2!$K$5:$K$25,CF.1!E147,CF.2!$M$5:$M$25)</f>
        <v>0</v>
      </c>
      <c r="O147" s="1534">
        <f>SUMIF(CF.2!$H$31:$H$60,CF.1!E147,CF.2!$J$31:$J$60)+SUMIF(CF.2!$K$31:$K$60,CF.1!E147,CF.2!$M$31:$M$60)</f>
        <v>0</v>
      </c>
      <c r="P147" s="1534">
        <f>SUMIF(CF.2!$H$65:$H$108,CF.1!E147,CF.2!$J$65:$J$108)+SUMIF(CF.2!$K$65:$K$108,CF.1!E147,CF.2!$M$65:$M$108)</f>
        <v>0</v>
      </c>
      <c r="Q147" s="1534">
        <f>SUMIF(CF.2!$H$112:$H$118,CF.1!E147,CF.2!$J$112:$J$118)+SUMIF(CF.2!$K$112:$K$118,CF.1!E147,CF.2!$M$112:$M$118)</f>
        <v>0</v>
      </c>
      <c r="R147" s="1534">
        <f>SUMIF(CF.2!$H$123:$H$134,CF.1!E147,CF.2!$J$123:$J$134)+SUMIF(CF.2!$K$123:$K$134,CF.1!E147,CF.2!$M$123:$M$134)</f>
        <v>0</v>
      </c>
      <c r="S147" s="1535">
        <f t="shared" si="19"/>
        <v>0</v>
      </c>
      <c r="U147" s="1537">
        <f t="shared" si="20"/>
        <v>-413728014</v>
      </c>
    </row>
    <row r="148" spans="3:26" ht="18" customHeight="1">
      <c r="C148" s="1364">
        <v>1</v>
      </c>
      <c r="D148" s="1532" t="s">
        <v>944</v>
      </c>
      <c r="E148" s="1506" t="s">
        <v>944</v>
      </c>
      <c r="F148" s="1533" t="s">
        <v>1428</v>
      </c>
      <c r="G148" s="1506" t="s">
        <v>945</v>
      </c>
      <c r="H148" s="1833">
        <v>-213819602</v>
      </c>
      <c r="I148" s="1834">
        <v>-77358430</v>
      </c>
      <c r="J148" s="1834">
        <v>-25715653</v>
      </c>
      <c r="K148" s="1834">
        <v>215319</v>
      </c>
      <c r="L148" s="1535">
        <f t="shared" si="18"/>
        <v>-316678366</v>
      </c>
      <c r="N148" s="1536">
        <f>SUMIF(CF.2!$H$5:$H$25,CF.1!E148,CF.2!$J$5:$J$25)-SUMIF(CF.2!$K$5:$K$25,CF.1!E148,CF.2!$M$5:$M$25)</f>
        <v>0</v>
      </c>
      <c r="O148" s="1534">
        <f>SUMIF(CF.2!$H$31:$H$60,CF.1!E148,CF.2!$J$31:$J$60)+SUMIF(CF.2!$K$31:$K$60,CF.1!E148,CF.2!$M$31:$M$60)</f>
        <v>0</v>
      </c>
      <c r="P148" s="1534">
        <f>SUMIF(CF.2!$H$65:$H$108,CF.1!E148,CF.2!$J$65:$J$108)+SUMIF(CF.2!$K$65:$K$108,CF.1!E148,CF.2!$M$65:$M$108)</f>
        <v>0</v>
      </c>
      <c r="Q148" s="1534">
        <f>SUMIF(CF.2!$H$112:$H$118,CF.1!E148,CF.2!$J$112:$J$118)+SUMIF(CF.2!$K$112:$K$118,CF.1!E148,CF.2!$M$112:$M$118)</f>
        <v>0</v>
      </c>
      <c r="R148" s="1534">
        <f>SUMIF(CF.2!$H$123:$H$134,CF.1!E148,CF.2!$J$123:$J$134)+SUMIF(CF.2!$K$123:$K$134,CF.1!E148,CF.2!$M$123:$M$134)</f>
        <v>0</v>
      </c>
      <c r="S148" s="1535">
        <f t="shared" si="19"/>
        <v>0</v>
      </c>
      <c r="U148" s="1537">
        <f t="shared" si="20"/>
        <v>-316678366</v>
      </c>
      <c r="X148" s="1089"/>
      <c r="Y148" s="1089"/>
      <c r="Z148" s="1089"/>
    </row>
    <row r="149" spans="3:26" ht="18" customHeight="1">
      <c r="C149" s="1364">
        <v>1</v>
      </c>
      <c r="D149" s="1532" t="s">
        <v>998</v>
      </c>
      <c r="E149" s="1506" t="s">
        <v>946</v>
      </c>
      <c r="F149" s="1533" t="s">
        <v>1428</v>
      </c>
      <c r="G149" s="1506" t="s">
        <v>947</v>
      </c>
      <c r="H149" s="1833">
        <v>-547389273</v>
      </c>
      <c r="I149" s="1834">
        <v>1386301</v>
      </c>
      <c r="J149" s="1834">
        <v>0</v>
      </c>
      <c r="K149" s="1834">
        <v>0</v>
      </c>
      <c r="L149" s="1535">
        <f t="shared" si="18"/>
        <v>-546002972</v>
      </c>
      <c r="N149" s="1536">
        <f>SUMIF(CF.2!$H$5:$H$25,CF.1!E149,CF.2!$J$5:$J$25)-SUMIF(CF.2!$K$5:$K$25,CF.1!E149,CF.2!$M$5:$M$25)</f>
        <v>0</v>
      </c>
      <c r="O149" s="1534">
        <f>SUMIF(CF.2!$H$31:$H$60,CF.1!E149,CF.2!$J$31:$J$60)+SUMIF(CF.2!$K$31:$K$60,CF.1!E149,CF.2!$M$31:$M$60)</f>
        <v>0</v>
      </c>
      <c r="P149" s="1534">
        <f>SUMIF(CF.2!$H$65:$H$108,CF.1!E149,CF.2!$J$65:$J$108)+SUMIF(CF.2!$K$65:$K$108,CF.1!E149,CF.2!$M$65:$M$108)</f>
        <v>0</v>
      </c>
      <c r="Q149" s="1534">
        <f>SUMIF(CF.2!$H$112:$H$118,CF.1!E149,CF.2!$J$112:$J$118)+SUMIF(CF.2!$K$112:$K$118,CF.1!E149,CF.2!$M$112:$M$118)</f>
        <v>0</v>
      </c>
      <c r="R149" s="1534">
        <f>SUMIF(CF.2!$H$123:$H$134,CF.1!E149,CF.2!$J$123:$J$134)+SUMIF(CF.2!$K$123:$K$134,CF.1!E149,CF.2!$M$123:$M$134)</f>
        <v>0</v>
      </c>
      <c r="S149" s="1535">
        <f t="shared" si="19"/>
        <v>0</v>
      </c>
      <c r="U149" s="1537">
        <f t="shared" si="20"/>
        <v>-546002972</v>
      </c>
      <c r="X149" s="1089"/>
      <c r="Y149" s="1089"/>
      <c r="Z149" s="1089"/>
    </row>
    <row r="150" spans="3:26" s="1089" customFormat="1" ht="18" customHeight="1">
      <c r="C150" s="1089">
        <v>1</v>
      </c>
      <c r="D150" s="1538" t="s">
        <v>948</v>
      </c>
      <c r="E150" s="1276" t="s">
        <v>948</v>
      </c>
      <c r="F150" s="1539" t="s">
        <v>2268</v>
      </c>
      <c r="G150" s="1276" t="s">
        <v>949</v>
      </c>
      <c r="H150" s="1832">
        <v>3143367671</v>
      </c>
      <c r="I150" s="1835">
        <v>-54369881</v>
      </c>
      <c r="J150" s="1835">
        <v>5530790</v>
      </c>
      <c r="K150" s="1835">
        <v>774286612</v>
      </c>
      <c r="L150" s="1541">
        <f t="shared" si="18"/>
        <v>3868815192</v>
      </c>
      <c r="N150" s="1555">
        <f>SUMIF(CF.2!$H$5:$H$25,CF.1!E150,CF.2!$J$5:$J$25)-SUMIF(CF.2!$K$5:$K$25,CF.1!E150,CF.2!$M$5:$M$25)</f>
        <v>0</v>
      </c>
      <c r="O150" s="1540">
        <f>SUMIF(CF.2!$H$31:$H$60,CF.1!E150,CF.2!$J$31:$J$60)+SUMIF(CF.2!$K$31:$K$60,CF.1!E150,CF.2!$M$31:$M$60)</f>
        <v>0</v>
      </c>
      <c r="P150" s="1540">
        <f>SUMIF(CF.2!$H$65:$H$108,CF.1!E150,CF.2!$J$65:$J$108)+SUMIF(CF.2!$K$65:$K$108,CF.1!E150,CF.2!$M$65:$M$108)</f>
        <v>382953700</v>
      </c>
      <c r="Q150" s="1540">
        <f>SUMIF(CF.2!$H$112:$H$118,CF.1!E150,CF.2!$J$112:$J$118)+SUMIF(CF.2!$K$112:$K$118,CF.1!E150,CF.2!$M$112:$M$118)</f>
        <v>0</v>
      </c>
      <c r="R150" s="1540">
        <f>SUMIF(CF.2!$H$123:$H$134,CF.1!E150,CF.2!$J$123:$J$134)+SUMIF(CF.2!$K$123:$K$134,CF.1!E150,CF.2!$M$123:$M$134)</f>
        <v>0</v>
      </c>
      <c r="S150" s="1541">
        <f t="shared" si="19"/>
        <v>382953700</v>
      </c>
      <c r="U150" s="1542">
        <f t="shared" si="20"/>
        <v>4251768892</v>
      </c>
      <c r="V150" s="1364"/>
      <c r="W150" s="1364"/>
    </row>
    <row r="151" spans="3:26" s="1089" customFormat="1" ht="18" customHeight="1">
      <c r="C151" s="1089">
        <v>1</v>
      </c>
      <c r="D151" s="1538" t="s">
        <v>950</v>
      </c>
      <c r="E151" s="1276" t="s">
        <v>950</v>
      </c>
      <c r="F151" s="1539" t="s">
        <v>2268</v>
      </c>
      <c r="G151" s="1276" t="s">
        <v>951</v>
      </c>
      <c r="H151" s="1832">
        <v>-1765730393</v>
      </c>
      <c r="I151" s="1835">
        <v>-209295529</v>
      </c>
      <c r="J151" s="1835">
        <v>-7924220</v>
      </c>
      <c r="K151" s="1835">
        <v>0</v>
      </c>
      <c r="L151" s="1541">
        <f t="shared" si="18"/>
        <v>-1982950142</v>
      </c>
      <c r="N151" s="1555">
        <f>SUMIF(CF.2!$H$5:$H$25,CF.1!E151,CF.2!$J$5:$J$25)-SUMIF(CF.2!$K$5:$K$25,CF.1!E151,CF.2!$M$5:$M$25)</f>
        <v>0</v>
      </c>
      <c r="O151" s="1540">
        <f>SUMIF(CF.2!$H$31:$H$60,CF.1!E151,CF.2!$J$31:$J$60)+SUMIF(CF.2!$K$31:$K$60,CF.1!E151,CF.2!$M$31:$M$60)</f>
        <v>0</v>
      </c>
      <c r="P151" s="1540">
        <f>SUMIF(CF.2!$H$65:$H$108,CF.1!E151,CF.2!$J$65:$J$108)+SUMIF(CF.2!$K$65:$K$108,CF.1!E151,CF.2!$M$65:$M$108)</f>
        <v>87715070</v>
      </c>
      <c r="Q151" s="1540">
        <f>SUMIF(CF.2!$H$112:$H$118,CF.1!E151,CF.2!$J$112:$J$118)+SUMIF(CF.2!$K$112:$K$118,CF.1!E151,CF.2!$M$112:$M$118)</f>
        <v>0</v>
      </c>
      <c r="R151" s="1540">
        <f>SUMIF(CF.2!$H$123:$H$134,CF.1!E151,CF.2!$J$123:$J$134)+SUMIF(CF.2!$K$123:$K$134,CF.1!E151,CF.2!$M$123:$M$134)</f>
        <v>0</v>
      </c>
      <c r="S151" s="1541">
        <f t="shared" si="19"/>
        <v>87715070</v>
      </c>
      <c r="U151" s="1542">
        <f t="shared" si="20"/>
        <v>-1895235072</v>
      </c>
      <c r="V151" s="1364"/>
      <c r="W151" s="1364"/>
    </row>
    <row r="152" spans="3:26" s="1089" customFormat="1" ht="18" customHeight="1">
      <c r="C152" s="1089">
        <v>1</v>
      </c>
      <c r="D152" s="1538" t="s">
        <v>952</v>
      </c>
      <c r="E152" s="1276" t="s">
        <v>952</v>
      </c>
      <c r="F152" s="1539" t="s">
        <v>1428</v>
      </c>
      <c r="G152" s="1276" t="s">
        <v>953</v>
      </c>
      <c r="H152" s="1832">
        <v>-1393112142</v>
      </c>
      <c r="I152" s="1832">
        <v>13542896</v>
      </c>
      <c r="J152" s="1835">
        <v>2267580</v>
      </c>
      <c r="K152" s="1835">
        <v>880613445</v>
      </c>
      <c r="L152" s="1541">
        <f t="shared" si="18"/>
        <v>-496688221</v>
      </c>
      <c r="N152" s="1536">
        <f>SUMIF(CF.2!$H$5:$H$25,CF.1!E152,CF.2!$J$5:$J$25)-SUMIF(CF.2!$K$5:$K$25,CF.1!E152,CF.2!$M$5:$M$25)</f>
        <v>0</v>
      </c>
      <c r="O152" s="1534">
        <f>SUMIF(CF.2!$H$31:$H$60,CF.1!E152,CF.2!$J$31:$J$60)+SUMIF(CF.2!$K$31:$K$60,CF.1!E152,CF.2!$M$31:$M$60)</f>
        <v>0</v>
      </c>
      <c r="P152" s="1534">
        <f>SUMIF(CF.2!$H$65:$H$108,CF.1!E152,CF.2!$J$65:$J$108)+SUMIF(CF.2!$K$65:$K$108,CF.1!E152,CF.2!$M$65:$M$108)</f>
        <v>0</v>
      </c>
      <c r="Q152" s="1534">
        <f>SUMIF(CF.2!$H$112:$H$118,CF.1!E152,CF.2!$J$112:$J$118)+SUMIF(CF.2!$K$112:$K$118,CF.1!E152,CF.2!$M$112:$M$118)</f>
        <v>0</v>
      </c>
      <c r="R152" s="1534">
        <f>SUMIF(CF.2!$H$123:$H$134,CF.1!E152,CF.2!$J$123:$J$134)+SUMIF(CF.2!$K$123:$K$134,CF.1!E152,CF.2!$M$123:$M$134)</f>
        <v>-1128563830</v>
      </c>
      <c r="S152" s="1535">
        <f t="shared" si="19"/>
        <v>-1128563830</v>
      </c>
      <c r="U152" s="1542">
        <f t="shared" si="20"/>
        <v>-1625252051</v>
      </c>
      <c r="V152" s="1364"/>
      <c r="W152" s="509"/>
    </row>
    <row r="153" spans="3:26" ht="18" customHeight="1">
      <c r="C153" s="1364">
        <v>1</v>
      </c>
      <c r="D153" s="1532" t="s">
        <v>954</v>
      </c>
      <c r="E153" s="1506" t="s">
        <v>954</v>
      </c>
      <c r="F153" s="1533"/>
      <c r="G153" s="1506" t="s">
        <v>955</v>
      </c>
      <c r="H153" s="1833">
        <v>0</v>
      </c>
      <c r="I153" s="1834">
        <v>0</v>
      </c>
      <c r="J153" s="1834">
        <v>0</v>
      </c>
      <c r="K153" s="1834">
        <v>0</v>
      </c>
      <c r="L153" s="1535">
        <f t="shared" si="18"/>
        <v>0</v>
      </c>
      <c r="N153" s="1536">
        <f>SUMIF(CF.2!$H$5:$H$25,CF.1!E153,CF.2!$J$5:$J$25)-SUMIF(CF.2!$K$5:$K$25,CF.1!E153,CF.2!$M$5:$M$25)</f>
        <v>0</v>
      </c>
      <c r="O153" s="1534">
        <f>SUMIF(CF.2!$H$31:$H$60,CF.1!E153,CF.2!$J$31:$J$60)+SUMIF(CF.2!$K$31:$K$60,CF.1!E153,CF.2!$M$31:$M$60)</f>
        <v>0</v>
      </c>
      <c r="P153" s="1534">
        <f>SUMIF(CF.2!$H$65:$H$108,CF.1!E153,CF.2!$J$65:$J$108)+SUMIF(CF.2!$K$65:$K$108,CF.1!E153,CF.2!$M$65:$M$108)</f>
        <v>0</v>
      </c>
      <c r="Q153" s="1534">
        <f>SUMIF(CF.2!$H$112:$H$118,CF.1!E153,CF.2!$J$112:$J$118)+SUMIF(CF.2!$K$112:$K$118,CF.1!E153,CF.2!$M$112:$M$118)</f>
        <v>0</v>
      </c>
      <c r="R153" s="1534">
        <f>SUMIF(CF.2!$H$123:$H$134,CF.1!E153,CF.2!$J$123:$J$134)+SUMIF(CF.2!$K$123:$K$134,CF.1!E153,CF.2!$M$123:$M$134)</f>
        <v>0</v>
      </c>
      <c r="S153" s="1535">
        <f t="shared" si="19"/>
        <v>0</v>
      </c>
      <c r="U153" s="1537">
        <f t="shared" si="20"/>
        <v>0</v>
      </c>
    </row>
    <row r="154" spans="3:26" ht="18" customHeight="1">
      <c r="C154" s="1364">
        <v>1</v>
      </c>
      <c r="D154" s="1532" t="s">
        <v>956</v>
      </c>
      <c r="E154" s="1506" t="s">
        <v>956</v>
      </c>
      <c r="F154" s="1533"/>
      <c r="G154" s="1506" t="s">
        <v>957</v>
      </c>
      <c r="H154" s="1833">
        <v>0</v>
      </c>
      <c r="I154" s="1834">
        <v>0</v>
      </c>
      <c r="J154" s="1834">
        <v>0</v>
      </c>
      <c r="K154" s="1834">
        <v>0</v>
      </c>
      <c r="L154" s="1535">
        <f t="shared" si="18"/>
        <v>0</v>
      </c>
      <c r="N154" s="1536">
        <f>SUMIF(CF.2!$H$5:$H$25,CF.1!E154,CF.2!$J$5:$J$25)-SUMIF(CF.2!$K$5:$K$25,CF.1!E154,CF.2!$M$5:$M$25)</f>
        <v>0</v>
      </c>
      <c r="O154" s="1534">
        <f>SUMIF(CF.2!$H$31:$H$60,CF.1!E154,CF.2!$J$31:$J$60)+SUMIF(CF.2!$K$31:$K$60,CF.1!E154,CF.2!$M$31:$M$60)</f>
        <v>0</v>
      </c>
      <c r="P154" s="1534">
        <f>SUMIF(CF.2!$H$65:$H$108,CF.1!E154,CF.2!$J$65:$J$108)+SUMIF(CF.2!$K$65:$K$108,CF.1!E154,CF.2!$M$65:$M$108)</f>
        <v>0</v>
      </c>
      <c r="Q154" s="1534">
        <f>SUMIF(CF.2!$H$112:$H$118,CF.1!E154,CF.2!$J$112:$J$118)+SUMIF(CF.2!$K$112:$K$118,CF.1!E154,CF.2!$M$112:$M$118)</f>
        <v>0</v>
      </c>
      <c r="R154" s="1534">
        <f>SUMIF(CF.2!$H$123:$H$134,CF.1!E154,CF.2!$J$123:$J$134)+SUMIF(CF.2!$K$123:$K$134,CF.1!E154,CF.2!$M$123:$M$134)</f>
        <v>0</v>
      </c>
      <c r="S154" s="1535">
        <f t="shared" si="19"/>
        <v>0</v>
      </c>
      <c r="U154" s="1537">
        <f t="shared" si="20"/>
        <v>0</v>
      </c>
    </row>
    <row r="155" spans="3:26" ht="18" customHeight="1">
      <c r="C155" s="1364">
        <v>1</v>
      </c>
      <c r="D155" s="1532" t="s">
        <v>958</v>
      </c>
      <c r="E155" s="1506" t="s">
        <v>958</v>
      </c>
      <c r="F155" s="1533" t="s">
        <v>1428</v>
      </c>
      <c r="G155" s="1506" t="s">
        <v>959</v>
      </c>
      <c r="H155" s="1833">
        <v>0</v>
      </c>
      <c r="I155" s="1834">
        <v>0</v>
      </c>
      <c r="J155" s="1834">
        <v>0</v>
      </c>
      <c r="K155" s="1834">
        <v>0</v>
      </c>
      <c r="L155" s="1535">
        <f t="shared" si="18"/>
        <v>0</v>
      </c>
      <c r="N155" s="1536">
        <f>SUMIF(CF.2!$H$5:$H$25,CF.1!E155,CF.2!$J$5:$J$25)-SUMIF(CF.2!$K$5:$K$25,CF.1!E155,CF.2!$M$5:$M$25)</f>
        <v>0</v>
      </c>
      <c r="O155" s="1534">
        <f>SUMIF(CF.2!$H$31:$H$60,CF.1!E155,CF.2!$J$31:$J$60)+SUMIF(CF.2!$K$31:$K$60,CF.1!E155,CF.2!$M$31:$M$60)</f>
        <v>0</v>
      </c>
      <c r="P155" s="1534">
        <f>SUMIF(CF.2!$H$65:$H$108,CF.1!E155,CF.2!$J$65:$J$108)+SUMIF(CF.2!$K$65:$K$108,CF.1!E155,CF.2!$M$65:$M$108)</f>
        <v>0</v>
      </c>
      <c r="Q155" s="1534">
        <f>SUMIF(CF.2!$H$112:$H$118,CF.1!E155,CF.2!$J$112:$J$118)+SUMIF(CF.2!$K$112:$K$118,CF.1!E155,CF.2!$M$112:$M$118)</f>
        <v>0</v>
      </c>
      <c r="R155" s="1534">
        <f>SUMIF(CF.2!$H$123:$H$134,CF.1!E155,CF.2!$J$123:$J$134)+SUMIF(CF.2!$K$123:$K$134,CF.1!E155,CF.2!$M$123:$M$134)</f>
        <v>0</v>
      </c>
      <c r="S155" s="1535">
        <f t="shared" si="19"/>
        <v>0</v>
      </c>
      <c r="U155" s="1537">
        <f t="shared" si="20"/>
        <v>0</v>
      </c>
    </row>
    <row r="156" spans="3:26" ht="18" customHeight="1">
      <c r="C156" s="1364">
        <v>1</v>
      </c>
      <c r="D156" s="1532" t="s">
        <v>960</v>
      </c>
      <c r="E156" s="1506" t="s">
        <v>960</v>
      </c>
      <c r="F156" s="1533" t="s">
        <v>2269</v>
      </c>
      <c r="G156" s="1506" t="s">
        <v>961</v>
      </c>
      <c r="H156" s="1832">
        <v>0</v>
      </c>
      <c r="I156" s="1834">
        <v>0</v>
      </c>
      <c r="J156" s="1834">
        <v>0</v>
      </c>
      <c r="K156" s="1834">
        <v>0</v>
      </c>
      <c r="L156" s="1535">
        <f t="shared" si="18"/>
        <v>0</v>
      </c>
      <c r="N156" s="1536">
        <f>SUMIF(CF.2!$H$5:$H$25,CF.1!E156,CF.2!$J$5:$J$25)-SUMIF(CF.2!$K$5:$K$25,CF.1!E156,CF.2!$M$5:$M$25)</f>
        <v>0</v>
      </c>
      <c r="O156" s="1534">
        <f>SUMIF(CF.2!$H$31:$H$60,CF.1!E156,CF.2!$J$31:$J$60)+SUMIF(CF.2!$K$31:$K$60,CF.1!E156,CF.2!$M$31:$M$60)</f>
        <v>0</v>
      </c>
      <c r="P156" s="1534">
        <f>SUMIF(CF.2!$H$65:$H$108,CF.1!E156,CF.2!$J$65:$J$108)+SUMIF(CF.2!$K$65:$K$108,CF.1!E156,CF.2!$M$65:$M$108)</f>
        <v>0</v>
      </c>
      <c r="Q156" s="1534">
        <f>SUMIF(CF.2!$H$112:$H$118,CF.1!E156,CF.2!$J$112:$J$118)+SUMIF(CF.2!$K$112:$K$118,CF.1!E156,CF.2!$M$112:$M$118)</f>
        <v>0</v>
      </c>
      <c r="R156" s="1534">
        <f>SUMIF(CF.2!$H$123:$H$134,CF.1!E156,CF.2!$J$123:$J$134)+SUMIF(CF.2!$K$123:$K$134,CF.1!E156,CF.2!$M$123:$M$134)</f>
        <v>0</v>
      </c>
      <c r="S156" s="1535">
        <f t="shared" si="19"/>
        <v>0</v>
      </c>
      <c r="U156" s="1537">
        <f t="shared" si="20"/>
        <v>0</v>
      </c>
    </row>
    <row r="157" spans="3:26" ht="18" customHeight="1">
      <c r="C157" s="1364">
        <v>1</v>
      </c>
      <c r="D157" s="1532" t="s">
        <v>962</v>
      </c>
      <c r="E157" s="1506" t="s">
        <v>962</v>
      </c>
      <c r="F157" s="1533"/>
      <c r="G157" s="1506" t="s">
        <v>963</v>
      </c>
      <c r="H157" s="1833">
        <v>0</v>
      </c>
      <c r="I157" s="1834">
        <v>0</v>
      </c>
      <c r="J157" s="1834">
        <v>0</v>
      </c>
      <c r="K157" s="1834">
        <v>0</v>
      </c>
      <c r="L157" s="1535">
        <f t="shared" si="18"/>
        <v>0</v>
      </c>
      <c r="N157" s="1536">
        <f>SUMIF(CF.2!$H$5:$H$25,CF.1!E157,CF.2!$J$5:$J$25)-SUMIF(CF.2!$K$5:$K$25,CF.1!E157,CF.2!$M$5:$M$25)</f>
        <v>0</v>
      </c>
      <c r="O157" s="1534">
        <f>SUMIF(CF.2!$H$31:$H$60,CF.1!E157,CF.2!$J$31:$J$60)+SUMIF(CF.2!$K$31:$K$60,CF.1!E157,CF.2!$M$31:$M$60)</f>
        <v>0</v>
      </c>
      <c r="P157" s="1534">
        <f>SUMIF(CF.2!$H$65:$H$108,CF.1!E157,CF.2!$J$65:$J$108)+SUMIF(CF.2!$K$65:$K$108,CF.1!E157,CF.2!$M$65:$M$108)</f>
        <v>0</v>
      </c>
      <c r="Q157" s="1534">
        <f>SUMIF(CF.2!$H$112:$H$118,CF.1!E157,CF.2!$J$112:$J$118)+SUMIF(CF.2!$K$112:$K$118,CF.1!E157,CF.2!$M$112:$M$118)</f>
        <v>0</v>
      </c>
      <c r="R157" s="1534">
        <f>SUMIF(CF.2!$H$123:$H$134,CF.1!E157,CF.2!$J$123:$J$134)+SUMIF(CF.2!$K$123:$K$134,CF.1!E157,CF.2!$M$123:$M$134)</f>
        <v>0</v>
      </c>
      <c r="S157" s="1535">
        <f t="shared" si="19"/>
        <v>0</v>
      </c>
      <c r="U157" s="1537">
        <f t="shared" si="20"/>
        <v>0</v>
      </c>
    </row>
    <row r="158" spans="3:26" ht="18" customHeight="1">
      <c r="C158" s="1364">
        <v>1</v>
      </c>
      <c r="D158" s="1532" t="s">
        <v>964</v>
      </c>
      <c r="E158" s="1506" t="s">
        <v>964</v>
      </c>
      <c r="F158" s="1533" t="s">
        <v>2269</v>
      </c>
      <c r="G158" s="1506" t="s">
        <v>965</v>
      </c>
      <c r="H158" s="1833">
        <v>784017738</v>
      </c>
      <c r="I158" s="1834">
        <v>0</v>
      </c>
      <c r="J158" s="1834">
        <v>0</v>
      </c>
      <c r="K158" s="1834">
        <v>0</v>
      </c>
      <c r="L158" s="1535">
        <f t="shared" si="18"/>
        <v>784017738</v>
      </c>
      <c r="N158" s="1536">
        <f>SUMIF(CF.2!$H$5:$H$25,CF.1!E158,CF.2!$J$5:$J$25)-SUMIF(CF.2!$K$5:$K$25,CF.1!E158,CF.2!$M$5:$M$25)</f>
        <v>0</v>
      </c>
      <c r="O158" s="1534">
        <f>SUMIF(CF.2!$H$31:$H$60,CF.1!E158,CF.2!$J$31:$J$60)+SUMIF(CF.2!$K$31:$K$60,CF.1!E158,CF.2!$M$31:$M$60)</f>
        <v>0</v>
      </c>
      <c r="P158" s="1534">
        <f>SUMIF(CF.2!$H$65:$H$108,CF.1!E158,CF.2!$J$65:$J$108)+SUMIF(CF.2!$K$65:$K$108,CF.1!E158,CF.2!$M$65:$M$108)</f>
        <v>0</v>
      </c>
      <c r="Q158" s="1534">
        <f>SUMIF(CF.2!$H$112:$H$118,CF.1!E158,CF.2!$J$112:$J$118)+SUMIF(CF.2!$K$112:$K$118,CF.1!E158,CF.2!$M$112:$M$118)</f>
        <v>0</v>
      </c>
      <c r="R158" s="1534">
        <f>SUMIF(CF.2!$H$123:$H$134,CF.1!E158,CF.2!$J$123:$J$134)+SUMIF(CF.2!$K$123:$K$134,CF.1!E158,CF.2!$M$123:$M$134)</f>
        <v>0</v>
      </c>
      <c r="S158" s="1535">
        <f t="shared" si="19"/>
        <v>0</v>
      </c>
      <c r="U158" s="1537">
        <f t="shared" si="20"/>
        <v>784017738</v>
      </c>
    </row>
    <row r="159" spans="3:26" ht="18" customHeight="1">
      <c r="C159" s="1364">
        <v>1</v>
      </c>
      <c r="D159" s="1532" t="s">
        <v>966</v>
      </c>
      <c r="E159" s="1506" t="s">
        <v>966</v>
      </c>
      <c r="F159" s="1533"/>
      <c r="G159" s="1506" t="s">
        <v>967</v>
      </c>
      <c r="H159" s="1833">
        <v>0</v>
      </c>
      <c r="I159" s="1834">
        <v>0</v>
      </c>
      <c r="J159" s="1834">
        <v>0</v>
      </c>
      <c r="K159" s="1834">
        <v>0</v>
      </c>
      <c r="L159" s="1535">
        <f t="shared" si="18"/>
        <v>0</v>
      </c>
      <c r="N159" s="1536">
        <f>SUMIF(CF.2!$H$5:$H$25,CF.1!E159,CF.2!$J$5:$J$25)-SUMIF(CF.2!$K$5:$K$25,CF.1!E159,CF.2!$M$5:$M$25)</f>
        <v>0</v>
      </c>
      <c r="O159" s="1534">
        <f>SUMIF(CF.2!$H$31:$H$60,CF.1!E159,CF.2!$J$31:$J$60)+SUMIF(CF.2!$K$31:$K$60,CF.1!E159,CF.2!$M$31:$M$60)</f>
        <v>0</v>
      </c>
      <c r="P159" s="1534">
        <f>SUMIF(CF.2!$H$65:$H$108,CF.1!E159,CF.2!$J$65:$J$108)+SUMIF(CF.2!$K$65:$K$108,CF.1!E159,CF.2!$M$65:$M$108)</f>
        <v>0</v>
      </c>
      <c r="Q159" s="1534">
        <f>SUMIF(CF.2!$H$112:$H$118,CF.1!E159,CF.2!$J$112:$J$118)+SUMIF(CF.2!$K$112:$K$118,CF.1!E159,CF.2!$M$112:$M$118)</f>
        <v>0</v>
      </c>
      <c r="R159" s="1534">
        <f>SUMIF(CF.2!$H$123:$H$134,CF.1!E159,CF.2!$J$123:$J$134)+SUMIF(CF.2!$K$123:$K$134,CF.1!E159,CF.2!$M$123:$M$134)</f>
        <v>0</v>
      </c>
      <c r="S159" s="1535">
        <f t="shared" si="19"/>
        <v>0</v>
      </c>
      <c r="U159" s="1537">
        <f t="shared" si="20"/>
        <v>0</v>
      </c>
    </row>
    <row r="160" spans="3:26" ht="18" customHeight="1">
      <c r="C160" s="1364">
        <v>1</v>
      </c>
      <c r="D160" s="1532" t="s">
        <v>968</v>
      </c>
      <c r="E160" s="1506" t="s">
        <v>968</v>
      </c>
      <c r="F160" s="1533"/>
      <c r="G160" s="1506" t="s">
        <v>969</v>
      </c>
      <c r="H160" s="1833">
        <v>0</v>
      </c>
      <c r="I160" s="1834">
        <v>0</v>
      </c>
      <c r="J160" s="1834">
        <v>0</v>
      </c>
      <c r="K160" s="1834">
        <v>0</v>
      </c>
      <c r="L160" s="1535">
        <f t="shared" ref="L160:L176" si="21">SUM(H160:K160)</f>
        <v>0</v>
      </c>
      <c r="N160" s="1536">
        <f>SUMIF(CF.2!$H$5:$H$25,CF.1!E160,CF.2!$J$5:$J$25)-SUMIF(CF.2!$K$5:$K$25,CF.1!E160,CF.2!$M$5:$M$25)</f>
        <v>0</v>
      </c>
      <c r="O160" s="1534">
        <f>SUMIF(CF.2!$H$31:$H$60,CF.1!E160,CF.2!$J$31:$J$60)+SUMIF(CF.2!$K$31:$K$60,CF.1!E160,CF.2!$M$31:$M$60)</f>
        <v>0</v>
      </c>
      <c r="P160" s="1534">
        <f>SUMIF(CF.2!$H$65:$H$108,CF.1!E160,CF.2!$J$65:$J$108)+SUMIF(CF.2!$K$65:$K$108,CF.1!E160,CF.2!$M$65:$M$108)</f>
        <v>0</v>
      </c>
      <c r="Q160" s="1534">
        <f>SUMIF(CF.2!$H$112:$H$118,CF.1!E160,CF.2!$J$112:$J$118)+SUMIF(CF.2!$K$112:$K$118,CF.1!E160,CF.2!$M$112:$M$118)</f>
        <v>0</v>
      </c>
      <c r="R160" s="1534">
        <f>SUMIF(CF.2!$H$123:$H$134,CF.1!E160,CF.2!$J$123:$J$134)+SUMIF(CF.2!$K$123:$K$134,CF.1!E160,CF.2!$M$123:$M$134)</f>
        <v>0</v>
      </c>
      <c r="S160" s="1535">
        <f t="shared" ref="S160:S176" si="22">SUM(N160:R160)</f>
        <v>0</v>
      </c>
      <c r="U160" s="1537">
        <f t="shared" ref="U160:U176" si="23">ROUND(S160+L160,0)</f>
        <v>0</v>
      </c>
    </row>
    <row r="161" spans="3:21" ht="18" customHeight="1">
      <c r="C161" s="1364">
        <v>1</v>
      </c>
      <c r="D161" s="1532" t="s">
        <v>970</v>
      </c>
      <c r="E161" s="1506" t="s">
        <v>970</v>
      </c>
      <c r="F161" s="1533" t="s">
        <v>2268</v>
      </c>
      <c r="G161" s="1506" t="s">
        <v>971</v>
      </c>
      <c r="H161" s="1833">
        <v>526577000</v>
      </c>
      <c r="I161" s="1834">
        <v>0</v>
      </c>
      <c r="J161" s="1834">
        <v>0</v>
      </c>
      <c r="K161" s="1834">
        <v>0</v>
      </c>
      <c r="L161" s="1535">
        <f t="shared" si="21"/>
        <v>526577000</v>
      </c>
      <c r="N161" s="1536">
        <f>SUMIF(CF.2!$H$5:$H$25,CF.1!E161,CF.2!$J$5:$J$25)-SUMIF(CF.2!$K$5:$K$25,CF.1!E161,CF.2!$M$5:$M$25)</f>
        <v>0</v>
      </c>
      <c r="O161" s="1534">
        <f>SUMIF(CF.2!$H$31:$H$60,CF.1!E161,CF.2!$J$31:$J$60)+SUMIF(CF.2!$K$31:$K$60,CF.1!E161,CF.2!$M$31:$M$60)</f>
        <v>0</v>
      </c>
      <c r="P161" s="1534">
        <f>SUMIF(CF.2!$H$65:$H$108,CF.1!E161,CF.2!$J$65:$J$108)+SUMIF(CF.2!$K$65:$K$108,CF.1!E161,CF.2!$M$65:$M$108)</f>
        <v>0</v>
      </c>
      <c r="Q161" s="1534">
        <f>SUMIF(CF.2!$H$112:$H$118,CF.1!E161,CF.2!$J$112:$J$118)+SUMIF(CF.2!$K$112:$K$118,CF.1!E161,CF.2!$M$112:$M$118)</f>
        <v>0</v>
      </c>
      <c r="R161" s="1534">
        <f>SUMIF(CF.2!$H$123:$H$134,CF.1!E161,CF.2!$J$123:$J$134)+SUMIF(CF.2!$K$123:$K$134,CF.1!E161,CF.2!$M$123:$M$134)</f>
        <v>0</v>
      </c>
      <c r="S161" s="1535">
        <f t="shared" si="22"/>
        <v>0</v>
      </c>
      <c r="U161" s="1537">
        <f t="shared" si="23"/>
        <v>526577000</v>
      </c>
    </row>
    <row r="162" spans="3:21" s="1089" customFormat="1" ht="18" customHeight="1">
      <c r="C162" s="1089">
        <v>1</v>
      </c>
      <c r="D162" s="1538" t="s">
        <v>972</v>
      </c>
      <c r="E162" s="1276" t="s">
        <v>972</v>
      </c>
      <c r="F162" s="1539" t="s">
        <v>1953</v>
      </c>
      <c r="G162" s="1276" t="s">
        <v>973</v>
      </c>
      <c r="H162" s="1832">
        <v>0</v>
      </c>
      <c r="I162" s="1835">
        <v>0</v>
      </c>
      <c r="J162" s="1835">
        <v>0</v>
      </c>
      <c r="K162" s="1835">
        <v>0</v>
      </c>
      <c r="L162" s="1541">
        <f t="shared" si="21"/>
        <v>0</v>
      </c>
      <c r="N162" s="1555">
        <f>SUMIF(CF.2!$H$5:$H$25,CF.1!E162,CF.2!$J$5:$J$25)-SUMIF(CF.2!$K$5:$K$25,CF.1!E162,CF.2!$M$5:$M$25)</f>
        <v>0</v>
      </c>
      <c r="O162" s="1540">
        <f>SUMIF(CF.2!$H$31:$H$60,CF.1!E162,CF.2!$J$31:$J$60)+SUMIF(CF.2!$K$31:$K$60,CF.1!E162,CF.2!$M$31:$M$60)</f>
        <v>0</v>
      </c>
      <c r="P162" s="1540">
        <f>SUMIF(CF.2!$H$65:$H$108,CF.1!E162,CF.2!$J$65:$J$108)+SUMIF(CF.2!$K$65:$K$108,CF.1!E162,CF.2!$M$65:$M$108)</f>
        <v>0</v>
      </c>
      <c r="Q162" s="1540">
        <f>SUMIF(CF.2!$H$112:$H$118,CF.1!E162,CF.2!$J$112:$J$118)+SUMIF(CF.2!$K$112:$K$118,CF.1!E162,CF.2!$M$112:$M$118)</f>
        <v>0</v>
      </c>
      <c r="R162" s="1540">
        <f>SUMIF(CF.2!$H$123:$H$134,CF.1!E162,CF.2!$J$123:$J$134)+SUMIF(CF.2!$K$123:$K$134,CF.1!E162,CF.2!$M$123:$M$134)</f>
        <v>0</v>
      </c>
      <c r="S162" s="1541">
        <f t="shared" si="22"/>
        <v>0</v>
      </c>
      <c r="U162" s="1542">
        <f t="shared" si="23"/>
        <v>0</v>
      </c>
    </row>
    <row r="163" spans="3:21" s="1089" customFormat="1" ht="18" customHeight="1">
      <c r="C163" s="1089">
        <v>1</v>
      </c>
      <c r="D163" s="1538" t="s">
        <v>974</v>
      </c>
      <c r="E163" s="1276" t="s">
        <v>974</v>
      </c>
      <c r="F163" s="1539"/>
      <c r="G163" s="1276" t="s">
        <v>975</v>
      </c>
      <c r="H163" s="1832">
        <v>0</v>
      </c>
      <c r="I163" s="1835">
        <v>0</v>
      </c>
      <c r="J163" s="1835">
        <v>0</v>
      </c>
      <c r="K163" s="1835">
        <v>0</v>
      </c>
      <c r="L163" s="1541">
        <f t="shared" si="21"/>
        <v>0</v>
      </c>
      <c r="N163" s="1555">
        <f>SUMIF(CF.2!$H$5:$H$25,CF.1!E163,CF.2!$J$5:$J$25)-SUMIF(CF.2!$K$5:$K$25,CF.1!E163,CF.2!$M$5:$M$25)</f>
        <v>0</v>
      </c>
      <c r="O163" s="1540">
        <f>SUMIF(CF.2!$H$31:$H$60,CF.1!E163,CF.2!$J$31:$J$60)+SUMIF(CF.2!$K$31:$K$60,CF.1!E163,CF.2!$M$31:$M$60)</f>
        <v>0</v>
      </c>
      <c r="P163" s="1540">
        <f>SUMIF(CF.2!$H$65:$H$108,CF.1!E163,CF.2!$J$65:$J$108)+SUMIF(CF.2!$K$65:$K$108,CF.1!E163,CF.2!$M$65:$M$108)</f>
        <v>0</v>
      </c>
      <c r="Q163" s="1540">
        <f>SUMIF(CF.2!$H$112:$H$118,CF.1!E163,CF.2!$J$112:$J$118)+SUMIF(CF.2!$K$112:$K$118,CF.1!E163,CF.2!$M$112:$M$118)</f>
        <v>0</v>
      </c>
      <c r="R163" s="1540">
        <f>SUMIF(CF.2!$H$123:$H$134,CF.1!E163,CF.2!$J$123:$J$134)+SUMIF(CF.2!$K$123:$K$134,CF.1!E163,CF.2!$M$123:$M$134)</f>
        <v>0</v>
      </c>
      <c r="S163" s="1541">
        <f t="shared" si="22"/>
        <v>0</v>
      </c>
      <c r="U163" s="1542">
        <f t="shared" si="23"/>
        <v>0</v>
      </c>
    </row>
    <row r="164" spans="3:21" s="1089" customFormat="1" ht="18" customHeight="1">
      <c r="C164" s="1089">
        <v>1</v>
      </c>
      <c r="D164" s="1538" t="s">
        <v>976</v>
      </c>
      <c r="E164" s="1276" t="s">
        <v>976</v>
      </c>
      <c r="F164" s="1539" t="s">
        <v>2269</v>
      </c>
      <c r="G164" s="1276" t="s">
        <v>977</v>
      </c>
      <c r="H164" s="1832">
        <v>-818495987</v>
      </c>
      <c r="I164" s="1835">
        <v>-43590230</v>
      </c>
      <c r="J164" s="1835">
        <v>0</v>
      </c>
      <c r="K164" s="1835">
        <v>-4025226</v>
      </c>
      <c r="L164" s="1541">
        <f t="shared" si="21"/>
        <v>-866111443</v>
      </c>
      <c r="N164" s="1555">
        <f>SUMIF(CF.2!$H$5:$H$25,CF.1!E164,CF.2!$J$5:$J$25)-SUMIF(CF.2!$K$5:$K$25,CF.1!E164,CF.2!$M$5:$M$25)</f>
        <v>0</v>
      </c>
      <c r="O164" s="1540">
        <f>SUMIF(CF.2!$H$31:$H$60,CF.1!E164,CF.2!$J$31:$J$60)+SUMIF(CF.2!$K$31:$K$60,CF.1!E164,CF.2!$M$31:$M$60)</f>
        <v>0</v>
      </c>
      <c r="P164" s="1540">
        <f>SUMIF(CF.2!$H$65:$H$108,CF.1!E164,CF.2!$J$65:$J$108)+SUMIF(CF.2!$K$65:$K$108,CF.1!E164,CF.2!$M$65:$M$108)</f>
        <v>0</v>
      </c>
      <c r="Q164" s="1540">
        <f>SUMIF(CF.2!$H$112:$H$118,CF.1!E164,CF.2!$J$112:$J$118)+SUMIF(CF.2!$K$112:$K$118,CF.1!E164,CF.2!$M$112:$M$118)</f>
        <v>0</v>
      </c>
      <c r="R164" s="1540">
        <f>SUMIF(CF.2!$H$123:$H$134,CF.1!E164,CF.2!$J$123:$J$134)+SUMIF(CF.2!$K$123:$K$134,CF.1!E164,CF.2!$M$123:$M$134)</f>
        <v>0</v>
      </c>
      <c r="S164" s="1541">
        <f t="shared" si="22"/>
        <v>0</v>
      </c>
      <c r="U164" s="1542">
        <f t="shared" si="23"/>
        <v>-866111443</v>
      </c>
    </row>
    <row r="165" spans="3:21" s="1089" customFormat="1" ht="18" customHeight="1">
      <c r="C165" s="1089">
        <v>1</v>
      </c>
      <c r="D165" s="1538" t="s">
        <v>978</v>
      </c>
      <c r="E165" s="1276" t="s">
        <v>978</v>
      </c>
      <c r="F165" s="1539" t="s">
        <v>2270</v>
      </c>
      <c r="G165" s="1276" t="s">
        <v>979</v>
      </c>
      <c r="H165" s="1832">
        <v>0</v>
      </c>
      <c r="I165" s="1835">
        <v>0</v>
      </c>
      <c r="J165" s="1835">
        <v>0</v>
      </c>
      <c r="K165" s="1835">
        <v>0</v>
      </c>
      <c r="L165" s="1541">
        <f t="shared" si="21"/>
        <v>0</v>
      </c>
      <c r="N165" s="1555">
        <f>SUMIF(CF.2!$H$5:$H$25,CF.1!E165,CF.2!$J$5:$J$25)-SUMIF(CF.2!$K$5:$K$25,CF.1!E165,CF.2!$M$5:$M$25)</f>
        <v>0</v>
      </c>
      <c r="O165" s="1540">
        <f>SUMIF(CF.2!$H$31:$H$60,CF.1!E165,CF.2!$J$31:$J$60)+SUMIF(CF.2!$K$31:$K$60,CF.1!E165,CF.2!$M$31:$M$60)</f>
        <v>0</v>
      </c>
      <c r="P165" s="1540">
        <f>SUMIF(CF.2!$H$65:$H$108,CF.1!E165,CF.2!$J$65:$J$108)+SUMIF(CF.2!$K$65:$K$108,CF.1!E165,CF.2!$M$65:$M$108)</f>
        <v>0</v>
      </c>
      <c r="Q165" s="1540">
        <f>SUMIF(CF.2!$H$112:$H$118,CF.1!E165,CF.2!$J$112:$J$118)+SUMIF(CF.2!$K$112:$K$118,CF.1!E165,CF.2!$M$112:$M$118)</f>
        <v>0</v>
      </c>
      <c r="R165" s="1540">
        <f>SUMIF(CF.2!$H$123:$H$134,CF.1!E165,CF.2!$J$123:$J$134)+SUMIF(CF.2!$K$123:$K$134,CF.1!E165,CF.2!$M$123:$M$134)</f>
        <v>0</v>
      </c>
      <c r="S165" s="1541">
        <f t="shared" si="22"/>
        <v>0</v>
      </c>
      <c r="U165" s="1542">
        <f t="shared" si="23"/>
        <v>0</v>
      </c>
    </row>
    <row r="166" spans="3:21" s="1089" customFormat="1" ht="18" customHeight="1">
      <c r="C166" s="1089">
        <v>1</v>
      </c>
      <c r="D166" s="1538" t="s">
        <v>980</v>
      </c>
      <c r="E166" s="1276" t="s">
        <v>980</v>
      </c>
      <c r="F166" s="1539" t="s">
        <v>1428</v>
      </c>
      <c r="G166" s="1270" t="s">
        <v>981</v>
      </c>
      <c r="H166" s="1835">
        <v>0</v>
      </c>
      <c r="I166" s="1835">
        <v>0</v>
      </c>
      <c r="J166" s="1835">
        <v>0</v>
      </c>
      <c r="K166" s="1835">
        <v>58123</v>
      </c>
      <c r="L166" s="1541">
        <f t="shared" si="21"/>
        <v>58123</v>
      </c>
      <c r="N166" s="1555">
        <f>SUMIF(CF.2!$H$5:$H$25,CF.1!E166,CF.2!$J$5:$J$25)-SUMIF(CF.2!$K$5:$K$25,CF.1!E166,CF.2!$M$5:$M$25)</f>
        <v>0</v>
      </c>
      <c r="O166" s="1540">
        <f>SUMIF(CF.2!$H$31:$H$60,CF.1!E166,CF.2!$J$31:$J$60)+SUMIF(CF.2!$K$31:$K$60,CF.1!E166,CF.2!$M$31:$M$60)</f>
        <v>0</v>
      </c>
      <c r="P166" s="1540">
        <f>SUMIF(CF.2!$H$65:$H$108,CF.1!E166,CF.2!$J$65:$J$108)+SUMIF(CF.2!$K$65:$K$108,CF.1!E166,CF.2!$M$65:$M$108)</f>
        <v>0</v>
      </c>
      <c r="Q166" s="1540">
        <f>SUMIF(CF.2!$H$112:$H$118,CF.1!E166,CF.2!$J$112:$J$118)+SUMIF(CF.2!$K$112:$K$118,CF.1!E166,CF.2!$M$112:$M$118)</f>
        <v>0</v>
      </c>
      <c r="R166" s="1540">
        <f>SUMIF(CF.2!$H$123:$H$134,CF.1!E166,CF.2!$J$123:$J$134)+SUMIF(CF.2!$K$123:$K$134,CF.1!E166,CF.2!$M$123:$M$134)</f>
        <v>0</v>
      </c>
      <c r="S166" s="1541">
        <f t="shared" si="22"/>
        <v>0</v>
      </c>
      <c r="U166" s="1542">
        <f t="shared" si="23"/>
        <v>58123</v>
      </c>
    </row>
    <row r="167" spans="3:21" s="1089" customFormat="1" ht="18" customHeight="1">
      <c r="C167" s="1089">
        <v>1</v>
      </c>
      <c r="D167" s="1538" t="s">
        <v>982</v>
      </c>
      <c r="E167" s="1276" t="s">
        <v>982</v>
      </c>
      <c r="F167" s="1539"/>
      <c r="G167" s="1276" t="s">
        <v>983</v>
      </c>
      <c r="H167" s="1832">
        <v>0</v>
      </c>
      <c r="I167" s="1835">
        <v>0</v>
      </c>
      <c r="J167" s="1835">
        <v>0</v>
      </c>
      <c r="K167" s="1835">
        <v>0</v>
      </c>
      <c r="L167" s="1541">
        <f t="shared" si="21"/>
        <v>0</v>
      </c>
      <c r="N167" s="1555">
        <f>SUMIF(CF.2!$H$5:$H$25,CF.1!E167,CF.2!$J$5:$J$25)-SUMIF(CF.2!$K$5:$K$25,CF.1!E167,CF.2!$M$5:$M$25)</f>
        <v>0</v>
      </c>
      <c r="O167" s="1540">
        <f>SUMIF(CF.2!$H$31:$H$60,CF.1!E167,CF.2!$J$31:$J$60)+SUMIF(CF.2!$K$31:$K$60,CF.1!E167,CF.2!$M$31:$M$60)</f>
        <v>0</v>
      </c>
      <c r="P167" s="1540">
        <f>SUMIF(CF.2!$H$65:$H$108,CF.1!E167,CF.2!$J$65:$J$108)+SUMIF(CF.2!$K$65:$K$108,CF.1!E167,CF.2!$M$65:$M$108)</f>
        <v>0</v>
      </c>
      <c r="Q167" s="1540">
        <f>SUMIF(CF.2!$H$112:$H$118,CF.1!E167,CF.2!$J$112:$J$118)+SUMIF(CF.2!$K$112:$K$118,CF.1!E167,CF.2!$M$112:$M$118)</f>
        <v>0</v>
      </c>
      <c r="R167" s="1540">
        <f>SUMIF(CF.2!$H$123:$H$134,CF.1!E167,CF.2!$J$123:$J$134)+SUMIF(CF.2!$K$123:$K$134,CF.1!E167,CF.2!$M$123:$M$134)</f>
        <v>0</v>
      </c>
      <c r="S167" s="1541">
        <f t="shared" si="22"/>
        <v>0</v>
      </c>
      <c r="U167" s="1542">
        <f t="shared" si="23"/>
        <v>0</v>
      </c>
    </row>
    <row r="168" spans="3:21" s="1089" customFormat="1" ht="18" customHeight="1">
      <c r="C168" s="1089">
        <v>1</v>
      </c>
      <c r="D168" s="1538" t="s">
        <v>984</v>
      </c>
      <c r="E168" s="1276" t="s">
        <v>984</v>
      </c>
      <c r="F168" s="1539"/>
      <c r="G168" s="1276" t="s">
        <v>985</v>
      </c>
      <c r="H168" s="1832">
        <v>0</v>
      </c>
      <c r="I168" s="1835">
        <v>0</v>
      </c>
      <c r="J168" s="1835">
        <v>0</v>
      </c>
      <c r="K168" s="1835">
        <v>0</v>
      </c>
      <c r="L168" s="1541">
        <f t="shared" si="21"/>
        <v>0</v>
      </c>
      <c r="N168" s="1555">
        <f>SUMIF(CF.2!$H$5:$H$25,CF.1!E168,CF.2!$J$5:$J$25)-SUMIF(CF.2!$K$5:$K$25,CF.1!E168,CF.2!$M$5:$M$25)</f>
        <v>0</v>
      </c>
      <c r="O168" s="1540">
        <f>SUMIF(CF.2!$H$31:$H$60,CF.1!E168,CF.2!$J$31:$J$60)+SUMIF(CF.2!$K$31:$K$60,CF.1!E168,CF.2!$M$31:$M$60)</f>
        <v>0</v>
      </c>
      <c r="P168" s="1540">
        <f>SUMIF(CF.2!$H$65:$H$108,CF.1!E168,CF.2!$J$65:$J$108)+SUMIF(CF.2!$K$65:$K$108,CF.1!E168,CF.2!$M$65:$M$108)</f>
        <v>0</v>
      </c>
      <c r="Q168" s="1540">
        <f>SUMIF(CF.2!$H$112:$H$118,CF.1!E168,CF.2!$J$112:$J$118)+SUMIF(CF.2!$K$112:$K$118,CF.1!E168,CF.2!$M$112:$M$118)</f>
        <v>0</v>
      </c>
      <c r="R168" s="1540">
        <f>SUMIF(CF.2!$H$123:$H$134,CF.1!E168,CF.2!$J$123:$J$134)+SUMIF(CF.2!$K$123:$K$134,CF.1!E168,CF.2!$M$123:$M$134)</f>
        <v>0</v>
      </c>
      <c r="S168" s="1541">
        <f t="shared" si="22"/>
        <v>0</v>
      </c>
      <c r="U168" s="1542">
        <f t="shared" si="23"/>
        <v>0</v>
      </c>
    </row>
    <row r="169" spans="3:21" s="1089" customFormat="1" ht="18" customHeight="1">
      <c r="C169" s="1089">
        <v>1</v>
      </c>
      <c r="D169" s="1538" t="s">
        <v>986</v>
      </c>
      <c r="E169" s="1276" t="s">
        <v>986</v>
      </c>
      <c r="F169" s="1539"/>
      <c r="G169" s="1276" t="s">
        <v>987</v>
      </c>
      <c r="H169" s="1832">
        <v>0</v>
      </c>
      <c r="I169" s="1835">
        <v>0</v>
      </c>
      <c r="J169" s="1835">
        <v>0</v>
      </c>
      <c r="K169" s="1835">
        <v>0</v>
      </c>
      <c r="L169" s="1541">
        <f t="shared" si="21"/>
        <v>0</v>
      </c>
      <c r="N169" s="1555">
        <f>SUMIF(CF.2!$H$5:$H$25,CF.1!E169,CF.2!$J$5:$J$25)-SUMIF(CF.2!$K$5:$K$25,CF.1!E169,CF.2!$M$5:$M$25)</f>
        <v>0</v>
      </c>
      <c r="O169" s="1540">
        <f>SUMIF(CF.2!$H$31:$H$60,CF.1!E169,CF.2!$J$31:$J$60)+SUMIF(CF.2!$K$31:$K$60,CF.1!E169,CF.2!$M$31:$M$60)</f>
        <v>0</v>
      </c>
      <c r="P169" s="1540">
        <f>SUMIF(CF.2!$H$65:$H$108,CF.1!E169,CF.2!$J$65:$J$108)+SUMIF(CF.2!$K$65:$K$108,CF.1!E169,CF.2!$M$65:$M$108)</f>
        <v>0</v>
      </c>
      <c r="Q169" s="1540">
        <f>SUMIF(CF.2!$H$112:$H$118,CF.1!E169,CF.2!$J$112:$J$118)+SUMIF(CF.2!$K$112:$K$118,CF.1!E169,CF.2!$M$112:$M$118)</f>
        <v>0</v>
      </c>
      <c r="R169" s="1540">
        <f>SUMIF(CF.2!$H$123:$H$134,CF.1!E169,CF.2!$J$123:$J$134)+SUMIF(CF.2!$K$123:$K$134,CF.1!E169,CF.2!$M$123:$M$134)</f>
        <v>0</v>
      </c>
      <c r="S169" s="1541">
        <f t="shared" si="22"/>
        <v>0</v>
      </c>
      <c r="U169" s="1542">
        <f t="shared" si="23"/>
        <v>0</v>
      </c>
    </row>
    <row r="170" spans="3:21" s="1089" customFormat="1" ht="18" customHeight="1">
      <c r="C170" s="1089">
        <v>1</v>
      </c>
      <c r="D170" s="1538" t="s">
        <v>988</v>
      </c>
      <c r="E170" s="1276" t="s">
        <v>988</v>
      </c>
      <c r="F170" s="1539"/>
      <c r="G170" s="1276" t="s">
        <v>989</v>
      </c>
      <c r="H170" s="1832">
        <v>0</v>
      </c>
      <c r="I170" s="1835">
        <v>0</v>
      </c>
      <c r="J170" s="1835">
        <v>0</v>
      </c>
      <c r="K170" s="1835">
        <v>0</v>
      </c>
      <c r="L170" s="1541">
        <f t="shared" si="21"/>
        <v>0</v>
      </c>
      <c r="N170" s="1555">
        <f>SUMIF(CF.2!$H$5:$H$25,CF.1!E170,CF.2!$J$5:$J$25)-SUMIF(CF.2!$K$5:$K$25,CF.1!E170,CF.2!$M$5:$M$25)</f>
        <v>0</v>
      </c>
      <c r="O170" s="1540">
        <f>SUMIF(CF.2!$H$31:$H$60,CF.1!E170,CF.2!$J$31:$J$60)+SUMIF(CF.2!$K$31:$K$60,CF.1!E170,CF.2!$M$31:$M$60)</f>
        <v>0</v>
      </c>
      <c r="P170" s="1540">
        <f>SUMIF(CF.2!$H$65:$H$108,CF.1!E170,CF.2!$J$65:$J$108)+SUMIF(CF.2!$K$65:$K$108,CF.1!E170,CF.2!$M$65:$M$108)</f>
        <v>0</v>
      </c>
      <c r="Q170" s="1540">
        <f>SUMIF(CF.2!$H$112:$H$118,CF.1!E170,CF.2!$J$112:$J$118)+SUMIF(CF.2!$K$112:$K$118,CF.1!E170,CF.2!$M$112:$M$118)</f>
        <v>0</v>
      </c>
      <c r="R170" s="1540">
        <f>SUMIF(CF.2!$H$123:$H$134,CF.1!E170,CF.2!$J$123:$J$134)+SUMIF(CF.2!$K$123:$K$134,CF.1!E170,CF.2!$M$123:$M$134)</f>
        <v>0</v>
      </c>
      <c r="S170" s="1541">
        <f t="shared" si="22"/>
        <v>0</v>
      </c>
      <c r="U170" s="1542">
        <f t="shared" si="23"/>
        <v>0</v>
      </c>
    </row>
    <row r="171" spans="3:21" s="1089" customFormat="1" ht="18" customHeight="1">
      <c r="C171" s="1089">
        <v>1</v>
      </c>
      <c r="D171" s="1538" t="s">
        <v>990</v>
      </c>
      <c r="E171" s="1276" t="s">
        <v>990</v>
      </c>
      <c r="F171" s="1539"/>
      <c r="G171" s="1276" t="s">
        <v>991</v>
      </c>
      <c r="H171" s="1832">
        <v>0</v>
      </c>
      <c r="I171" s="1835">
        <v>0</v>
      </c>
      <c r="J171" s="1835">
        <v>0</v>
      </c>
      <c r="K171" s="1835">
        <v>0</v>
      </c>
      <c r="L171" s="1541">
        <f t="shared" si="21"/>
        <v>0</v>
      </c>
      <c r="N171" s="1555">
        <f>SUMIF(CF.2!$H$5:$H$25,CF.1!E171,CF.2!$J$5:$J$25)-SUMIF(CF.2!$K$5:$K$25,CF.1!E171,CF.2!$M$5:$M$25)</f>
        <v>0</v>
      </c>
      <c r="O171" s="1540">
        <f>SUMIF(CF.2!$H$31:$H$60,CF.1!E171,CF.2!$J$31:$J$60)+SUMIF(CF.2!$K$31:$K$60,CF.1!E171,CF.2!$M$31:$M$60)</f>
        <v>0</v>
      </c>
      <c r="P171" s="1540">
        <f>SUMIF(CF.2!$H$65:$H$108,CF.1!E171,CF.2!$J$65:$J$108)+SUMIF(CF.2!$K$65:$K$108,CF.1!E171,CF.2!$M$65:$M$108)</f>
        <v>0</v>
      </c>
      <c r="Q171" s="1540">
        <f>SUMIF(CF.2!$H$112:$H$118,CF.1!E171,CF.2!$J$112:$J$118)+SUMIF(CF.2!$K$112:$K$118,CF.1!E171,CF.2!$M$112:$M$118)</f>
        <v>0</v>
      </c>
      <c r="R171" s="1540">
        <f>SUMIF(CF.2!$H$123:$H$134,CF.1!E171,CF.2!$J$123:$J$134)+SUMIF(CF.2!$K$123:$K$134,CF.1!E171,CF.2!$M$123:$M$134)</f>
        <v>0</v>
      </c>
      <c r="S171" s="1541">
        <f t="shared" si="22"/>
        <v>0</v>
      </c>
      <c r="U171" s="1542">
        <f t="shared" si="23"/>
        <v>0</v>
      </c>
    </row>
    <row r="172" spans="3:21" s="1089" customFormat="1" ht="18" customHeight="1">
      <c r="C172" s="1089">
        <v>1</v>
      </c>
      <c r="D172" s="1538" t="s">
        <v>992</v>
      </c>
      <c r="E172" s="1276" t="s">
        <v>992</v>
      </c>
      <c r="F172" s="1539"/>
      <c r="G172" s="1276" t="s">
        <v>993</v>
      </c>
      <c r="H172" s="1832">
        <v>0</v>
      </c>
      <c r="I172" s="1835">
        <v>0</v>
      </c>
      <c r="J172" s="1835">
        <v>0</v>
      </c>
      <c r="K172" s="1835">
        <v>0</v>
      </c>
      <c r="L172" s="1541">
        <f t="shared" si="21"/>
        <v>0</v>
      </c>
      <c r="N172" s="1555">
        <f>SUMIF(CF.2!$H$5:$H$25,CF.1!E172,CF.2!$J$5:$J$25)-SUMIF(CF.2!$K$5:$K$25,CF.1!E172,CF.2!$M$5:$M$25)</f>
        <v>0</v>
      </c>
      <c r="O172" s="1540">
        <f>SUMIF(CF.2!$H$31:$H$60,CF.1!E172,CF.2!$J$31:$J$60)+SUMIF(CF.2!$K$31:$K$60,CF.1!E172,CF.2!$M$31:$M$60)</f>
        <v>0</v>
      </c>
      <c r="P172" s="1540">
        <f>SUMIF(CF.2!$H$65:$H$108,CF.1!E172,CF.2!$J$65:$J$108)+SUMIF(CF.2!$K$65:$K$108,CF.1!E172,CF.2!$M$65:$M$108)</f>
        <v>0</v>
      </c>
      <c r="Q172" s="1540">
        <f>SUMIF(CF.2!$H$112:$H$118,CF.1!E172,CF.2!$J$112:$J$118)+SUMIF(CF.2!$K$112:$K$118,CF.1!E172,CF.2!$M$112:$M$118)</f>
        <v>0</v>
      </c>
      <c r="R172" s="1540">
        <f>SUMIF(CF.2!$H$123:$H$134,CF.1!E172,CF.2!$J$123:$J$134)+SUMIF(CF.2!$K$123:$K$134,CF.1!E172,CF.2!$M$123:$M$134)</f>
        <v>0</v>
      </c>
      <c r="S172" s="1541">
        <f t="shared" si="22"/>
        <v>0</v>
      </c>
      <c r="U172" s="1542">
        <f t="shared" si="23"/>
        <v>0</v>
      </c>
    </row>
    <row r="173" spans="3:21" s="1089" customFormat="1" ht="18" customHeight="1">
      <c r="C173" s="1089">
        <v>1</v>
      </c>
      <c r="D173" s="1538" t="s">
        <v>994</v>
      </c>
      <c r="E173" s="1276" t="s">
        <v>994</v>
      </c>
      <c r="F173" s="1539" t="s">
        <v>1424</v>
      </c>
      <c r="G173" s="1276" t="s">
        <v>995</v>
      </c>
      <c r="H173" s="1832">
        <v>19882908</v>
      </c>
      <c r="I173" s="1832">
        <v>0</v>
      </c>
      <c r="J173" s="1835">
        <v>0</v>
      </c>
      <c r="K173" s="1835">
        <v>0</v>
      </c>
      <c r="L173" s="1541">
        <f t="shared" si="21"/>
        <v>19882908</v>
      </c>
      <c r="N173" s="1555">
        <f>SUMIF(CF.2!$H$5:$H$25,CF.1!E173,CF.2!$J$5:$J$25)-SUMIF(CF.2!$K$5:$K$25,CF.1!E173,CF.2!$M$5:$M$25)</f>
        <v>0</v>
      </c>
      <c r="O173" s="1540">
        <f>SUMIF(CF.2!$H$31:$H$60,CF.1!E173,CF.2!$J$31:$J$60)+SUMIF(CF.2!$K$31:$K$60,CF.1!E173,CF.2!$M$31:$M$60)</f>
        <v>0</v>
      </c>
      <c r="P173" s="1540">
        <f>SUMIF(CF.2!$H$65:$H$108,CF.1!E173,CF.2!$J$65:$J$108)+SUMIF(CF.2!$K$65:$K$108,CF.1!E173,CF.2!$M$65:$M$108)</f>
        <v>0</v>
      </c>
      <c r="Q173" s="1540">
        <f>SUMIF(CF.2!$H$112:$H$118,CF.1!E173,CF.2!$J$112:$J$118)+SUMIF(CF.2!$K$112:$K$118,CF.1!E173,CF.2!$M$112:$M$118)</f>
        <v>0</v>
      </c>
      <c r="R173" s="1540">
        <f>SUMIF(CF.2!$H$123:$H$134,CF.1!E173,CF.2!$J$123:$J$134)+SUMIF(CF.2!$K$123:$K$134,CF.1!E173,CF.2!$M$123:$M$134)</f>
        <v>0</v>
      </c>
      <c r="S173" s="1541">
        <f t="shared" si="22"/>
        <v>0</v>
      </c>
      <c r="U173" s="1542">
        <f t="shared" si="23"/>
        <v>19882908</v>
      </c>
    </row>
    <row r="174" spans="3:21" ht="18" customHeight="1">
      <c r="C174" s="1364">
        <v>1</v>
      </c>
      <c r="D174" s="1546" t="s">
        <v>996</v>
      </c>
      <c r="E174" s="1506" t="s">
        <v>996</v>
      </c>
      <c r="F174" s="1533"/>
      <c r="G174" s="1506" t="s">
        <v>997</v>
      </c>
      <c r="H174" s="1833">
        <v>0</v>
      </c>
      <c r="I174" s="1834">
        <v>0</v>
      </c>
      <c r="J174" s="1834">
        <v>0</v>
      </c>
      <c r="K174" s="1834">
        <v>0</v>
      </c>
      <c r="L174" s="1535">
        <f t="shared" si="21"/>
        <v>0</v>
      </c>
      <c r="N174" s="1536">
        <f>SUMIF(CF.2!$H$5:$H$25,CF.1!E174,CF.2!$J$5:$J$25)-SUMIF(CF.2!$K$5:$K$25,CF.1!E174,CF.2!$M$5:$M$25)</f>
        <v>0</v>
      </c>
      <c r="O174" s="1534">
        <f>SUMIF(CF.2!$H$31:$H$60,CF.1!E174,CF.2!$J$31:$J$60)+SUMIF(CF.2!$K$31:$K$60,CF.1!E174,CF.2!$M$31:$M$60)</f>
        <v>0</v>
      </c>
      <c r="P174" s="1534">
        <f>SUMIF(CF.2!$H$65:$H$108,CF.1!E174,CF.2!$J$65:$J$108)+SUMIF(CF.2!$K$65:$K$108,CF.1!E174,CF.2!$M$65:$M$108)</f>
        <v>0</v>
      </c>
      <c r="Q174" s="1534">
        <f>SUMIF(CF.2!$H$112:$H$118,CF.1!E174,CF.2!$J$112:$J$118)+SUMIF(CF.2!$K$112:$K$118,CF.1!E174,CF.2!$M$112:$M$118)</f>
        <v>0</v>
      </c>
      <c r="R174" s="1534">
        <f>SUMIF(CF.2!$H$123:$H$134,CF.1!E174,CF.2!$J$123:$J$134)+SUMIF(CF.2!$K$123:$K$134,CF.1!E174,CF.2!$M$123:$M$134)</f>
        <v>0</v>
      </c>
      <c r="S174" s="1535">
        <f t="shared" si="22"/>
        <v>0</v>
      </c>
      <c r="U174" s="1537">
        <f t="shared" si="23"/>
        <v>0</v>
      </c>
    </row>
    <row r="175" spans="3:21" ht="18" customHeight="1">
      <c r="C175" s="1364">
        <v>1</v>
      </c>
      <c r="D175" s="1546" t="s">
        <v>992</v>
      </c>
      <c r="E175" s="1506" t="s">
        <v>998</v>
      </c>
      <c r="F175" s="1533" t="s">
        <v>1428</v>
      </c>
      <c r="G175" s="1506" t="s">
        <v>999</v>
      </c>
      <c r="H175" s="1833">
        <v>-36452205</v>
      </c>
      <c r="I175" s="1834">
        <v>0</v>
      </c>
      <c r="J175" s="1834">
        <v>0</v>
      </c>
      <c r="K175" s="1834">
        <v>0</v>
      </c>
      <c r="L175" s="1535">
        <f t="shared" si="21"/>
        <v>-36452205</v>
      </c>
      <c r="N175" s="1536">
        <f>SUMIF(CF.2!$H$5:$H$25,CF.1!E175,CF.2!$J$5:$J$25)-SUMIF(CF.2!$K$5:$K$25,CF.1!E175,CF.2!$M$5:$M$25)</f>
        <v>0</v>
      </c>
      <c r="O175" s="1534">
        <f>SUMIF(CF.2!$H$31:$H$60,CF.1!E175,CF.2!$J$31:$J$60)+SUMIF(CF.2!$K$31:$K$60,CF.1!E175,CF.2!$M$31:$M$60)</f>
        <v>0</v>
      </c>
      <c r="P175" s="1534">
        <f>SUMIF(CF.2!$H$65:$H$108,CF.1!E175,CF.2!$J$65:$J$108)+SUMIF(CF.2!$K$65:$K$108,CF.1!E175,CF.2!$M$65:$M$108)</f>
        <v>-919178</v>
      </c>
      <c r="Q175" s="1534">
        <f>SUMIF(CF.2!$H$112:$H$118,CF.1!E175,CF.2!$J$112:$J$118)+SUMIF(CF.2!$K$112:$K$118,CF.1!E175,CF.2!$M$112:$M$118)</f>
        <v>0</v>
      </c>
      <c r="R175" s="1534">
        <f>SUMIF(CF.2!$H$123:$H$134,CF.1!E175,CF.2!$J$123:$J$134)+SUMIF(CF.2!$K$123:$K$134,CF.1!E175,CF.2!$M$123:$M$134)</f>
        <v>0</v>
      </c>
      <c r="S175" s="1535">
        <f t="shared" si="22"/>
        <v>-919178</v>
      </c>
      <c r="U175" s="1537">
        <f t="shared" si="23"/>
        <v>-37371383</v>
      </c>
    </row>
    <row r="176" spans="3:21" ht="18" customHeight="1">
      <c r="C176" s="1364">
        <v>1</v>
      </c>
      <c r="D176" s="1532" t="s">
        <v>1000</v>
      </c>
      <c r="E176" s="1506" t="s">
        <v>1000</v>
      </c>
      <c r="F176" s="1533"/>
      <c r="G176" s="1506" t="s">
        <v>1001</v>
      </c>
      <c r="H176" s="1833">
        <v>0</v>
      </c>
      <c r="I176" s="1834">
        <v>0</v>
      </c>
      <c r="J176" s="1834">
        <v>0</v>
      </c>
      <c r="K176" s="1834">
        <v>0</v>
      </c>
      <c r="L176" s="1535">
        <f t="shared" si="21"/>
        <v>0</v>
      </c>
      <c r="N176" s="1536">
        <f>SUMIF(CF.2!$H$5:$H$25,CF.1!E176,CF.2!$J$5:$J$25)-SUMIF(CF.2!$K$5:$K$25,CF.1!E176,CF.2!$M$5:$M$25)</f>
        <v>0</v>
      </c>
      <c r="O176" s="1534">
        <f>SUMIF(CF.2!$H$31:$H$60,CF.1!E176,CF.2!$J$31:$J$60)+SUMIF(CF.2!$K$31:$K$60,CF.1!E176,CF.2!$M$31:$M$60)</f>
        <v>0</v>
      </c>
      <c r="P176" s="1534">
        <f>SUMIF(CF.2!$H$65:$H$108,CF.1!E176,CF.2!$J$65:$J$108)+SUMIF(CF.2!$K$65:$K$108,CF.1!E176,CF.2!$M$65:$M$108)</f>
        <v>0</v>
      </c>
      <c r="Q176" s="1534">
        <f>SUMIF(CF.2!$H$112:$H$118,CF.1!E176,CF.2!$J$112:$J$118)+SUMIF(CF.2!$K$112:$K$118,CF.1!E176,CF.2!$M$112:$M$118)</f>
        <v>0</v>
      </c>
      <c r="R176" s="1534">
        <f>SUMIF(CF.2!$H$123:$H$134,CF.1!E176,CF.2!$J$123:$J$134)+SUMIF(CF.2!$K$123:$K$134,CF.1!E176,CF.2!$M$123:$M$134)</f>
        <v>0</v>
      </c>
      <c r="S176" s="1535">
        <f t="shared" si="22"/>
        <v>0</v>
      </c>
      <c r="U176" s="1537">
        <f t="shared" si="23"/>
        <v>0</v>
      </c>
    </row>
    <row r="177" spans="3:22" ht="18" customHeight="1">
      <c r="C177" s="1364">
        <v>1</v>
      </c>
      <c r="D177" s="1525" t="s">
        <v>1002</v>
      </c>
      <c r="E177" s="1526" t="s">
        <v>1002</v>
      </c>
      <c r="F177" s="1527"/>
      <c r="G177" s="1526" t="s">
        <v>1003</v>
      </c>
      <c r="H177" s="1831">
        <f>SUM(H178:H182)</f>
        <v>1057564235</v>
      </c>
      <c r="I177" s="1831">
        <f>SUM(I178:I182)</f>
        <v>-98779046</v>
      </c>
      <c r="J177" s="1831">
        <f>SUM(J178:J182)</f>
        <v>-372693</v>
      </c>
      <c r="K177" s="1831">
        <f>SUM(K178:K182)</f>
        <v>-23837271</v>
      </c>
      <c r="L177" s="1529">
        <f>SUM(L178:L182)</f>
        <v>934575225</v>
      </c>
      <c r="N177" s="1530">
        <f t="shared" ref="N177:S177" si="24">SUM(N178:N182)</f>
        <v>0</v>
      </c>
      <c r="O177" s="1528">
        <f t="shared" si="24"/>
        <v>0</v>
      </c>
      <c r="P177" s="1528">
        <f t="shared" si="24"/>
        <v>0</v>
      </c>
      <c r="Q177" s="1528">
        <f t="shared" si="24"/>
        <v>0</v>
      </c>
      <c r="R177" s="1528">
        <f t="shared" si="24"/>
        <v>0</v>
      </c>
      <c r="S177" s="1529">
        <f t="shared" si="24"/>
        <v>0</v>
      </c>
      <c r="U177" s="1531">
        <f>SUM(U178:U182)</f>
        <v>934575225</v>
      </c>
    </row>
    <row r="178" spans="3:22" ht="18" customHeight="1">
      <c r="C178" s="1364">
        <v>1</v>
      </c>
      <c r="D178" s="1532" t="s">
        <v>1004</v>
      </c>
      <c r="E178" s="1506" t="s">
        <v>1004</v>
      </c>
      <c r="F178" s="1533"/>
      <c r="G178" s="1506" t="s">
        <v>1005</v>
      </c>
      <c r="H178" s="1833">
        <v>0</v>
      </c>
      <c r="I178" s="1834">
        <v>0</v>
      </c>
      <c r="J178" s="1834">
        <v>0</v>
      </c>
      <c r="K178" s="1834">
        <v>0</v>
      </c>
      <c r="L178" s="1535">
        <f>SUM(H178:K178)</f>
        <v>0</v>
      </c>
      <c r="N178" s="1536">
        <f>SUMIF(CF.2!$H$5:$H$25,CF.1!E178,CF.2!$J$5:$J$25)-SUMIF(CF.2!$K$5:$K$25,CF.1!E178,CF.2!$M$5:$M$25)</f>
        <v>0</v>
      </c>
      <c r="O178" s="1534">
        <f>SUMIF(CF.2!$H$31:$H$60,CF.1!E178,CF.2!$J$31:$J$60)+SUMIF(CF.2!$K$31:$K$60,CF.1!E178,CF.2!$M$31:$M$60)</f>
        <v>0</v>
      </c>
      <c r="P178" s="1534">
        <f>SUMIF(CF.2!$H$65:$H$108,CF.1!E178,CF.2!$J$65:$J$108)+SUMIF(CF.2!$K$65:$K$108,CF.1!E178,CF.2!$M$65:$M$108)</f>
        <v>0</v>
      </c>
      <c r="Q178" s="1534">
        <f>SUMIF(CF.2!$H$112:$H$118,CF.1!E178,CF.2!$J$112:$J$118)+SUMIF(CF.2!$K$112:$K$118,CF.1!E178,CF.2!$M$112:$M$118)</f>
        <v>0</v>
      </c>
      <c r="R178" s="1534">
        <f>SUMIF(CF.2!$H$123:$H$134,CF.1!E178,CF.2!$J$123:$J$134)+SUMIF(CF.2!$K$123:$K$134,CF.1!E178,CF.2!$M$123:$M$134)</f>
        <v>0</v>
      </c>
      <c r="S178" s="1535">
        <f>SUM(N178:R178)</f>
        <v>0</v>
      </c>
      <c r="U178" s="1537">
        <f>ROUND(S178+L178,0)</f>
        <v>0</v>
      </c>
    </row>
    <row r="179" spans="3:22" ht="18" customHeight="1">
      <c r="C179" s="1364">
        <v>1</v>
      </c>
      <c r="D179" s="1532" t="s">
        <v>1006</v>
      </c>
      <c r="E179" s="1506" t="s">
        <v>1006</v>
      </c>
      <c r="F179" s="1533" t="s">
        <v>1007</v>
      </c>
      <c r="G179" s="1506" t="s">
        <v>1007</v>
      </c>
      <c r="H179" s="1833">
        <v>1575491687</v>
      </c>
      <c r="I179" s="1833">
        <v>589160</v>
      </c>
      <c r="J179" s="1834"/>
      <c r="K179" s="1834">
        <v>396517</v>
      </c>
      <c r="L179" s="1535">
        <f>SUM(H179:K179)</f>
        <v>1576477364</v>
      </c>
      <c r="N179" s="1536">
        <f>SUMIF(CF.2!$H$5:$H$25,CF.1!E179,CF.2!$J$5:$J$25)-SUMIF(CF.2!$K$5:$K$25,CF.1!E179,CF.2!$M$5:$M$25)</f>
        <v>0</v>
      </c>
      <c r="O179" s="1534">
        <f>SUMIF(CF.2!$H$31:$H$60,CF.1!E179,CF.2!$J$31:$J$60)+SUMIF(CF.2!$K$31:$K$60,CF.1!E179,CF.2!$M$31:$M$60)</f>
        <v>0</v>
      </c>
      <c r="P179" s="1534">
        <f>SUMIF(CF.2!$H$65:$H$108,CF.1!E179,CF.2!$J$65:$J$108)+SUMIF(CF.2!$K$65:$K$108,CF.1!E179,CF.2!$M$65:$M$108)</f>
        <v>-90698630.1369863</v>
      </c>
      <c r="Q179" s="1534">
        <f>SUMIF(CF.2!$H$112:$H$118,CF.1!E179,CF.2!$J$112:$J$118)+SUMIF(CF.2!$K$112:$K$118,CF.1!E179,CF.2!$M$112:$M$118)</f>
        <v>0</v>
      </c>
      <c r="R179" s="1534">
        <f>SUMIF(CF.2!$H$123:$H$134,CF.1!E179,CF.2!$J$123:$J$134)+SUMIF(CF.2!$K$123:$K$134,CF.1!E179,CF.2!$M$123:$M$134)</f>
        <v>0</v>
      </c>
      <c r="S179" s="1535">
        <f>SUM(N179:R179)</f>
        <v>-90698630.1369863</v>
      </c>
      <c r="U179" s="1537">
        <f>ROUND(S179+L179,0)</f>
        <v>1485778734</v>
      </c>
    </row>
    <row r="180" spans="3:22" ht="18" customHeight="1">
      <c r="C180" s="1364">
        <v>1</v>
      </c>
      <c r="D180" s="1532" t="s">
        <v>1008</v>
      </c>
      <c r="E180" s="1506" t="s">
        <v>1008</v>
      </c>
      <c r="F180" s="1533" t="s">
        <v>1009</v>
      </c>
      <c r="G180" s="1506" t="s">
        <v>1009</v>
      </c>
      <c r="H180" s="1833">
        <v>-140061652</v>
      </c>
      <c r="I180" s="1833">
        <v>-99393496</v>
      </c>
      <c r="J180" s="1834">
        <v>-372693</v>
      </c>
      <c r="K180" s="1834">
        <v>-20086766</v>
      </c>
      <c r="L180" s="1535">
        <f>SUM(H180:K180)</f>
        <v>-259914607</v>
      </c>
      <c r="N180" s="1536">
        <f>SUMIF(CF.2!$H$5:$H$25,CF.1!E180,CF.2!$J$5:$J$25)-SUMIF(CF.2!$K$5:$K$25,CF.1!E180,CF.2!$M$5:$M$25)</f>
        <v>0</v>
      </c>
      <c r="O180" s="1534">
        <f>SUMIF(CF.2!$H$31:$H$60,CF.1!E180,CF.2!$J$31:$J$60)+SUMIF(CF.2!$K$31:$K$60,CF.1!E180,CF.2!$M$31:$M$60)</f>
        <v>0</v>
      </c>
      <c r="P180" s="1534">
        <f>SUMIF(CF.2!$H$65:$H$108,CF.1!E180,CF.2!$J$65:$J$108)+SUMIF(CF.2!$K$65:$K$108,CF.1!E180,CF.2!$M$65:$M$108)</f>
        <v>90698630.1369863</v>
      </c>
      <c r="Q180" s="1534">
        <f>SUMIF(CF.2!$H$112:$H$118,CF.1!E180,CF.2!$J$112:$J$118)+SUMIF(CF.2!$K$112:$K$118,CF.1!E180,CF.2!$M$112:$M$118)</f>
        <v>0</v>
      </c>
      <c r="R180" s="1534">
        <f>SUMIF(CF.2!$H$123:$H$134,CF.1!E180,CF.2!$J$123:$J$134)+SUMIF(CF.2!$K$123:$K$134,CF.1!E180,CF.2!$M$123:$M$134)</f>
        <v>0</v>
      </c>
      <c r="S180" s="1535">
        <f>SUM(N180:R180)</f>
        <v>90698630.1369863</v>
      </c>
      <c r="U180" s="1542">
        <f>ROUND(S180+L180,0)</f>
        <v>-169215977</v>
      </c>
      <c r="V180" s="1364" t="e">
        <f>U180=-T_IS!X90+T_IS!K90+#REF!</f>
        <v>#REF!</v>
      </c>
    </row>
    <row r="181" spans="3:22" ht="18" customHeight="1">
      <c r="C181" s="1364">
        <v>1</v>
      </c>
      <c r="D181" s="1532" t="s">
        <v>1010</v>
      </c>
      <c r="E181" s="1506" t="s">
        <v>1010</v>
      </c>
      <c r="F181" s="1533" t="s">
        <v>1011</v>
      </c>
      <c r="G181" s="1506" t="s">
        <v>1011</v>
      </c>
      <c r="H181" s="1833">
        <v>0</v>
      </c>
      <c r="I181" s="1833">
        <v>25290</v>
      </c>
      <c r="J181" s="1834">
        <v>0</v>
      </c>
      <c r="K181" s="1834">
        <v>0</v>
      </c>
      <c r="L181" s="1535">
        <f>SUM(H181:K181)</f>
        <v>25290</v>
      </c>
      <c r="N181" s="1536">
        <f>SUMIF(CF.2!$H$5:$H$25,CF.1!E181,CF.2!$J$5:$J$25)-SUMIF(CF.2!$K$5:$K$25,CF.1!E181,CF.2!$M$5:$M$25)</f>
        <v>0</v>
      </c>
      <c r="O181" s="1534">
        <f>SUMIF(CF.2!$H$31:$H$60,CF.1!E181,CF.2!$J$31:$J$60)+SUMIF(CF.2!$K$31:$K$60,CF.1!E181,CF.2!$M$31:$M$60)</f>
        <v>0</v>
      </c>
      <c r="P181" s="1534">
        <f>SUMIF(CF.2!$H$65:$H$108,CF.1!E181,CF.2!$J$65:$J$108)+SUMIF(CF.2!$K$65:$K$108,CF.1!E181,CF.2!$M$65:$M$108)</f>
        <v>0</v>
      </c>
      <c r="Q181" s="1534">
        <f>SUMIF(CF.2!$H$112:$H$118,CF.1!E181,CF.2!$J$112:$J$118)+SUMIF(CF.2!$K$112:$K$118,CF.1!E181,CF.2!$M$112:$M$118)</f>
        <v>0</v>
      </c>
      <c r="R181" s="1534">
        <f>SUMIF(CF.2!$H$123:$H$134,CF.1!E181,CF.2!$J$123:$J$134)+SUMIF(CF.2!$K$123:$K$134,CF.1!E181,CF.2!$M$123:$M$134)</f>
        <v>56374</v>
      </c>
      <c r="S181" s="1535">
        <f>SUM(N181:R181)</f>
        <v>56374</v>
      </c>
      <c r="U181" s="1537">
        <f>IF(ROUND(SUM(S181:S182,L181:L182),)&lt;0,ROUND(SUM(S181:S182,L181:L182),),0)</f>
        <v>-381987532</v>
      </c>
    </row>
    <row r="182" spans="3:22" ht="18" customHeight="1">
      <c r="C182" s="1364">
        <v>1</v>
      </c>
      <c r="D182" s="1532" t="s">
        <v>1012</v>
      </c>
      <c r="E182" s="1506" t="s">
        <v>1012</v>
      </c>
      <c r="F182" s="1533" t="s">
        <v>1011</v>
      </c>
      <c r="G182" s="1506" t="s">
        <v>1013</v>
      </c>
      <c r="H182" s="1833">
        <v>-377865800</v>
      </c>
      <c r="I182" s="1834">
        <v>0</v>
      </c>
      <c r="J182" s="1834">
        <v>0</v>
      </c>
      <c r="K182" s="1834">
        <v>-4147022</v>
      </c>
      <c r="L182" s="1535">
        <f>SUM(H182:K182)</f>
        <v>-382012822</v>
      </c>
      <c r="N182" s="1536">
        <f>SUMIF(CF.2!$H$5:$H$25,CF.1!E182,CF.2!$J$5:$J$25)-SUMIF(CF.2!$K$5:$K$25,CF.1!E182,CF.2!$M$5:$M$25)</f>
        <v>0</v>
      </c>
      <c r="O182" s="1534">
        <f>SUMIF(CF.2!$H$31:$H$60,CF.1!E182,CF.2!$J$31:$J$60)+SUMIF(CF.2!$K$31:$K$60,CF.1!E182,CF.2!$M$31:$M$60)</f>
        <v>0</v>
      </c>
      <c r="P182" s="1534">
        <f>SUMIF(CF.2!$H$65:$H$108,CF.1!E182,CF.2!$J$65:$J$108)+SUMIF(CF.2!$K$65:$K$108,CF.1!E182,CF.2!$M$65:$M$108)</f>
        <v>0</v>
      </c>
      <c r="Q182" s="1534">
        <f>SUMIF(CF.2!$H$112:$H$118,CF.1!E182,CF.2!$J$112:$J$118)+SUMIF(CF.2!$K$112:$K$118,CF.1!E182,CF.2!$M$112:$M$118)</f>
        <v>0</v>
      </c>
      <c r="R182" s="1534">
        <f>SUMIF(CF.2!$H$123:$H$134,CF.1!E182,CF.2!$J$123:$J$134)+SUMIF(CF.2!$K$123:$K$134,CF.1!E182,CF.2!$M$123:$M$134)</f>
        <v>-56374</v>
      </c>
      <c r="S182" s="1535">
        <f>SUM(N182:R182)</f>
        <v>-56374</v>
      </c>
      <c r="U182" s="1537">
        <f>IF(ROUND(SUM(S181:S182,L181:L182),)&gt;0,ROUND(SUM(S181:S182,L181:L182),),0)</f>
        <v>0</v>
      </c>
    </row>
    <row r="183" spans="3:22" ht="18" customHeight="1">
      <c r="C183" s="1364">
        <v>1</v>
      </c>
      <c r="D183" s="1525" t="s">
        <v>1014</v>
      </c>
      <c r="E183" s="1526" t="s">
        <v>1014</v>
      </c>
      <c r="F183" s="1527"/>
      <c r="G183" s="1526" t="s">
        <v>1015</v>
      </c>
      <c r="H183" s="1831">
        <f>H184+H242</f>
        <v>-3089831484</v>
      </c>
      <c r="I183" s="1831">
        <f>I184+I242</f>
        <v>-13228181</v>
      </c>
      <c r="J183" s="1831">
        <f>J184+J242</f>
        <v>0</v>
      </c>
      <c r="K183" s="1831">
        <f>K184+K242</f>
        <v>283852636</v>
      </c>
      <c r="L183" s="1529">
        <f>L184+L242</f>
        <v>-2819207029</v>
      </c>
      <c r="N183" s="1530">
        <f t="shared" ref="N183:S183" si="25">N184+N242</f>
        <v>0</v>
      </c>
      <c r="O183" s="1528">
        <f t="shared" si="25"/>
        <v>0</v>
      </c>
      <c r="P183" s="1528">
        <f t="shared" si="25"/>
        <v>499950000</v>
      </c>
      <c r="Q183" s="1528">
        <f t="shared" si="25"/>
        <v>0</v>
      </c>
      <c r="R183" s="1528">
        <f t="shared" si="25"/>
        <v>-216671</v>
      </c>
      <c r="S183" s="1529">
        <f t="shared" si="25"/>
        <v>499733329</v>
      </c>
      <c r="U183" s="1531">
        <f>U184+U242</f>
        <v>-2319473700</v>
      </c>
      <c r="V183" s="1364" t="b">
        <f>U183=U184+U242</f>
        <v>1</v>
      </c>
    </row>
    <row r="184" spans="3:22" ht="18" customHeight="1">
      <c r="C184" s="1364">
        <v>1</v>
      </c>
      <c r="D184" s="1525" t="s">
        <v>1016</v>
      </c>
      <c r="E184" s="1526" t="s">
        <v>1016</v>
      </c>
      <c r="F184" s="1527"/>
      <c r="G184" s="1526" t="s">
        <v>1017</v>
      </c>
      <c r="H184" s="1831">
        <f>SUM(H185:H241)</f>
        <v>25708833034</v>
      </c>
      <c r="I184" s="1831">
        <f>SUM(I185:I241)</f>
        <v>0</v>
      </c>
      <c r="J184" s="1831">
        <f>SUM(J185:J241)</f>
        <v>0</v>
      </c>
      <c r="K184" s="1831">
        <f>SUM(K185:K241)</f>
        <v>297306000</v>
      </c>
      <c r="L184" s="1529">
        <f>SUM(L185:L241)</f>
        <v>26006139034</v>
      </c>
      <c r="N184" s="1530">
        <f t="shared" ref="N184:S184" si="26">SUM(N185:N241)</f>
        <v>0</v>
      </c>
      <c r="O184" s="1528">
        <f t="shared" si="26"/>
        <v>0</v>
      </c>
      <c r="P184" s="1528">
        <f t="shared" si="26"/>
        <v>-1500000000</v>
      </c>
      <c r="Q184" s="1528">
        <f t="shared" si="26"/>
        <v>0</v>
      </c>
      <c r="R184" s="1528">
        <f t="shared" si="26"/>
        <v>-216671</v>
      </c>
      <c r="S184" s="1529">
        <f t="shared" si="26"/>
        <v>-1500216671</v>
      </c>
      <c r="U184" s="1531">
        <f>SUM(U185:U241)</f>
        <v>24505922363</v>
      </c>
      <c r="V184" s="1364" t="b">
        <f>U184=SUM(U185:U241)</f>
        <v>1</v>
      </c>
    </row>
    <row r="185" spans="3:22" s="1089" customFormat="1" ht="18" customHeight="1">
      <c r="C185" s="1089">
        <v>1</v>
      </c>
      <c r="D185" s="1538" t="s">
        <v>1018</v>
      </c>
      <c r="E185" s="1276" t="s">
        <v>1018</v>
      </c>
      <c r="F185" s="1539" t="s">
        <v>1432</v>
      </c>
      <c r="G185" s="1276" t="s">
        <v>1019</v>
      </c>
      <c r="H185" s="1832">
        <v>1500000000</v>
      </c>
      <c r="I185" s="1835">
        <v>0</v>
      </c>
      <c r="J185" s="1835">
        <v>0</v>
      </c>
      <c r="K185" s="1835">
        <v>0</v>
      </c>
      <c r="L185" s="1541">
        <f t="shared" ref="L185:L216" si="27">SUM(H185:K185)</f>
        <v>1500000000</v>
      </c>
      <c r="N185" s="1555">
        <f>SUMIF(CF.2!$H$5:$H$25,CF.1!E185,CF.2!$J$5:$J$25)-SUMIF(CF.2!$K$5:$K$25,CF.1!E185,CF.2!$M$5:$M$25)</f>
        <v>0</v>
      </c>
      <c r="O185" s="1540">
        <f>SUMIF(CF.2!$H$31:$H$60,CF.1!E185,CF.2!$J$31:$J$60)+SUMIF(CF.2!$K$31:$K$60,CF.1!E185,CF.2!$M$31:$M$60)</f>
        <v>0</v>
      </c>
      <c r="P185" s="1540">
        <f>SUMIF(CF.2!$H$65:$H$108,CF.1!E185,CF.2!$J$65:$J$108)+SUMIF(CF.2!$K$65:$K$108,CF.1!E185,CF.2!$M$65:$M$108)</f>
        <v>-1500000000</v>
      </c>
      <c r="Q185" s="1540">
        <f>SUMIF(CF.2!$H$112:$H$118,CF.1!E185,CF.2!$J$112:$J$118)+SUMIF(CF.2!$K$112:$K$118,CF.1!E185,CF.2!$M$112:$M$118)</f>
        <v>0</v>
      </c>
      <c r="R185" s="1540">
        <f>SUMIF(CF.2!$H$123:$H$134,CF.1!E185,CF.2!$J$123:$J$134)+SUMIF(CF.2!$K$123:$K$134,CF.1!E185,CF.2!$M$123:$M$134)</f>
        <v>0</v>
      </c>
      <c r="S185" s="1541">
        <f t="shared" ref="S185:S216" si="28">SUM(N185:R185)</f>
        <v>-1500000000</v>
      </c>
      <c r="U185" s="1542">
        <f t="shared" ref="U185:U216" si="29">ROUND(S185+L185,0)</f>
        <v>0</v>
      </c>
    </row>
    <row r="186" spans="3:22" s="1089" customFormat="1" ht="18" customHeight="1">
      <c r="C186" s="1089">
        <v>1</v>
      </c>
      <c r="D186" s="1538" t="s">
        <v>1020</v>
      </c>
      <c r="E186" s="1276" t="s">
        <v>1020</v>
      </c>
      <c r="F186" s="1539" t="s">
        <v>1433</v>
      </c>
      <c r="G186" s="1276" t="s">
        <v>1021</v>
      </c>
      <c r="H186" s="1832">
        <v>0</v>
      </c>
      <c r="I186" s="1835">
        <v>0</v>
      </c>
      <c r="J186" s="1835">
        <v>0</v>
      </c>
      <c r="K186" s="1835">
        <v>297306000</v>
      </c>
      <c r="L186" s="1541">
        <f t="shared" si="27"/>
        <v>297306000</v>
      </c>
      <c r="N186" s="1555">
        <f>SUMIF(CF.2!$H$5:$H$25,CF.1!E186,CF.2!$J$5:$J$25)-SUMIF(CF.2!$K$5:$K$25,CF.1!E186,CF.2!$M$5:$M$25)</f>
        <v>0</v>
      </c>
      <c r="O186" s="1540">
        <f>SUMIF(CF.2!$H$31:$H$60,CF.1!E186,CF.2!$J$31:$J$60)+SUMIF(CF.2!$K$31:$K$60,CF.1!E186,CF.2!$M$31:$M$60)</f>
        <v>0</v>
      </c>
      <c r="P186" s="1540">
        <f>SUMIF(CF.2!$H$65:$H$108,CF.1!E186,CF.2!$J$65:$J$108)+SUMIF(CF.2!$K$65:$K$108,CF.1!E186,CF.2!$M$65:$M$108)</f>
        <v>0</v>
      </c>
      <c r="Q186" s="1540">
        <f>SUMIF(CF.2!$H$112:$H$118,CF.1!E186,CF.2!$J$112:$J$118)+SUMIF(CF.2!$K$112:$K$118,CF.1!E186,CF.2!$M$112:$M$118)</f>
        <v>0</v>
      </c>
      <c r="R186" s="1540">
        <f>SUMIF(CF.2!$H$123:$H$134,CF.1!E186,CF.2!$J$123:$J$134)+SUMIF(CF.2!$K$123:$K$134,CF.1!E186,CF.2!$M$123:$M$134)</f>
        <v>0</v>
      </c>
      <c r="S186" s="1541">
        <f t="shared" si="28"/>
        <v>0</v>
      </c>
      <c r="U186" s="1542">
        <f t="shared" si="29"/>
        <v>297306000</v>
      </c>
    </row>
    <row r="187" spans="3:22" s="1089" customFormat="1" ht="18" customHeight="1">
      <c r="C187" s="1089">
        <v>1</v>
      </c>
      <c r="D187" s="1538" t="s">
        <v>1022</v>
      </c>
      <c r="E187" s="1276" t="s">
        <v>1022</v>
      </c>
      <c r="F187" s="1539"/>
      <c r="G187" s="1276" t="s">
        <v>1023</v>
      </c>
      <c r="H187" s="1832">
        <v>0</v>
      </c>
      <c r="I187" s="1835">
        <v>0</v>
      </c>
      <c r="J187" s="1835">
        <v>0</v>
      </c>
      <c r="K187" s="1835">
        <v>0</v>
      </c>
      <c r="L187" s="1541">
        <f t="shared" si="27"/>
        <v>0</v>
      </c>
      <c r="N187" s="1555">
        <f>SUMIF(CF.2!$H$5:$H$25,CF.1!E187,CF.2!$J$5:$J$25)-SUMIF(CF.2!$K$5:$K$25,CF.1!E187,CF.2!$M$5:$M$25)</f>
        <v>0</v>
      </c>
      <c r="O187" s="1540">
        <f>SUMIF(CF.2!$H$31:$H$60,CF.1!E187,CF.2!$J$31:$J$60)+SUMIF(CF.2!$K$31:$K$60,CF.1!E187,CF.2!$M$31:$M$60)</f>
        <v>0</v>
      </c>
      <c r="P187" s="1540">
        <f>SUMIF(CF.2!$H$65:$H$108,CF.1!E187,CF.2!$J$65:$J$108)+SUMIF(CF.2!$K$65:$K$108,CF.1!E187,CF.2!$M$65:$M$108)</f>
        <v>0</v>
      </c>
      <c r="Q187" s="1540">
        <f>SUMIF(CF.2!$H$112:$H$118,CF.1!E187,CF.2!$J$112:$J$118)+SUMIF(CF.2!$K$112:$K$118,CF.1!E187,CF.2!$M$112:$M$118)</f>
        <v>0</v>
      </c>
      <c r="R187" s="1540">
        <f>SUMIF(CF.2!$H$123:$H$134,CF.1!E187,CF.2!$J$123:$J$134)+SUMIF(CF.2!$K$123:$K$134,CF.1!E187,CF.2!$M$123:$M$134)</f>
        <v>0</v>
      </c>
      <c r="S187" s="1541">
        <f t="shared" si="28"/>
        <v>0</v>
      </c>
      <c r="U187" s="1542">
        <f t="shared" si="29"/>
        <v>0</v>
      </c>
    </row>
    <row r="188" spans="3:22" s="1089" customFormat="1" ht="18" customHeight="1">
      <c r="C188" s="1089">
        <v>1</v>
      </c>
      <c r="D188" s="1538" t="s">
        <v>1026</v>
      </c>
      <c r="E188" s="1276" t="s">
        <v>1026</v>
      </c>
      <c r="F188" s="1539"/>
      <c r="G188" s="1276" t="s">
        <v>1027</v>
      </c>
      <c r="H188" s="1832">
        <v>0</v>
      </c>
      <c r="I188" s="1835">
        <v>0</v>
      </c>
      <c r="J188" s="1835">
        <v>0</v>
      </c>
      <c r="K188" s="1835">
        <v>0</v>
      </c>
      <c r="L188" s="1541">
        <f t="shared" si="27"/>
        <v>0</v>
      </c>
      <c r="N188" s="1555">
        <f>SUMIF(CF.2!$H$5:$H$25,CF.1!E188,CF.2!$J$5:$J$25)-SUMIF(CF.2!$K$5:$K$25,CF.1!E188,CF.2!$M$5:$M$25)</f>
        <v>0</v>
      </c>
      <c r="O188" s="1540">
        <f>SUMIF(CF.2!$H$31:$H$60,CF.1!E188,CF.2!$J$31:$J$60)+SUMIF(CF.2!$K$31:$K$60,CF.1!E188,CF.2!$M$31:$M$60)</f>
        <v>0</v>
      </c>
      <c r="P188" s="1540">
        <f>SUMIF(CF.2!$H$65:$H$108,CF.1!E188,CF.2!$J$65:$J$108)+SUMIF(CF.2!$K$65:$K$108,CF.1!E188,CF.2!$M$65:$M$108)</f>
        <v>0</v>
      </c>
      <c r="Q188" s="1540">
        <f>SUMIF(CF.2!$H$112:$H$118,CF.1!E188,CF.2!$J$112:$J$118)+SUMIF(CF.2!$K$112:$K$118,CF.1!E188,CF.2!$M$112:$M$118)</f>
        <v>0</v>
      </c>
      <c r="R188" s="1540">
        <f>SUMIF(CF.2!$H$123:$H$134,CF.1!E188,CF.2!$J$123:$J$134)+SUMIF(CF.2!$K$123:$K$134,CF.1!E188,CF.2!$M$123:$M$134)</f>
        <v>0</v>
      </c>
      <c r="S188" s="1541">
        <f t="shared" si="28"/>
        <v>0</v>
      </c>
      <c r="U188" s="1542">
        <f t="shared" si="29"/>
        <v>0</v>
      </c>
    </row>
    <row r="189" spans="3:22" ht="18" customHeight="1">
      <c r="C189" s="1364">
        <v>1</v>
      </c>
      <c r="D189" s="1532" t="s">
        <v>1028</v>
      </c>
      <c r="E189" s="1506" t="s">
        <v>1028</v>
      </c>
      <c r="F189" s="1533"/>
      <c r="G189" s="1506" t="s">
        <v>1029</v>
      </c>
      <c r="H189" s="1833">
        <v>0</v>
      </c>
      <c r="I189" s="1834">
        <v>0</v>
      </c>
      <c r="J189" s="1834">
        <v>0</v>
      </c>
      <c r="K189" s="1834">
        <v>0</v>
      </c>
      <c r="L189" s="1535">
        <f t="shared" si="27"/>
        <v>0</v>
      </c>
      <c r="N189" s="1536">
        <f>SUMIF(CF.2!$H$5:$H$25,CF.1!E189,CF.2!$J$5:$J$25)-SUMIF(CF.2!$K$5:$K$25,CF.1!E189,CF.2!$M$5:$M$25)</f>
        <v>0</v>
      </c>
      <c r="O189" s="1534">
        <f>SUMIF(CF.2!$H$31:$H$60,CF.1!E189,CF.2!$J$31:$J$60)+SUMIF(CF.2!$K$31:$K$60,CF.1!E189,CF.2!$M$31:$M$60)</f>
        <v>0</v>
      </c>
      <c r="P189" s="1534">
        <f>SUMIF(CF.2!$H$65:$H$108,CF.1!E189,CF.2!$J$65:$J$108)+SUMIF(CF.2!$K$65:$K$108,CF.1!E189,CF.2!$M$65:$M$108)</f>
        <v>0</v>
      </c>
      <c r="Q189" s="1534">
        <f>SUMIF(CF.2!$H$112:$H$118,CF.1!E189,CF.2!$J$112:$J$118)+SUMIF(CF.2!$K$112:$K$118,CF.1!E189,CF.2!$M$112:$M$118)</f>
        <v>0</v>
      </c>
      <c r="R189" s="1534">
        <f>SUMIF(CF.2!$H$123:$H$134,CF.1!E189,CF.2!$J$123:$J$134)+SUMIF(CF.2!$K$123:$K$134,CF.1!E189,CF.2!$M$123:$M$134)</f>
        <v>0</v>
      </c>
      <c r="S189" s="1535">
        <f t="shared" si="28"/>
        <v>0</v>
      </c>
      <c r="U189" s="1537">
        <f t="shared" si="29"/>
        <v>0</v>
      </c>
    </row>
    <row r="190" spans="3:22" ht="18" customHeight="1">
      <c r="C190" s="1364">
        <v>1</v>
      </c>
      <c r="D190" s="1532" t="s">
        <v>1030</v>
      </c>
      <c r="E190" s="1506" t="s">
        <v>1030</v>
      </c>
      <c r="F190" s="1533"/>
      <c r="G190" s="1506" t="s">
        <v>1031</v>
      </c>
      <c r="H190" s="1833">
        <v>0</v>
      </c>
      <c r="I190" s="1834">
        <v>0</v>
      </c>
      <c r="J190" s="1834">
        <v>0</v>
      </c>
      <c r="K190" s="1834">
        <v>0</v>
      </c>
      <c r="L190" s="1535">
        <f t="shared" si="27"/>
        <v>0</v>
      </c>
      <c r="N190" s="1536">
        <f>SUMIF(CF.2!$H$5:$H$25,CF.1!E190,CF.2!$J$5:$J$25)-SUMIF(CF.2!$K$5:$K$25,CF.1!E190,CF.2!$M$5:$M$25)</f>
        <v>0</v>
      </c>
      <c r="O190" s="1534">
        <f>SUMIF(CF.2!$H$31:$H$60,CF.1!E190,CF.2!$J$31:$J$60)+SUMIF(CF.2!$K$31:$K$60,CF.1!E190,CF.2!$M$31:$M$60)</f>
        <v>0</v>
      </c>
      <c r="P190" s="1534">
        <f>SUMIF(CF.2!$H$65:$H$108,CF.1!E190,CF.2!$J$65:$J$108)+SUMIF(CF.2!$K$65:$K$108,CF.1!E190,CF.2!$M$65:$M$108)</f>
        <v>0</v>
      </c>
      <c r="Q190" s="1534">
        <f>SUMIF(CF.2!$H$112:$H$118,CF.1!E190,CF.2!$J$112:$J$118)+SUMIF(CF.2!$K$112:$K$118,CF.1!E190,CF.2!$M$112:$M$118)</f>
        <v>0</v>
      </c>
      <c r="R190" s="1534">
        <f>SUMIF(CF.2!$H$123:$H$134,CF.1!E190,CF.2!$J$123:$J$134)+SUMIF(CF.2!$K$123:$K$134,CF.1!E190,CF.2!$M$123:$M$134)</f>
        <v>0</v>
      </c>
      <c r="S190" s="1535">
        <f t="shared" si="28"/>
        <v>0</v>
      </c>
      <c r="U190" s="1537">
        <f t="shared" si="29"/>
        <v>0</v>
      </c>
    </row>
    <row r="191" spans="3:22" ht="18" customHeight="1">
      <c r="C191" s="1364">
        <v>1</v>
      </c>
      <c r="D191" s="1532" t="s">
        <v>1032</v>
      </c>
      <c r="E191" s="1506" t="s">
        <v>1374</v>
      </c>
      <c r="F191" s="1533" t="s">
        <v>1373</v>
      </c>
      <c r="G191" s="1506" t="s">
        <v>1373</v>
      </c>
      <c r="H191" s="1833">
        <v>200000000</v>
      </c>
      <c r="I191" s="1834">
        <v>0</v>
      </c>
      <c r="J191" s="1834">
        <v>0</v>
      </c>
      <c r="K191" s="1834">
        <v>0</v>
      </c>
      <c r="L191" s="1535">
        <f t="shared" si="27"/>
        <v>200000000</v>
      </c>
      <c r="N191" s="1536">
        <f>SUMIF(CF.2!$H$5:$H$25,CF.1!E191,CF.2!$J$5:$J$25)-SUMIF(CF.2!$K$5:$K$25,CF.1!E191,CF.2!$M$5:$M$25)</f>
        <v>0</v>
      </c>
      <c r="O191" s="1534">
        <f>SUMIF(CF.2!$H$31:$H$60,CF.1!E191,CF.2!$J$31:$J$60)+SUMIF(CF.2!$K$31:$K$60,CF.1!E191,CF.2!$M$31:$M$60)</f>
        <v>0</v>
      </c>
      <c r="P191" s="1534">
        <f>SUMIF(CF.2!$H$65:$H$108,CF.1!E191,CF.2!$J$65:$J$108)+SUMIF(CF.2!$K$65:$K$108,CF.1!E191,CF.2!$M$65:$M$108)</f>
        <v>0</v>
      </c>
      <c r="Q191" s="1534">
        <f>SUMIF(CF.2!$H$112:$H$118,CF.1!E191,CF.2!$J$112:$J$118)+SUMIF(CF.2!$K$112:$K$118,CF.1!E191,CF.2!$M$112:$M$118)</f>
        <v>0</v>
      </c>
      <c r="R191" s="1534">
        <f>SUMIF(CF.2!$H$123:$H$134,CF.1!E191,CF.2!$J$123:$J$134)+SUMIF(CF.2!$K$123:$K$134,CF.1!E191,CF.2!$M$123:$M$134)</f>
        <v>0</v>
      </c>
      <c r="S191" s="1535">
        <f t="shared" si="28"/>
        <v>0</v>
      </c>
      <c r="U191" s="1537">
        <f t="shared" si="29"/>
        <v>200000000</v>
      </c>
    </row>
    <row r="192" spans="3:22" ht="18" customHeight="1">
      <c r="C192" s="1364">
        <v>1</v>
      </c>
      <c r="D192" s="1532" t="s">
        <v>1032</v>
      </c>
      <c r="E192" s="1506" t="s">
        <v>1375</v>
      </c>
      <c r="F192" s="1533" t="s">
        <v>1376</v>
      </c>
      <c r="G192" s="1506" t="s">
        <v>1376</v>
      </c>
      <c r="H192" s="1833">
        <v>0</v>
      </c>
      <c r="I192" s="1834">
        <v>0</v>
      </c>
      <c r="J192" s="1834">
        <v>0</v>
      </c>
      <c r="K192" s="1834">
        <v>0</v>
      </c>
      <c r="L192" s="1535">
        <f t="shared" si="27"/>
        <v>0</v>
      </c>
      <c r="N192" s="1536">
        <f>SUMIF(CF.2!$H$5:$H$25,CF.1!E192,CF.2!$J$5:$J$25)-SUMIF(CF.2!$K$5:$K$25,CF.1!E192,CF.2!$M$5:$M$25)</f>
        <v>0</v>
      </c>
      <c r="O192" s="1534">
        <f>SUMIF(CF.2!$H$31:$H$60,CF.1!E192,CF.2!$J$31:$J$60)+SUMIF(CF.2!$K$31:$K$60,CF.1!E192,CF.2!$M$31:$M$60)</f>
        <v>0</v>
      </c>
      <c r="P192" s="1534">
        <f>SUMIF(CF.2!$H$65:$H$108,CF.1!E192,CF.2!$J$65:$J$108)+SUMIF(CF.2!$K$65:$K$108,CF.1!E192,CF.2!$M$65:$M$108)</f>
        <v>0</v>
      </c>
      <c r="Q192" s="1534">
        <f>SUMIF(CF.2!$H$112:$H$118,CF.1!E192,CF.2!$J$112:$J$118)+SUMIF(CF.2!$K$112:$K$118,CF.1!E192,CF.2!$M$112:$M$118)</f>
        <v>0</v>
      </c>
      <c r="R192" s="1534">
        <f>SUMIF(CF.2!$H$123:$H$134,CF.1!E192,CF.2!$J$123:$J$134)+SUMIF(CF.2!$K$123:$K$134,CF.1!E192,CF.2!$M$123:$M$134)</f>
        <v>0</v>
      </c>
      <c r="S192" s="1535">
        <f t="shared" si="28"/>
        <v>0</v>
      </c>
      <c r="U192" s="1537">
        <f t="shared" si="29"/>
        <v>0</v>
      </c>
    </row>
    <row r="193" spans="3:21" ht="18" customHeight="1">
      <c r="C193" s="1364">
        <v>1</v>
      </c>
      <c r="D193" s="1532" t="s">
        <v>1034</v>
      </c>
      <c r="E193" s="1506" t="s">
        <v>1034</v>
      </c>
      <c r="F193" s="1533"/>
      <c r="G193" s="1506" t="s">
        <v>1035</v>
      </c>
      <c r="H193" s="1833">
        <v>0</v>
      </c>
      <c r="I193" s="1834">
        <v>0</v>
      </c>
      <c r="J193" s="1834">
        <v>0</v>
      </c>
      <c r="K193" s="1834">
        <v>0</v>
      </c>
      <c r="L193" s="1535">
        <f t="shared" si="27"/>
        <v>0</v>
      </c>
      <c r="N193" s="1536">
        <f>SUMIF(CF.2!$H$5:$H$25,CF.1!E193,CF.2!$J$5:$J$25)-SUMIF(CF.2!$K$5:$K$25,CF.1!E193,CF.2!$M$5:$M$25)</f>
        <v>0</v>
      </c>
      <c r="O193" s="1534">
        <f>SUMIF(CF.2!$H$31:$H$60,CF.1!E193,CF.2!$J$31:$J$60)+SUMIF(CF.2!$K$31:$K$60,CF.1!E193,CF.2!$M$31:$M$60)</f>
        <v>0</v>
      </c>
      <c r="P193" s="1534">
        <f>SUMIF(CF.2!$H$65:$H$108,CF.1!E193,CF.2!$J$65:$J$108)+SUMIF(CF.2!$K$65:$K$108,CF.1!E193,CF.2!$M$65:$M$108)</f>
        <v>0</v>
      </c>
      <c r="Q193" s="1534">
        <f>SUMIF(CF.2!$H$112:$H$118,CF.1!E193,CF.2!$J$112:$J$118)+SUMIF(CF.2!$K$112:$K$118,CF.1!E193,CF.2!$M$112:$M$118)</f>
        <v>0</v>
      </c>
      <c r="R193" s="1534">
        <f>SUMIF(CF.2!$H$123:$H$134,CF.1!E193,CF.2!$J$123:$J$134)+SUMIF(CF.2!$K$123:$K$134,CF.1!E193,CF.2!$M$123:$M$134)</f>
        <v>0</v>
      </c>
      <c r="S193" s="1535">
        <f t="shared" si="28"/>
        <v>0</v>
      </c>
      <c r="U193" s="1537">
        <f t="shared" si="29"/>
        <v>0</v>
      </c>
    </row>
    <row r="194" spans="3:21" ht="18" customHeight="1">
      <c r="C194" s="1364">
        <v>1</v>
      </c>
      <c r="D194" s="1532" t="s">
        <v>1036</v>
      </c>
      <c r="E194" s="1506" t="s">
        <v>1036</v>
      </c>
      <c r="F194" s="1533"/>
      <c r="G194" s="1506" t="s">
        <v>1037</v>
      </c>
      <c r="H194" s="1833">
        <v>0</v>
      </c>
      <c r="I194" s="1834">
        <v>0</v>
      </c>
      <c r="J194" s="1834">
        <v>0</v>
      </c>
      <c r="K194" s="1834">
        <v>0</v>
      </c>
      <c r="L194" s="1535">
        <f t="shared" si="27"/>
        <v>0</v>
      </c>
      <c r="N194" s="1536">
        <f>SUMIF(CF.2!$H$5:$H$25,CF.1!E194,CF.2!$J$5:$J$25)-SUMIF(CF.2!$K$5:$K$25,CF.1!E194,CF.2!$M$5:$M$25)</f>
        <v>0</v>
      </c>
      <c r="O194" s="1534">
        <f>SUMIF(CF.2!$H$31:$H$60,CF.1!E194,CF.2!$J$31:$J$60)+SUMIF(CF.2!$K$31:$K$60,CF.1!E194,CF.2!$M$31:$M$60)</f>
        <v>0</v>
      </c>
      <c r="P194" s="1534">
        <f>SUMIF(CF.2!$H$65:$H$108,CF.1!E194,CF.2!$J$65:$J$108)+SUMIF(CF.2!$K$65:$K$108,CF.1!E194,CF.2!$M$65:$M$108)</f>
        <v>0</v>
      </c>
      <c r="Q194" s="1534">
        <f>SUMIF(CF.2!$H$112:$H$118,CF.1!E194,CF.2!$J$112:$J$118)+SUMIF(CF.2!$K$112:$K$118,CF.1!E194,CF.2!$M$112:$M$118)</f>
        <v>0</v>
      </c>
      <c r="R194" s="1534">
        <f>SUMIF(CF.2!$H$123:$H$134,CF.1!E194,CF.2!$J$123:$J$134)+SUMIF(CF.2!$K$123:$K$134,CF.1!E194,CF.2!$M$123:$M$134)</f>
        <v>0</v>
      </c>
      <c r="S194" s="1535">
        <f t="shared" si="28"/>
        <v>0</v>
      </c>
      <c r="U194" s="1537">
        <f t="shared" si="29"/>
        <v>0</v>
      </c>
    </row>
    <row r="195" spans="3:21" ht="18" customHeight="1">
      <c r="C195" s="1364">
        <v>1</v>
      </c>
      <c r="D195" s="1532" t="s">
        <v>1038</v>
      </c>
      <c r="E195" s="1506" t="s">
        <v>1038</v>
      </c>
      <c r="F195" s="1533"/>
      <c r="G195" s="1506" t="s">
        <v>1039</v>
      </c>
      <c r="H195" s="1833">
        <v>0</v>
      </c>
      <c r="I195" s="1834">
        <v>0</v>
      </c>
      <c r="J195" s="1834">
        <v>0</v>
      </c>
      <c r="K195" s="1834">
        <v>0</v>
      </c>
      <c r="L195" s="1535">
        <f t="shared" si="27"/>
        <v>0</v>
      </c>
      <c r="N195" s="1536">
        <f>SUMIF(CF.2!$H$5:$H$25,CF.1!E195,CF.2!$J$5:$J$25)-SUMIF(CF.2!$K$5:$K$25,CF.1!E195,CF.2!$M$5:$M$25)</f>
        <v>0</v>
      </c>
      <c r="O195" s="1534">
        <f>SUMIF(CF.2!$H$31:$H$60,CF.1!E195,CF.2!$J$31:$J$60)+SUMIF(CF.2!$K$31:$K$60,CF.1!E195,CF.2!$M$31:$M$60)</f>
        <v>0</v>
      </c>
      <c r="P195" s="1534">
        <f>SUMIF(CF.2!$H$65:$H$108,CF.1!E195,CF.2!$J$65:$J$108)+SUMIF(CF.2!$K$65:$K$108,CF.1!E195,CF.2!$M$65:$M$108)</f>
        <v>0</v>
      </c>
      <c r="Q195" s="1534">
        <f>SUMIF(CF.2!$H$112:$H$118,CF.1!E195,CF.2!$J$112:$J$118)+SUMIF(CF.2!$K$112:$K$118,CF.1!E195,CF.2!$M$112:$M$118)</f>
        <v>0</v>
      </c>
      <c r="R195" s="1534">
        <f>SUMIF(CF.2!$H$123:$H$134,CF.1!E195,CF.2!$J$123:$J$134)+SUMIF(CF.2!$K$123:$K$134,CF.1!E195,CF.2!$M$123:$M$134)</f>
        <v>0</v>
      </c>
      <c r="S195" s="1535">
        <f t="shared" si="28"/>
        <v>0</v>
      </c>
      <c r="U195" s="1537">
        <f t="shared" si="29"/>
        <v>0</v>
      </c>
    </row>
    <row r="196" spans="3:21" ht="18" customHeight="1">
      <c r="C196" s="1364">
        <v>1</v>
      </c>
      <c r="D196" s="1532" t="s">
        <v>1040</v>
      </c>
      <c r="E196" s="1506" t="s">
        <v>1040</v>
      </c>
      <c r="F196" s="1533"/>
      <c r="G196" s="1506" t="s">
        <v>1041</v>
      </c>
      <c r="H196" s="1833">
        <v>0</v>
      </c>
      <c r="I196" s="1834">
        <v>0</v>
      </c>
      <c r="J196" s="1834">
        <v>0</v>
      </c>
      <c r="K196" s="1834">
        <v>0</v>
      </c>
      <c r="L196" s="1535">
        <f t="shared" si="27"/>
        <v>0</v>
      </c>
      <c r="N196" s="1536">
        <f>SUMIF(CF.2!$H$5:$H$25,CF.1!E196,CF.2!$J$5:$J$25)-SUMIF(CF.2!$K$5:$K$25,CF.1!E196,CF.2!$M$5:$M$25)</f>
        <v>0</v>
      </c>
      <c r="O196" s="1534">
        <f>SUMIF(CF.2!$H$31:$H$60,CF.1!E196,CF.2!$J$31:$J$60)+SUMIF(CF.2!$K$31:$K$60,CF.1!E196,CF.2!$M$31:$M$60)</f>
        <v>0</v>
      </c>
      <c r="P196" s="1534">
        <f>SUMIF(CF.2!$H$65:$H$108,CF.1!E196,CF.2!$J$65:$J$108)+SUMIF(CF.2!$K$65:$K$108,CF.1!E196,CF.2!$M$65:$M$108)</f>
        <v>0</v>
      </c>
      <c r="Q196" s="1534">
        <f>SUMIF(CF.2!$H$112:$H$118,CF.1!E196,CF.2!$J$112:$J$118)+SUMIF(CF.2!$K$112:$K$118,CF.1!E196,CF.2!$M$112:$M$118)</f>
        <v>0</v>
      </c>
      <c r="R196" s="1534">
        <f>SUMIF(CF.2!$H$123:$H$134,CF.1!E196,CF.2!$J$123:$J$134)+SUMIF(CF.2!$K$123:$K$134,CF.1!E196,CF.2!$M$123:$M$134)</f>
        <v>0</v>
      </c>
      <c r="S196" s="1535">
        <f t="shared" si="28"/>
        <v>0</v>
      </c>
      <c r="U196" s="1537">
        <f t="shared" si="29"/>
        <v>0</v>
      </c>
    </row>
    <row r="197" spans="3:21" ht="18" customHeight="1">
      <c r="C197" s="1364">
        <v>1</v>
      </c>
      <c r="D197" s="1532" t="s">
        <v>1042</v>
      </c>
      <c r="E197" s="1506" t="s">
        <v>1042</v>
      </c>
      <c r="F197" s="1533"/>
      <c r="G197" s="1506" t="s">
        <v>1043</v>
      </c>
      <c r="H197" s="1833">
        <v>0</v>
      </c>
      <c r="I197" s="1834">
        <v>0</v>
      </c>
      <c r="J197" s="1834">
        <v>0</v>
      </c>
      <c r="K197" s="1834">
        <v>0</v>
      </c>
      <c r="L197" s="1535">
        <f t="shared" si="27"/>
        <v>0</v>
      </c>
      <c r="N197" s="1536">
        <f>SUMIF(CF.2!$H$5:$H$25,CF.1!E197,CF.2!$J$5:$J$25)-SUMIF(CF.2!$K$5:$K$25,CF.1!E197,CF.2!$M$5:$M$25)</f>
        <v>0</v>
      </c>
      <c r="O197" s="1534">
        <f>SUMIF(CF.2!$H$31:$H$60,CF.1!E197,CF.2!$J$31:$J$60)+SUMIF(CF.2!$K$31:$K$60,CF.1!E197,CF.2!$M$31:$M$60)</f>
        <v>0</v>
      </c>
      <c r="P197" s="1534">
        <f>SUMIF(CF.2!$H$65:$H$108,CF.1!E197,CF.2!$J$65:$J$108)+SUMIF(CF.2!$K$65:$K$108,CF.1!E197,CF.2!$M$65:$M$108)</f>
        <v>0</v>
      </c>
      <c r="Q197" s="1534">
        <f>SUMIF(CF.2!$H$112:$H$118,CF.1!E197,CF.2!$J$112:$J$118)+SUMIF(CF.2!$K$112:$K$118,CF.1!E197,CF.2!$M$112:$M$118)</f>
        <v>0</v>
      </c>
      <c r="R197" s="1534">
        <f>SUMIF(CF.2!$H$123:$H$134,CF.1!E197,CF.2!$J$123:$J$134)+SUMIF(CF.2!$K$123:$K$134,CF.1!E197,CF.2!$M$123:$M$134)</f>
        <v>0</v>
      </c>
      <c r="S197" s="1535">
        <f t="shared" si="28"/>
        <v>0</v>
      </c>
      <c r="U197" s="1537">
        <f t="shared" si="29"/>
        <v>0</v>
      </c>
    </row>
    <row r="198" spans="3:21" ht="18" customHeight="1">
      <c r="C198" s="1364">
        <v>1</v>
      </c>
      <c r="D198" s="1532" t="s">
        <v>1044</v>
      </c>
      <c r="E198" s="1506" t="s">
        <v>1044</v>
      </c>
      <c r="F198" s="1533"/>
      <c r="G198" s="1506" t="s">
        <v>1045</v>
      </c>
      <c r="H198" s="1833">
        <v>0</v>
      </c>
      <c r="I198" s="1834">
        <v>0</v>
      </c>
      <c r="J198" s="1834">
        <v>0</v>
      </c>
      <c r="K198" s="1834">
        <v>0</v>
      </c>
      <c r="L198" s="1535">
        <f t="shared" si="27"/>
        <v>0</v>
      </c>
      <c r="N198" s="1536">
        <f>SUMIF(CF.2!$H$5:$H$25,CF.1!E198,CF.2!$J$5:$J$25)-SUMIF(CF.2!$K$5:$K$25,CF.1!E198,CF.2!$M$5:$M$25)</f>
        <v>0</v>
      </c>
      <c r="O198" s="1534">
        <f>SUMIF(CF.2!$H$31:$H$60,CF.1!E198,CF.2!$J$31:$J$60)+SUMIF(CF.2!$K$31:$K$60,CF.1!E198,CF.2!$M$31:$M$60)</f>
        <v>0</v>
      </c>
      <c r="P198" s="1534">
        <f>SUMIF(CF.2!$H$65:$H$108,CF.1!E198,CF.2!$J$65:$J$108)+SUMIF(CF.2!$K$65:$K$108,CF.1!E198,CF.2!$M$65:$M$108)</f>
        <v>0</v>
      </c>
      <c r="Q198" s="1534">
        <f>SUMIF(CF.2!$H$112:$H$118,CF.1!E198,CF.2!$J$112:$J$118)+SUMIF(CF.2!$K$112:$K$118,CF.1!E198,CF.2!$M$112:$M$118)</f>
        <v>0</v>
      </c>
      <c r="R198" s="1534">
        <f>SUMIF(CF.2!$H$123:$H$134,CF.1!E198,CF.2!$J$123:$J$134)+SUMIF(CF.2!$K$123:$K$134,CF.1!E198,CF.2!$M$123:$M$134)</f>
        <v>0</v>
      </c>
      <c r="S198" s="1535">
        <f t="shared" si="28"/>
        <v>0</v>
      </c>
      <c r="U198" s="1537">
        <f t="shared" si="29"/>
        <v>0</v>
      </c>
    </row>
    <row r="199" spans="3:21" ht="18" customHeight="1">
      <c r="C199" s="1364">
        <v>1</v>
      </c>
      <c r="D199" s="1532" t="s">
        <v>1046</v>
      </c>
      <c r="E199" s="1506" t="s">
        <v>1046</v>
      </c>
      <c r="F199" s="1533" t="s">
        <v>1729</v>
      </c>
      <c r="G199" s="1506" t="s">
        <v>1047</v>
      </c>
      <c r="H199" s="1833">
        <v>0</v>
      </c>
      <c r="I199" s="1834">
        <v>0</v>
      </c>
      <c r="J199" s="1834">
        <v>0</v>
      </c>
      <c r="K199" s="1834">
        <v>0</v>
      </c>
      <c r="L199" s="1535">
        <f t="shared" si="27"/>
        <v>0</v>
      </c>
      <c r="N199" s="1536">
        <f>SUMIF(CF.2!$H$5:$H$25,CF.1!E199,CF.2!$J$5:$J$25)-SUMIF(CF.2!$K$5:$K$25,CF.1!E199,CF.2!$M$5:$M$25)</f>
        <v>0</v>
      </c>
      <c r="O199" s="1534">
        <f>SUMIF(CF.2!$H$31:$H$60,CF.1!E199,CF.2!$J$31:$J$60)+SUMIF(CF.2!$K$31:$K$60,CF.1!E199,CF.2!$M$31:$M$60)</f>
        <v>0</v>
      </c>
      <c r="P199" s="1534">
        <f>SUMIF(CF.2!$H$65:$H$108,CF.1!E199,CF.2!$J$65:$J$108)+SUMIF(CF.2!$K$65:$K$108,CF.1!E199,CF.2!$M$65:$M$108)</f>
        <v>0</v>
      </c>
      <c r="Q199" s="1534">
        <f>SUMIF(CF.2!$H$112:$H$118,CF.1!E199,CF.2!$J$112:$J$118)+SUMIF(CF.2!$K$112:$K$118,CF.1!E199,CF.2!$M$112:$M$118)</f>
        <v>0</v>
      </c>
      <c r="R199" s="1534">
        <f>SUMIF(CF.2!$H$123:$H$134,CF.1!E199,CF.2!$J$123:$J$134)+SUMIF(CF.2!$K$123:$K$134,CF.1!E199,CF.2!$M$123:$M$134)</f>
        <v>0</v>
      </c>
      <c r="S199" s="1535">
        <f t="shared" si="28"/>
        <v>0</v>
      </c>
      <c r="U199" s="1537">
        <f t="shared" si="29"/>
        <v>0</v>
      </c>
    </row>
    <row r="200" spans="3:21" ht="18" customHeight="1">
      <c r="C200" s="1364">
        <v>1</v>
      </c>
      <c r="D200" s="1532" t="s">
        <v>1048</v>
      </c>
      <c r="E200" s="1506" t="s">
        <v>1048</v>
      </c>
      <c r="F200" s="1533" t="s">
        <v>1729</v>
      </c>
      <c r="G200" s="1506" t="s">
        <v>1049</v>
      </c>
      <c r="H200" s="1833">
        <v>0</v>
      </c>
      <c r="I200" s="1834">
        <v>0</v>
      </c>
      <c r="J200" s="1834">
        <v>0</v>
      </c>
      <c r="K200" s="1834">
        <v>0</v>
      </c>
      <c r="L200" s="1535">
        <f t="shared" si="27"/>
        <v>0</v>
      </c>
      <c r="N200" s="1536">
        <f>SUMIF(CF.2!$H$5:$H$25,CF.1!E200,CF.2!$J$5:$J$25)-SUMIF(CF.2!$K$5:$K$25,CF.1!E200,CF.2!$M$5:$M$25)</f>
        <v>0</v>
      </c>
      <c r="O200" s="1534">
        <f>SUMIF(CF.2!$H$31:$H$60,CF.1!E200,CF.2!$J$31:$J$60)+SUMIF(CF.2!$K$31:$K$60,CF.1!E200,CF.2!$M$31:$M$60)</f>
        <v>0</v>
      </c>
      <c r="P200" s="1534">
        <f>SUMIF(CF.2!$H$65:$H$108,CF.1!E200,CF.2!$J$65:$J$108)+SUMIF(CF.2!$K$65:$K$108,CF.1!E200,CF.2!$M$65:$M$108)</f>
        <v>0</v>
      </c>
      <c r="Q200" s="1534">
        <f>SUMIF(CF.2!$H$112:$H$118,CF.1!E200,CF.2!$J$112:$J$118)+SUMIF(CF.2!$K$112:$K$118,CF.1!E200,CF.2!$M$112:$M$118)</f>
        <v>0</v>
      </c>
      <c r="R200" s="1534">
        <f>SUMIF(CF.2!$H$123:$H$134,CF.1!E200,CF.2!$J$123:$J$134)+SUMIF(CF.2!$K$123:$K$134,CF.1!E200,CF.2!$M$123:$M$134)</f>
        <v>0</v>
      </c>
      <c r="S200" s="1535">
        <f t="shared" si="28"/>
        <v>0</v>
      </c>
      <c r="U200" s="1537">
        <f t="shared" si="29"/>
        <v>0</v>
      </c>
    </row>
    <row r="201" spans="3:21" ht="18" customHeight="1">
      <c r="C201" s="1364">
        <v>1</v>
      </c>
      <c r="D201" s="1532" t="s">
        <v>1050</v>
      </c>
      <c r="E201" s="1506" t="s">
        <v>1050</v>
      </c>
      <c r="F201" s="1533"/>
      <c r="G201" s="1506" t="s">
        <v>1051</v>
      </c>
      <c r="H201" s="1833">
        <v>0</v>
      </c>
      <c r="I201" s="1834">
        <v>0</v>
      </c>
      <c r="J201" s="1834">
        <v>0</v>
      </c>
      <c r="K201" s="1834">
        <v>0</v>
      </c>
      <c r="L201" s="1535">
        <f t="shared" si="27"/>
        <v>0</v>
      </c>
      <c r="N201" s="1536">
        <f>SUMIF(CF.2!$H$5:$H$25,CF.1!E201,CF.2!$J$5:$J$25)-SUMIF(CF.2!$K$5:$K$25,CF.1!E201,CF.2!$M$5:$M$25)</f>
        <v>0</v>
      </c>
      <c r="O201" s="1534">
        <f>SUMIF(CF.2!$H$31:$H$60,CF.1!E201,CF.2!$J$31:$J$60)+SUMIF(CF.2!$K$31:$K$60,CF.1!E201,CF.2!$M$31:$M$60)</f>
        <v>0</v>
      </c>
      <c r="P201" s="1534">
        <f>SUMIF(CF.2!$H$65:$H$108,CF.1!E201,CF.2!$J$65:$J$108)+SUMIF(CF.2!$K$65:$K$108,CF.1!E201,CF.2!$M$65:$M$108)</f>
        <v>0</v>
      </c>
      <c r="Q201" s="1534">
        <f>SUMIF(CF.2!$H$112:$H$118,CF.1!E201,CF.2!$J$112:$J$118)+SUMIF(CF.2!$K$112:$K$118,CF.1!E201,CF.2!$M$112:$M$118)</f>
        <v>0</v>
      </c>
      <c r="R201" s="1534">
        <f>SUMIF(CF.2!$H$123:$H$134,CF.1!E201,CF.2!$J$123:$J$134)+SUMIF(CF.2!$K$123:$K$134,CF.1!E201,CF.2!$M$123:$M$134)</f>
        <v>0</v>
      </c>
      <c r="S201" s="1535">
        <f t="shared" si="28"/>
        <v>0</v>
      </c>
      <c r="U201" s="1537">
        <f t="shared" si="29"/>
        <v>0</v>
      </c>
    </row>
    <row r="202" spans="3:21" ht="18" customHeight="1">
      <c r="C202" s="1364">
        <v>1</v>
      </c>
      <c r="D202" s="1532" t="s">
        <v>1052</v>
      </c>
      <c r="E202" s="1506" t="s">
        <v>1052</v>
      </c>
      <c r="F202" s="1533"/>
      <c r="G202" s="1506" t="s">
        <v>1053</v>
      </c>
      <c r="H202" s="1833">
        <v>0</v>
      </c>
      <c r="I202" s="1834">
        <v>0</v>
      </c>
      <c r="J202" s="1834">
        <v>0</v>
      </c>
      <c r="K202" s="1834">
        <v>0</v>
      </c>
      <c r="L202" s="1535">
        <f t="shared" si="27"/>
        <v>0</v>
      </c>
      <c r="N202" s="1536">
        <f>SUMIF(CF.2!$H$5:$H$25,CF.1!E202,CF.2!$J$5:$J$25)-SUMIF(CF.2!$K$5:$K$25,CF.1!E202,CF.2!$M$5:$M$25)</f>
        <v>0</v>
      </c>
      <c r="O202" s="1534">
        <f>SUMIF(CF.2!$H$31:$H$60,CF.1!E202,CF.2!$J$31:$J$60)+SUMIF(CF.2!$K$31:$K$60,CF.1!E202,CF.2!$M$31:$M$60)</f>
        <v>0</v>
      </c>
      <c r="P202" s="1534">
        <f>SUMIF(CF.2!$H$65:$H$108,CF.1!E202,CF.2!$J$65:$J$108)+SUMIF(CF.2!$K$65:$K$108,CF.1!E202,CF.2!$M$65:$M$108)</f>
        <v>0</v>
      </c>
      <c r="Q202" s="1534">
        <f>SUMIF(CF.2!$H$112:$H$118,CF.1!E202,CF.2!$J$112:$J$118)+SUMIF(CF.2!$K$112:$K$118,CF.1!E202,CF.2!$M$112:$M$118)</f>
        <v>0</v>
      </c>
      <c r="R202" s="1534">
        <f>SUMIF(CF.2!$H$123:$H$134,CF.1!E202,CF.2!$J$123:$J$134)+SUMIF(CF.2!$K$123:$K$134,CF.1!E202,CF.2!$M$123:$M$134)</f>
        <v>0</v>
      </c>
      <c r="S202" s="1535">
        <f t="shared" si="28"/>
        <v>0</v>
      </c>
      <c r="U202" s="1537">
        <f t="shared" si="29"/>
        <v>0</v>
      </c>
    </row>
    <row r="203" spans="3:21" ht="18" customHeight="1">
      <c r="C203" s="1364">
        <v>1</v>
      </c>
      <c r="D203" s="1532" t="s">
        <v>1054</v>
      </c>
      <c r="E203" s="1506" t="s">
        <v>1054</v>
      </c>
      <c r="F203" s="1533"/>
      <c r="G203" s="1506" t="s">
        <v>1055</v>
      </c>
      <c r="H203" s="1833">
        <v>0</v>
      </c>
      <c r="I203" s="1834">
        <v>0</v>
      </c>
      <c r="J203" s="1834">
        <v>0</v>
      </c>
      <c r="K203" s="1834">
        <v>0</v>
      </c>
      <c r="L203" s="1535">
        <f t="shared" si="27"/>
        <v>0</v>
      </c>
      <c r="N203" s="1536">
        <f>SUMIF(CF.2!$H$5:$H$25,CF.1!E203,CF.2!$J$5:$J$25)-SUMIF(CF.2!$K$5:$K$25,CF.1!E203,CF.2!$M$5:$M$25)</f>
        <v>0</v>
      </c>
      <c r="O203" s="1534">
        <f>SUMIF(CF.2!$H$31:$H$60,CF.1!E203,CF.2!$J$31:$J$60)+SUMIF(CF.2!$K$31:$K$60,CF.1!E203,CF.2!$M$31:$M$60)</f>
        <v>0</v>
      </c>
      <c r="P203" s="1534">
        <f>SUMIF(CF.2!$H$65:$H$108,CF.1!E203,CF.2!$J$65:$J$108)+SUMIF(CF.2!$K$65:$K$108,CF.1!E203,CF.2!$M$65:$M$108)</f>
        <v>0</v>
      </c>
      <c r="Q203" s="1534">
        <f>SUMIF(CF.2!$H$112:$H$118,CF.1!E203,CF.2!$J$112:$J$118)+SUMIF(CF.2!$K$112:$K$118,CF.1!E203,CF.2!$M$112:$M$118)</f>
        <v>0</v>
      </c>
      <c r="R203" s="1534">
        <f>SUMIF(CF.2!$H$123:$H$134,CF.1!E203,CF.2!$J$123:$J$134)+SUMIF(CF.2!$K$123:$K$134,CF.1!E203,CF.2!$M$123:$M$134)</f>
        <v>0</v>
      </c>
      <c r="S203" s="1535">
        <f t="shared" si="28"/>
        <v>0</v>
      </c>
      <c r="U203" s="1537">
        <f t="shared" si="29"/>
        <v>0</v>
      </c>
    </row>
    <row r="204" spans="3:21" ht="18" customHeight="1">
      <c r="C204" s="1364">
        <v>1</v>
      </c>
      <c r="D204" s="1532" t="s">
        <v>1056</v>
      </c>
      <c r="E204" s="1506" t="s">
        <v>1056</v>
      </c>
      <c r="F204" s="1533"/>
      <c r="G204" s="1506" t="s">
        <v>1057</v>
      </c>
      <c r="H204" s="1833">
        <v>0</v>
      </c>
      <c r="I204" s="1834">
        <v>0</v>
      </c>
      <c r="J204" s="1834">
        <v>0</v>
      </c>
      <c r="K204" s="1834">
        <v>0</v>
      </c>
      <c r="L204" s="1535">
        <f t="shared" si="27"/>
        <v>0</v>
      </c>
      <c r="N204" s="1536">
        <f>SUMIF(CF.2!$H$5:$H$25,CF.1!E204,CF.2!$J$5:$J$25)-SUMIF(CF.2!$K$5:$K$25,CF.1!E204,CF.2!$M$5:$M$25)</f>
        <v>0</v>
      </c>
      <c r="O204" s="1534">
        <f>SUMIF(CF.2!$H$31:$H$60,CF.1!E204,CF.2!$J$31:$J$60)+SUMIF(CF.2!$K$31:$K$60,CF.1!E204,CF.2!$M$31:$M$60)</f>
        <v>0</v>
      </c>
      <c r="P204" s="1534">
        <f>SUMIF(CF.2!$H$65:$H$108,CF.1!E204,CF.2!$J$65:$J$108)+SUMIF(CF.2!$K$65:$K$108,CF.1!E204,CF.2!$M$65:$M$108)</f>
        <v>0</v>
      </c>
      <c r="Q204" s="1534">
        <f>SUMIF(CF.2!$H$112:$H$118,CF.1!E204,CF.2!$J$112:$J$118)+SUMIF(CF.2!$K$112:$K$118,CF.1!E204,CF.2!$M$112:$M$118)</f>
        <v>0</v>
      </c>
      <c r="R204" s="1534">
        <f>SUMIF(CF.2!$H$123:$H$134,CF.1!E204,CF.2!$J$123:$J$134)+SUMIF(CF.2!$K$123:$K$134,CF.1!E204,CF.2!$M$123:$M$134)</f>
        <v>0</v>
      </c>
      <c r="S204" s="1535">
        <f t="shared" si="28"/>
        <v>0</v>
      </c>
      <c r="U204" s="1537">
        <f t="shared" si="29"/>
        <v>0</v>
      </c>
    </row>
    <row r="205" spans="3:21" ht="18" customHeight="1">
      <c r="C205" s="1364">
        <v>1</v>
      </c>
      <c r="D205" s="1532" t="s">
        <v>1058</v>
      </c>
      <c r="E205" s="1506" t="s">
        <v>1058</v>
      </c>
      <c r="F205" s="1533"/>
      <c r="G205" s="1506" t="s">
        <v>1059</v>
      </c>
      <c r="H205" s="1833">
        <v>0</v>
      </c>
      <c r="I205" s="1834">
        <v>0</v>
      </c>
      <c r="J205" s="1834">
        <v>0</v>
      </c>
      <c r="K205" s="1834">
        <v>0</v>
      </c>
      <c r="L205" s="1535">
        <f t="shared" si="27"/>
        <v>0</v>
      </c>
      <c r="N205" s="1536">
        <f>SUMIF(CF.2!$H$5:$H$25,CF.1!E205,CF.2!$J$5:$J$25)-SUMIF(CF.2!$K$5:$K$25,CF.1!E205,CF.2!$M$5:$M$25)</f>
        <v>0</v>
      </c>
      <c r="O205" s="1534">
        <f>SUMIF(CF.2!$H$31:$H$60,CF.1!E205,CF.2!$J$31:$J$60)+SUMIF(CF.2!$K$31:$K$60,CF.1!E205,CF.2!$M$31:$M$60)</f>
        <v>0</v>
      </c>
      <c r="P205" s="1534">
        <f>SUMIF(CF.2!$H$65:$H$108,CF.1!E205,CF.2!$J$65:$J$108)+SUMIF(CF.2!$K$65:$K$108,CF.1!E205,CF.2!$M$65:$M$108)</f>
        <v>0</v>
      </c>
      <c r="Q205" s="1534">
        <f>SUMIF(CF.2!$H$112:$H$118,CF.1!E205,CF.2!$J$112:$J$118)+SUMIF(CF.2!$K$112:$K$118,CF.1!E205,CF.2!$M$112:$M$118)</f>
        <v>0</v>
      </c>
      <c r="R205" s="1534">
        <f>SUMIF(CF.2!$H$123:$H$134,CF.1!E205,CF.2!$J$123:$J$134)+SUMIF(CF.2!$K$123:$K$134,CF.1!E205,CF.2!$M$123:$M$134)</f>
        <v>0</v>
      </c>
      <c r="S205" s="1535">
        <f t="shared" si="28"/>
        <v>0</v>
      </c>
      <c r="U205" s="1537">
        <f t="shared" si="29"/>
        <v>0</v>
      </c>
    </row>
    <row r="206" spans="3:21" ht="18" customHeight="1">
      <c r="C206" s="1364">
        <v>1</v>
      </c>
      <c r="D206" s="1532" t="s">
        <v>1060</v>
      </c>
      <c r="E206" s="1506" t="s">
        <v>1060</v>
      </c>
      <c r="F206" s="1533"/>
      <c r="G206" s="1506" t="s">
        <v>1061</v>
      </c>
      <c r="H206" s="1833">
        <v>0</v>
      </c>
      <c r="I206" s="1834">
        <v>0</v>
      </c>
      <c r="J206" s="1834">
        <v>0</v>
      </c>
      <c r="K206" s="1834">
        <v>0</v>
      </c>
      <c r="L206" s="1535">
        <f t="shared" si="27"/>
        <v>0</v>
      </c>
      <c r="N206" s="1536">
        <f>SUMIF(CF.2!$H$5:$H$25,CF.1!E206,CF.2!$J$5:$J$25)-SUMIF(CF.2!$K$5:$K$25,CF.1!E206,CF.2!$M$5:$M$25)</f>
        <v>0</v>
      </c>
      <c r="O206" s="1534">
        <f>SUMIF(CF.2!$H$31:$H$60,CF.1!E206,CF.2!$J$31:$J$60)+SUMIF(CF.2!$K$31:$K$60,CF.1!E206,CF.2!$M$31:$M$60)</f>
        <v>0</v>
      </c>
      <c r="P206" s="1534">
        <f>SUMIF(CF.2!$H$65:$H$108,CF.1!E206,CF.2!$J$65:$J$108)+SUMIF(CF.2!$K$65:$K$108,CF.1!E206,CF.2!$M$65:$M$108)</f>
        <v>0</v>
      </c>
      <c r="Q206" s="1534">
        <f>SUMIF(CF.2!$H$112:$H$118,CF.1!E206,CF.2!$J$112:$J$118)+SUMIF(CF.2!$K$112:$K$118,CF.1!E206,CF.2!$M$112:$M$118)</f>
        <v>0</v>
      </c>
      <c r="R206" s="1534">
        <f>SUMIF(CF.2!$H$123:$H$134,CF.1!E206,CF.2!$J$123:$J$134)+SUMIF(CF.2!$K$123:$K$134,CF.1!E206,CF.2!$M$123:$M$134)</f>
        <v>0</v>
      </c>
      <c r="S206" s="1535">
        <f t="shared" si="28"/>
        <v>0</v>
      </c>
      <c r="U206" s="1537">
        <f t="shared" si="29"/>
        <v>0</v>
      </c>
    </row>
    <row r="207" spans="3:21" ht="18" customHeight="1">
      <c r="C207" s="1364">
        <v>1</v>
      </c>
      <c r="D207" s="1532" t="s">
        <v>1062</v>
      </c>
      <c r="E207" s="1506" t="s">
        <v>1062</v>
      </c>
      <c r="F207" s="1533"/>
      <c r="G207" s="1506" t="s">
        <v>1063</v>
      </c>
      <c r="H207" s="1833">
        <v>0</v>
      </c>
      <c r="I207" s="1834">
        <v>0</v>
      </c>
      <c r="J207" s="1834">
        <v>0</v>
      </c>
      <c r="K207" s="1834">
        <v>0</v>
      </c>
      <c r="L207" s="1535">
        <f t="shared" si="27"/>
        <v>0</v>
      </c>
      <c r="N207" s="1536">
        <f>SUMIF(CF.2!$H$5:$H$25,CF.1!E207,CF.2!$J$5:$J$25)-SUMIF(CF.2!$K$5:$K$25,CF.1!E207,CF.2!$M$5:$M$25)</f>
        <v>0</v>
      </c>
      <c r="O207" s="1534">
        <f>SUMIF(CF.2!$H$31:$H$60,CF.1!E207,CF.2!$J$31:$J$60)+SUMIF(CF.2!$K$31:$K$60,CF.1!E207,CF.2!$M$31:$M$60)</f>
        <v>0</v>
      </c>
      <c r="P207" s="1534">
        <f>SUMIF(CF.2!$H$65:$H$108,CF.1!E207,CF.2!$J$65:$J$108)+SUMIF(CF.2!$K$65:$K$108,CF.1!E207,CF.2!$M$65:$M$108)</f>
        <v>0</v>
      </c>
      <c r="Q207" s="1534">
        <f>SUMIF(CF.2!$H$112:$H$118,CF.1!E207,CF.2!$J$112:$J$118)+SUMIF(CF.2!$K$112:$K$118,CF.1!E207,CF.2!$M$112:$M$118)</f>
        <v>0</v>
      </c>
      <c r="R207" s="1534">
        <f>SUMIF(CF.2!$H$123:$H$134,CF.1!E207,CF.2!$J$123:$J$134)+SUMIF(CF.2!$K$123:$K$134,CF.1!E207,CF.2!$M$123:$M$134)</f>
        <v>0</v>
      </c>
      <c r="S207" s="1535">
        <f t="shared" si="28"/>
        <v>0</v>
      </c>
      <c r="U207" s="1537">
        <f t="shared" si="29"/>
        <v>0</v>
      </c>
    </row>
    <row r="208" spans="3:21" ht="18" customHeight="1">
      <c r="C208" s="1364">
        <v>1</v>
      </c>
      <c r="D208" s="1532" t="s">
        <v>1064</v>
      </c>
      <c r="E208" s="1506" t="s">
        <v>1064</v>
      </c>
      <c r="F208" s="1533"/>
      <c r="G208" s="1506" t="s">
        <v>1065</v>
      </c>
      <c r="H208" s="1833">
        <v>0</v>
      </c>
      <c r="I208" s="1834">
        <v>0</v>
      </c>
      <c r="J208" s="1834">
        <v>0</v>
      </c>
      <c r="K208" s="1834">
        <v>0</v>
      </c>
      <c r="L208" s="1535">
        <f t="shared" si="27"/>
        <v>0</v>
      </c>
      <c r="N208" s="1536">
        <f>SUMIF(CF.2!$H$5:$H$25,CF.1!E208,CF.2!$J$5:$J$25)-SUMIF(CF.2!$K$5:$K$25,CF.1!E208,CF.2!$M$5:$M$25)</f>
        <v>0</v>
      </c>
      <c r="O208" s="1534">
        <f>SUMIF(CF.2!$H$31:$H$60,CF.1!E208,CF.2!$J$31:$J$60)+SUMIF(CF.2!$K$31:$K$60,CF.1!E208,CF.2!$M$31:$M$60)</f>
        <v>0</v>
      </c>
      <c r="P208" s="1534">
        <f>SUMIF(CF.2!$H$65:$H$108,CF.1!E208,CF.2!$J$65:$J$108)+SUMIF(CF.2!$K$65:$K$108,CF.1!E208,CF.2!$M$65:$M$108)</f>
        <v>0</v>
      </c>
      <c r="Q208" s="1534">
        <f>SUMIF(CF.2!$H$112:$H$118,CF.1!E208,CF.2!$J$112:$J$118)+SUMIF(CF.2!$K$112:$K$118,CF.1!E208,CF.2!$M$112:$M$118)</f>
        <v>0</v>
      </c>
      <c r="R208" s="1534">
        <f>SUMIF(CF.2!$H$123:$H$134,CF.1!E208,CF.2!$J$123:$J$134)+SUMIF(CF.2!$K$123:$K$134,CF.1!E208,CF.2!$M$123:$M$134)</f>
        <v>0</v>
      </c>
      <c r="S208" s="1535">
        <f t="shared" si="28"/>
        <v>0</v>
      </c>
      <c r="U208" s="1537">
        <f t="shared" si="29"/>
        <v>0</v>
      </c>
    </row>
    <row r="209" spans="3:21" ht="18" customHeight="1">
      <c r="C209" s="1364">
        <v>1</v>
      </c>
      <c r="D209" s="1532" t="s">
        <v>1066</v>
      </c>
      <c r="E209" s="1506" t="s">
        <v>1066</v>
      </c>
      <c r="F209" s="1533"/>
      <c r="G209" s="1506" t="s">
        <v>1067</v>
      </c>
      <c r="H209" s="1833">
        <v>0</v>
      </c>
      <c r="I209" s="1834">
        <v>0</v>
      </c>
      <c r="J209" s="1834">
        <v>0</v>
      </c>
      <c r="K209" s="1834">
        <v>0</v>
      </c>
      <c r="L209" s="1535">
        <f t="shared" si="27"/>
        <v>0</v>
      </c>
      <c r="N209" s="1536">
        <f>SUMIF(CF.2!$H$5:$H$25,CF.1!E209,CF.2!$J$5:$J$25)-SUMIF(CF.2!$K$5:$K$25,CF.1!E209,CF.2!$M$5:$M$25)</f>
        <v>0</v>
      </c>
      <c r="O209" s="1534">
        <f>SUMIF(CF.2!$H$31:$H$60,CF.1!E209,CF.2!$J$31:$J$60)+SUMIF(CF.2!$K$31:$K$60,CF.1!E209,CF.2!$M$31:$M$60)</f>
        <v>0</v>
      </c>
      <c r="P209" s="1534">
        <f>SUMIF(CF.2!$H$65:$H$108,CF.1!E209,CF.2!$J$65:$J$108)+SUMIF(CF.2!$K$65:$K$108,CF.1!E209,CF.2!$M$65:$M$108)</f>
        <v>0</v>
      </c>
      <c r="Q209" s="1534">
        <f>SUMIF(CF.2!$H$112:$H$118,CF.1!E209,CF.2!$J$112:$J$118)+SUMIF(CF.2!$K$112:$K$118,CF.1!E209,CF.2!$M$112:$M$118)</f>
        <v>0</v>
      </c>
      <c r="R209" s="1534">
        <f>SUMIF(CF.2!$H$123:$H$134,CF.1!E209,CF.2!$J$123:$J$134)+SUMIF(CF.2!$K$123:$K$134,CF.1!E209,CF.2!$M$123:$M$134)</f>
        <v>0</v>
      </c>
      <c r="S209" s="1535">
        <f t="shared" si="28"/>
        <v>0</v>
      </c>
      <c r="U209" s="1537">
        <f t="shared" si="29"/>
        <v>0</v>
      </c>
    </row>
    <row r="210" spans="3:21" ht="18" customHeight="1">
      <c r="C210" s="1364">
        <v>1</v>
      </c>
      <c r="D210" s="1532" t="s">
        <v>1068</v>
      </c>
      <c r="E210" s="1506" t="s">
        <v>1068</v>
      </c>
      <c r="F210" s="1533"/>
      <c r="G210" s="1506" t="s">
        <v>1069</v>
      </c>
      <c r="H210" s="1833">
        <v>0</v>
      </c>
      <c r="I210" s="1834">
        <v>0</v>
      </c>
      <c r="J210" s="1834">
        <v>0</v>
      </c>
      <c r="K210" s="1834">
        <v>0</v>
      </c>
      <c r="L210" s="1535">
        <f t="shared" si="27"/>
        <v>0</v>
      </c>
      <c r="N210" s="1536">
        <f>SUMIF(CF.2!$H$5:$H$25,CF.1!E210,CF.2!$J$5:$J$25)-SUMIF(CF.2!$K$5:$K$25,CF.1!E210,CF.2!$M$5:$M$25)</f>
        <v>0</v>
      </c>
      <c r="O210" s="1534">
        <f>SUMIF(CF.2!$H$31:$H$60,CF.1!E210,CF.2!$J$31:$J$60)+SUMIF(CF.2!$K$31:$K$60,CF.1!E210,CF.2!$M$31:$M$60)</f>
        <v>0</v>
      </c>
      <c r="P210" s="1534">
        <f>SUMIF(CF.2!$H$65:$H$108,CF.1!E210,CF.2!$J$65:$J$108)+SUMIF(CF.2!$K$65:$K$108,CF.1!E210,CF.2!$M$65:$M$108)</f>
        <v>0</v>
      </c>
      <c r="Q210" s="1534">
        <f>SUMIF(CF.2!$H$112:$H$118,CF.1!E210,CF.2!$J$112:$J$118)+SUMIF(CF.2!$K$112:$K$118,CF.1!E210,CF.2!$M$112:$M$118)</f>
        <v>0</v>
      </c>
      <c r="R210" s="1534">
        <f>SUMIF(CF.2!$H$123:$H$134,CF.1!E210,CF.2!$J$123:$J$134)+SUMIF(CF.2!$K$123:$K$134,CF.1!E210,CF.2!$M$123:$M$134)</f>
        <v>0</v>
      </c>
      <c r="S210" s="1535">
        <f t="shared" si="28"/>
        <v>0</v>
      </c>
      <c r="U210" s="1537">
        <f t="shared" si="29"/>
        <v>0</v>
      </c>
    </row>
    <row r="211" spans="3:21" ht="18" customHeight="1">
      <c r="C211" s="1364">
        <v>1</v>
      </c>
      <c r="D211" s="1532" t="s">
        <v>1070</v>
      </c>
      <c r="E211" s="1506" t="s">
        <v>1070</v>
      </c>
      <c r="F211" s="1533"/>
      <c r="G211" s="1506" t="s">
        <v>1071</v>
      </c>
      <c r="H211" s="1833">
        <v>0</v>
      </c>
      <c r="I211" s="1834">
        <v>0</v>
      </c>
      <c r="J211" s="1834">
        <v>0</v>
      </c>
      <c r="K211" s="1834">
        <v>0</v>
      </c>
      <c r="L211" s="1535">
        <f t="shared" si="27"/>
        <v>0</v>
      </c>
      <c r="N211" s="1536">
        <f>SUMIF(CF.2!$H$5:$H$25,CF.1!E211,CF.2!$J$5:$J$25)-SUMIF(CF.2!$K$5:$K$25,CF.1!E211,CF.2!$M$5:$M$25)</f>
        <v>0</v>
      </c>
      <c r="O211" s="1534">
        <f>SUMIF(CF.2!$H$31:$H$60,CF.1!E211,CF.2!$J$31:$J$60)+SUMIF(CF.2!$K$31:$K$60,CF.1!E211,CF.2!$M$31:$M$60)</f>
        <v>0</v>
      </c>
      <c r="P211" s="1534">
        <f>SUMIF(CF.2!$H$65:$H$108,CF.1!E211,CF.2!$J$65:$J$108)+SUMIF(CF.2!$K$65:$K$108,CF.1!E211,CF.2!$M$65:$M$108)</f>
        <v>0</v>
      </c>
      <c r="Q211" s="1534">
        <f>SUMIF(CF.2!$H$112:$H$118,CF.1!E211,CF.2!$J$112:$J$118)+SUMIF(CF.2!$K$112:$K$118,CF.1!E211,CF.2!$M$112:$M$118)</f>
        <v>0</v>
      </c>
      <c r="R211" s="1534">
        <f>SUMIF(CF.2!$H$123:$H$134,CF.1!E211,CF.2!$J$123:$J$134)+SUMIF(CF.2!$K$123:$K$134,CF.1!E211,CF.2!$M$123:$M$134)</f>
        <v>0</v>
      </c>
      <c r="S211" s="1535">
        <f t="shared" si="28"/>
        <v>0</v>
      </c>
      <c r="U211" s="1537">
        <f t="shared" si="29"/>
        <v>0</v>
      </c>
    </row>
    <row r="212" spans="3:21" ht="18" customHeight="1">
      <c r="C212" s="1364">
        <v>1</v>
      </c>
      <c r="D212" s="1532" t="s">
        <v>1072</v>
      </c>
      <c r="E212" s="1506" t="s">
        <v>1072</v>
      </c>
      <c r="F212" s="1533"/>
      <c r="G212" s="1506" t="s">
        <v>1073</v>
      </c>
      <c r="H212" s="1833">
        <v>0</v>
      </c>
      <c r="I212" s="1834">
        <v>0</v>
      </c>
      <c r="J212" s="1834">
        <v>0</v>
      </c>
      <c r="K212" s="1834">
        <v>0</v>
      </c>
      <c r="L212" s="1535">
        <f t="shared" si="27"/>
        <v>0</v>
      </c>
      <c r="N212" s="1536">
        <f>SUMIF(CF.2!$H$5:$H$25,CF.1!E212,CF.2!$J$5:$J$25)-SUMIF(CF.2!$K$5:$K$25,CF.1!E212,CF.2!$M$5:$M$25)</f>
        <v>0</v>
      </c>
      <c r="O212" s="1534">
        <f>SUMIF(CF.2!$H$31:$H$60,CF.1!E212,CF.2!$J$31:$J$60)+SUMIF(CF.2!$K$31:$K$60,CF.1!E212,CF.2!$M$31:$M$60)</f>
        <v>0</v>
      </c>
      <c r="P212" s="1534">
        <f>SUMIF(CF.2!$H$65:$H$108,CF.1!E212,CF.2!$J$65:$J$108)+SUMIF(CF.2!$K$65:$K$108,CF.1!E212,CF.2!$M$65:$M$108)</f>
        <v>0</v>
      </c>
      <c r="Q212" s="1534">
        <f>SUMIF(CF.2!$H$112:$H$118,CF.1!E212,CF.2!$J$112:$J$118)+SUMIF(CF.2!$K$112:$K$118,CF.1!E212,CF.2!$M$112:$M$118)</f>
        <v>0</v>
      </c>
      <c r="R212" s="1534">
        <f>SUMIF(CF.2!$H$123:$H$134,CF.1!E212,CF.2!$J$123:$J$134)+SUMIF(CF.2!$K$123:$K$134,CF.1!E212,CF.2!$M$123:$M$134)</f>
        <v>0</v>
      </c>
      <c r="S212" s="1535">
        <f t="shared" si="28"/>
        <v>0</v>
      </c>
      <c r="U212" s="1537">
        <f t="shared" si="29"/>
        <v>0</v>
      </c>
    </row>
    <row r="213" spans="3:21" ht="18" customHeight="1">
      <c r="C213" s="1364">
        <v>1</v>
      </c>
      <c r="D213" s="1532" t="s">
        <v>1074</v>
      </c>
      <c r="E213" s="1506" t="s">
        <v>1380</v>
      </c>
      <c r="F213" s="1533" t="s">
        <v>1434</v>
      </c>
      <c r="G213" s="1506" t="s">
        <v>1377</v>
      </c>
      <c r="H213" s="1833">
        <v>0</v>
      </c>
      <c r="I213" s="1834">
        <v>0</v>
      </c>
      <c r="J213" s="1834">
        <v>0</v>
      </c>
      <c r="K213" s="1834">
        <v>0</v>
      </c>
      <c r="L213" s="1535">
        <f t="shared" si="27"/>
        <v>0</v>
      </c>
      <c r="N213" s="1536">
        <f>SUMIF(CF.2!$H$5:$H$25,CF.1!E213,CF.2!$J$5:$J$25)-SUMIF(CF.2!$K$5:$K$25,CF.1!E213,CF.2!$M$5:$M$25)</f>
        <v>0</v>
      </c>
      <c r="O213" s="1534">
        <f>SUMIF(CF.2!$H$31:$H$60,CF.1!E213,CF.2!$J$31:$J$60)+SUMIF(CF.2!$K$31:$K$60,CF.1!E213,CF.2!$M$31:$M$60)</f>
        <v>0</v>
      </c>
      <c r="P213" s="1534">
        <f>SUMIF(CF.2!$H$65:$H$108,CF.1!E213,CF.2!$J$65:$J$108)+SUMIF(CF.2!$K$65:$K$108,CF.1!E213,CF.2!$M$65:$M$108)</f>
        <v>0</v>
      </c>
      <c r="Q213" s="1534">
        <f>SUMIF(CF.2!$H$112:$H$118,CF.1!E213,CF.2!$J$112:$J$118)+SUMIF(CF.2!$K$112:$K$118,CF.1!E213,CF.2!$M$112:$M$118)</f>
        <v>0</v>
      </c>
      <c r="R213" s="1534">
        <f>SUMIF(CF.2!$H$123:$H$134,CF.1!E213,CF.2!$J$123:$J$134)+SUMIF(CF.2!$K$123:$K$134,CF.1!E213,CF.2!$M$123:$M$134)</f>
        <v>0</v>
      </c>
      <c r="S213" s="1535">
        <f t="shared" si="28"/>
        <v>0</v>
      </c>
      <c r="U213" s="1537">
        <f t="shared" si="29"/>
        <v>0</v>
      </c>
    </row>
    <row r="214" spans="3:21" ht="18" customHeight="1">
      <c r="C214" s="1364">
        <v>1</v>
      </c>
      <c r="D214" s="1532" t="s">
        <v>1074</v>
      </c>
      <c r="E214" s="1506" t="s">
        <v>1381</v>
      </c>
      <c r="F214" s="1533" t="s">
        <v>1434</v>
      </c>
      <c r="G214" s="1506" t="s">
        <v>1378</v>
      </c>
      <c r="H214" s="1833">
        <v>63853034</v>
      </c>
      <c r="I214" s="1834">
        <v>0</v>
      </c>
      <c r="J214" s="1834">
        <v>0</v>
      </c>
      <c r="K214" s="1834">
        <v>0</v>
      </c>
      <c r="L214" s="1535">
        <f t="shared" si="27"/>
        <v>63853034</v>
      </c>
      <c r="N214" s="1536">
        <f>SUMIF(CF.2!$H$5:$H$25,CF.1!E214,CF.2!$J$5:$J$25)-SUMIF(CF.2!$K$5:$K$25,CF.1!E214,CF.2!$M$5:$M$25)</f>
        <v>0</v>
      </c>
      <c r="O214" s="1534">
        <f>SUMIF(CF.2!$H$31:$H$60,CF.1!E214,CF.2!$J$31:$J$60)+SUMIF(CF.2!$K$31:$K$60,CF.1!E214,CF.2!$M$31:$M$60)</f>
        <v>0</v>
      </c>
      <c r="P214" s="1534">
        <f>SUMIF(CF.2!$H$65:$H$108,CF.1!E214,CF.2!$J$65:$J$108)+SUMIF(CF.2!$K$65:$K$108,CF.1!E214,CF.2!$M$65:$M$108)</f>
        <v>0</v>
      </c>
      <c r="Q214" s="1534">
        <f>SUMIF(CF.2!$H$112:$H$118,CF.1!E214,CF.2!$J$112:$J$118)+SUMIF(CF.2!$K$112:$K$118,CF.1!E214,CF.2!$M$112:$M$118)</f>
        <v>0</v>
      </c>
      <c r="R214" s="1534">
        <f>SUMIF(CF.2!$H$123:$H$134,CF.1!E214,CF.2!$J$123:$J$134)+SUMIF(CF.2!$K$123:$K$134,CF.1!E214,CF.2!$M$123:$M$134)</f>
        <v>-216671</v>
      </c>
      <c r="S214" s="1535">
        <f t="shared" si="28"/>
        <v>-216671</v>
      </c>
      <c r="U214" s="1537">
        <f t="shared" si="29"/>
        <v>63636363</v>
      </c>
    </row>
    <row r="215" spans="3:21" ht="18" customHeight="1">
      <c r="C215" s="1364">
        <v>1</v>
      </c>
      <c r="D215" s="1532" t="s">
        <v>1074</v>
      </c>
      <c r="E215" s="1506" t="s">
        <v>1382</v>
      </c>
      <c r="F215" s="1533" t="s">
        <v>1434</v>
      </c>
      <c r="G215" s="1506" t="s">
        <v>1379</v>
      </c>
      <c r="H215" s="1833">
        <v>0</v>
      </c>
      <c r="I215" s="1834">
        <v>0</v>
      </c>
      <c r="J215" s="1834">
        <v>0</v>
      </c>
      <c r="K215" s="1834">
        <v>0</v>
      </c>
      <c r="L215" s="1535">
        <f t="shared" si="27"/>
        <v>0</v>
      </c>
      <c r="N215" s="1536">
        <f>SUMIF(CF.2!$H$5:$H$25,CF.1!E215,CF.2!$J$5:$J$25)-SUMIF(CF.2!$K$5:$K$25,CF.1!E215,CF.2!$M$5:$M$25)</f>
        <v>0</v>
      </c>
      <c r="O215" s="1534">
        <f>SUMIF(CF.2!$H$31:$H$60,CF.1!E215,CF.2!$J$31:$J$60)+SUMIF(CF.2!$K$31:$K$60,CF.1!E215,CF.2!$M$31:$M$60)</f>
        <v>0</v>
      </c>
      <c r="P215" s="1534">
        <f>SUMIF(CF.2!$H$65:$H$108,CF.1!E215,CF.2!$J$65:$J$108)+SUMIF(CF.2!$K$65:$K$108,CF.1!E215,CF.2!$M$65:$M$108)</f>
        <v>0</v>
      </c>
      <c r="Q215" s="1534">
        <f>SUMIF(CF.2!$H$112:$H$118,CF.1!E215,CF.2!$J$112:$J$118)+SUMIF(CF.2!$K$112:$K$118,CF.1!E215,CF.2!$M$112:$M$118)</f>
        <v>0</v>
      </c>
      <c r="R215" s="1534">
        <f>SUMIF(CF.2!$H$123:$H$134,CF.1!E215,CF.2!$J$123:$J$134)+SUMIF(CF.2!$K$123:$K$134,CF.1!E215,CF.2!$M$123:$M$134)</f>
        <v>0</v>
      </c>
      <c r="S215" s="1535">
        <f t="shared" si="28"/>
        <v>0</v>
      </c>
      <c r="U215" s="1537">
        <f t="shared" si="29"/>
        <v>0</v>
      </c>
    </row>
    <row r="216" spans="3:21" ht="18" customHeight="1">
      <c r="C216" s="1364">
        <v>1</v>
      </c>
      <c r="D216" s="1532" t="s">
        <v>1075</v>
      </c>
      <c r="E216" s="1506" t="s">
        <v>1075</v>
      </c>
      <c r="F216" s="1533"/>
      <c r="G216" s="1506" t="s">
        <v>1076</v>
      </c>
      <c r="H216" s="1833">
        <v>0</v>
      </c>
      <c r="I216" s="1834">
        <v>0</v>
      </c>
      <c r="J216" s="1834">
        <v>0</v>
      </c>
      <c r="K216" s="1834">
        <v>0</v>
      </c>
      <c r="L216" s="1535">
        <f t="shared" si="27"/>
        <v>0</v>
      </c>
      <c r="N216" s="1536">
        <f>SUMIF(CF.2!$H$5:$H$25,CF.1!E216,CF.2!$J$5:$J$25)-SUMIF(CF.2!$K$5:$K$25,CF.1!E216,CF.2!$M$5:$M$25)</f>
        <v>0</v>
      </c>
      <c r="O216" s="1534">
        <f>SUMIF(CF.2!$H$31:$H$60,CF.1!E216,CF.2!$J$31:$J$60)+SUMIF(CF.2!$K$31:$K$60,CF.1!E216,CF.2!$M$31:$M$60)</f>
        <v>0</v>
      </c>
      <c r="P216" s="1534">
        <f>SUMIF(CF.2!$H$65:$H$108,CF.1!E216,CF.2!$J$65:$J$108)+SUMIF(CF.2!$K$65:$K$108,CF.1!E216,CF.2!$M$65:$M$108)</f>
        <v>0</v>
      </c>
      <c r="Q216" s="1534">
        <f>SUMIF(CF.2!$H$112:$H$118,CF.1!E216,CF.2!$J$112:$J$118)+SUMIF(CF.2!$K$112:$K$118,CF.1!E216,CF.2!$M$112:$M$118)</f>
        <v>0</v>
      </c>
      <c r="R216" s="1534">
        <f>SUMIF(CF.2!$H$123:$H$134,CF.1!E216,CF.2!$J$123:$J$134)+SUMIF(CF.2!$K$123:$K$134,CF.1!E216,CF.2!$M$123:$M$134)</f>
        <v>0</v>
      </c>
      <c r="S216" s="1535">
        <f t="shared" si="28"/>
        <v>0</v>
      </c>
      <c r="U216" s="1537">
        <f t="shared" si="29"/>
        <v>0</v>
      </c>
    </row>
    <row r="217" spans="3:21" ht="18" customHeight="1">
      <c r="C217" s="1364">
        <v>1</v>
      </c>
      <c r="D217" s="1532" t="s">
        <v>1077</v>
      </c>
      <c r="E217" s="1506" t="s">
        <v>1077</v>
      </c>
      <c r="F217" s="1533"/>
      <c r="G217" s="1506" t="s">
        <v>1078</v>
      </c>
      <c r="H217" s="1833">
        <v>0</v>
      </c>
      <c r="I217" s="1834">
        <v>0</v>
      </c>
      <c r="J217" s="1834">
        <v>0</v>
      </c>
      <c r="K217" s="1834">
        <v>0</v>
      </c>
      <c r="L217" s="1535">
        <f t="shared" ref="L217:L241" si="30">SUM(H217:K217)</f>
        <v>0</v>
      </c>
      <c r="N217" s="1536">
        <f>SUMIF(CF.2!$H$5:$H$25,CF.1!E217,CF.2!$J$5:$J$25)-SUMIF(CF.2!$K$5:$K$25,CF.1!E217,CF.2!$M$5:$M$25)</f>
        <v>0</v>
      </c>
      <c r="O217" s="1534">
        <f>SUMIF(CF.2!$H$31:$H$60,CF.1!E217,CF.2!$J$31:$J$60)+SUMIF(CF.2!$K$31:$K$60,CF.1!E217,CF.2!$M$31:$M$60)</f>
        <v>0</v>
      </c>
      <c r="P217" s="1534">
        <f>SUMIF(CF.2!$H$65:$H$108,CF.1!E217,CF.2!$J$65:$J$108)+SUMIF(CF.2!$K$65:$K$108,CF.1!E217,CF.2!$M$65:$M$108)</f>
        <v>0</v>
      </c>
      <c r="Q217" s="1534">
        <f>SUMIF(CF.2!$H$112:$H$118,CF.1!E217,CF.2!$J$112:$J$118)+SUMIF(CF.2!$K$112:$K$118,CF.1!E217,CF.2!$M$112:$M$118)</f>
        <v>0</v>
      </c>
      <c r="R217" s="1534">
        <f>SUMIF(CF.2!$H$123:$H$134,CF.1!E217,CF.2!$J$123:$J$134)+SUMIF(CF.2!$K$123:$K$134,CF.1!E217,CF.2!$M$123:$M$134)</f>
        <v>0</v>
      </c>
      <c r="S217" s="1535">
        <f t="shared" ref="S217:S241" si="31">SUM(N217:R217)</f>
        <v>0</v>
      </c>
      <c r="U217" s="1537">
        <f t="shared" ref="U217:U241" si="32">ROUND(S217+L217,0)</f>
        <v>0</v>
      </c>
    </row>
    <row r="218" spans="3:21" ht="18" customHeight="1">
      <c r="C218" s="1364">
        <v>1</v>
      </c>
      <c r="D218" s="1532" t="s">
        <v>1079</v>
      </c>
      <c r="E218" s="1506" t="s">
        <v>1079</v>
      </c>
      <c r="F218" s="1533"/>
      <c r="G218" s="1506" t="s">
        <v>1080</v>
      </c>
      <c r="H218" s="1833">
        <v>0</v>
      </c>
      <c r="I218" s="1834">
        <v>0</v>
      </c>
      <c r="J218" s="1834">
        <v>0</v>
      </c>
      <c r="K218" s="1834">
        <v>0</v>
      </c>
      <c r="L218" s="1535">
        <f t="shared" si="30"/>
        <v>0</v>
      </c>
      <c r="N218" s="1536">
        <f>SUMIF(CF.2!$H$5:$H$25,CF.1!E218,CF.2!$J$5:$J$25)-SUMIF(CF.2!$K$5:$K$25,CF.1!E218,CF.2!$M$5:$M$25)</f>
        <v>0</v>
      </c>
      <c r="O218" s="1534">
        <f>SUMIF(CF.2!$H$31:$H$60,CF.1!E218,CF.2!$J$31:$J$60)+SUMIF(CF.2!$K$31:$K$60,CF.1!E218,CF.2!$M$31:$M$60)</f>
        <v>0</v>
      </c>
      <c r="P218" s="1534">
        <f>SUMIF(CF.2!$H$65:$H$108,CF.1!E218,CF.2!$J$65:$J$108)+SUMIF(CF.2!$K$65:$K$108,CF.1!E218,CF.2!$M$65:$M$108)</f>
        <v>0</v>
      </c>
      <c r="Q218" s="1534">
        <f>SUMIF(CF.2!$H$112:$H$118,CF.1!E218,CF.2!$J$112:$J$118)+SUMIF(CF.2!$K$112:$K$118,CF.1!E218,CF.2!$M$112:$M$118)</f>
        <v>0</v>
      </c>
      <c r="R218" s="1534">
        <f>SUMIF(CF.2!$H$123:$H$134,CF.1!E218,CF.2!$J$123:$J$134)+SUMIF(CF.2!$K$123:$K$134,CF.1!E218,CF.2!$M$123:$M$134)</f>
        <v>0</v>
      </c>
      <c r="S218" s="1535">
        <f t="shared" si="31"/>
        <v>0</v>
      </c>
      <c r="U218" s="1537">
        <f t="shared" si="32"/>
        <v>0</v>
      </c>
    </row>
    <row r="219" spans="3:21" ht="18" customHeight="1">
      <c r="C219" s="1364">
        <v>1</v>
      </c>
      <c r="D219" s="1532" t="s">
        <v>1081</v>
      </c>
      <c r="E219" s="1506" t="s">
        <v>1081</v>
      </c>
      <c r="F219" s="1533" t="s">
        <v>1434</v>
      </c>
      <c r="G219" s="1506" t="s">
        <v>1082</v>
      </c>
      <c r="H219" s="1833">
        <v>0</v>
      </c>
      <c r="I219" s="1834">
        <v>0</v>
      </c>
      <c r="J219" s="1834">
        <v>0</v>
      </c>
      <c r="K219" s="1834">
        <v>0</v>
      </c>
      <c r="L219" s="1535">
        <f t="shared" si="30"/>
        <v>0</v>
      </c>
      <c r="N219" s="1536">
        <f>SUMIF(CF.2!$H$5:$H$25,CF.1!E219,CF.2!$J$5:$J$25)-SUMIF(CF.2!$K$5:$K$25,CF.1!E219,CF.2!$M$5:$M$25)</f>
        <v>0</v>
      </c>
      <c r="O219" s="1534">
        <f>SUMIF(CF.2!$H$31:$H$60,CF.1!E219,CF.2!$J$31:$J$60)+SUMIF(CF.2!$K$31:$K$60,CF.1!E219,CF.2!$M$31:$M$60)</f>
        <v>0</v>
      </c>
      <c r="P219" s="1534">
        <f>SUMIF(CF.2!$H$65:$H$108,CF.1!E219,CF.2!$J$65:$J$108)+SUMIF(CF.2!$K$65:$K$108,CF.1!E219,CF.2!$M$65:$M$108)</f>
        <v>0</v>
      </c>
      <c r="Q219" s="1534">
        <f>SUMIF(CF.2!$H$112:$H$118,CF.1!E219,CF.2!$J$112:$J$118)+SUMIF(CF.2!$K$112:$K$118,CF.1!E219,CF.2!$M$112:$M$118)</f>
        <v>0</v>
      </c>
      <c r="R219" s="1534">
        <f>SUMIF(CF.2!$H$123:$H$134,CF.1!E219,CF.2!$J$123:$J$134)+SUMIF(CF.2!$K$123:$K$134,CF.1!E219,CF.2!$M$123:$M$134)</f>
        <v>0</v>
      </c>
      <c r="S219" s="1535">
        <f t="shared" si="31"/>
        <v>0</v>
      </c>
      <c r="U219" s="1537">
        <f t="shared" si="32"/>
        <v>0</v>
      </c>
    </row>
    <row r="220" spans="3:21" ht="18" customHeight="1">
      <c r="C220" s="1364">
        <v>1</v>
      </c>
      <c r="D220" s="1532" t="s">
        <v>1083</v>
      </c>
      <c r="E220" s="1506" t="s">
        <v>1083</v>
      </c>
      <c r="F220" s="1533"/>
      <c r="G220" s="1506" t="s">
        <v>1084</v>
      </c>
      <c r="H220" s="1833">
        <v>0</v>
      </c>
      <c r="I220" s="1834">
        <v>0</v>
      </c>
      <c r="J220" s="1834">
        <v>0</v>
      </c>
      <c r="K220" s="1834">
        <v>0</v>
      </c>
      <c r="L220" s="1535">
        <f t="shared" si="30"/>
        <v>0</v>
      </c>
      <c r="N220" s="1536">
        <f>SUMIF(CF.2!$H$5:$H$25,CF.1!E220,CF.2!$J$5:$J$25)-SUMIF(CF.2!$K$5:$K$25,CF.1!E220,CF.2!$M$5:$M$25)</f>
        <v>0</v>
      </c>
      <c r="O220" s="1534">
        <f>SUMIF(CF.2!$H$31:$H$60,CF.1!E220,CF.2!$J$31:$J$60)+SUMIF(CF.2!$K$31:$K$60,CF.1!E220,CF.2!$M$31:$M$60)</f>
        <v>0</v>
      </c>
      <c r="P220" s="1534">
        <f>SUMIF(CF.2!$H$65:$H$108,CF.1!E220,CF.2!$J$65:$J$108)+SUMIF(CF.2!$K$65:$K$108,CF.1!E220,CF.2!$M$65:$M$108)</f>
        <v>0</v>
      </c>
      <c r="Q220" s="1534">
        <f>SUMIF(CF.2!$H$112:$H$118,CF.1!E220,CF.2!$J$112:$J$118)+SUMIF(CF.2!$K$112:$K$118,CF.1!E220,CF.2!$M$112:$M$118)</f>
        <v>0</v>
      </c>
      <c r="R220" s="1534">
        <f>SUMIF(CF.2!$H$123:$H$134,CF.1!E220,CF.2!$J$123:$J$134)+SUMIF(CF.2!$K$123:$K$134,CF.1!E220,CF.2!$M$123:$M$134)</f>
        <v>0</v>
      </c>
      <c r="S220" s="1535">
        <f t="shared" si="31"/>
        <v>0</v>
      </c>
      <c r="U220" s="1537">
        <f t="shared" si="32"/>
        <v>0</v>
      </c>
    </row>
    <row r="221" spans="3:21" ht="18" customHeight="1">
      <c r="C221" s="1364">
        <v>1</v>
      </c>
      <c r="D221" s="1532" t="s">
        <v>1085</v>
      </c>
      <c r="E221" s="1506" t="s">
        <v>1085</v>
      </c>
      <c r="F221" s="1533"/>
      <c r="G221" s="1506" t="s">
        <v>1086</v>
      </c>
      <c r="H221" s="1833">
        <v>0</v>
      </c>
      <c r="I221" s="1834">
        <v>0</v>
      </c>
      <c r="J221" s="1834">
        <v>0</v>
      </c>
      <c r="K221" s="1834">
        <v>0</v>
      </c>
      <c r="L221" s="1535">
        <f t="shared" si="30"/>
        <v>0</v>
      </c>
      <c r="N221" s="1536">
        <f>SUMIF(CF.2!$H$5:$H$25,CF.1!E221,CF.2!$J$5:$J$25)-SUMIF(CF.2!$K$5:$K$25,CF.1!E221,CF.2!$M$5:$M$25)</f>
        <v>0</v>
      </c>
      <c r="O221" s="1534">
        <f>SUMIF(CF.2!$H$31:$H$60,CF.1!E221,CF.2!$J$31:$J$60)+SUMIF(CF.2!$K$31:$K$60,CF.1!E221,CF.2!$M$31:$M$60)</f>
        <v>0</v>
      </c>
      <c r="P221" s="1534">
        <f>SUMIF(CF.2!$H$65:$H$108,CF.1!E221,CF.2!$J$65:$J$108)+SUMIF(CF.2!$K$65:$K$108,CF.1!E221,CF.2!$M$65:$M$108)</f>
        <v>0</v>
      </c>
      <c r="Q221" s="1534">
        <f>SUMIF(CF.2!$H$112:$H$118,CF.1!E221,CF.2!$J$112:$J$118)+SUMIF(CF.2!$K$112:$K$118,CF.1!E221,CF.2!$M$112:$M$118)</f>
        <v>0</v>
      </c>
      <c r="R221" s="1534">
        <f>SUMIF(CF.2!$H$123:$H$134,CF.1!E221,CF.2!$J$123:$J$134)+SUMIF(CF.2!$K$123:$K$134,CF.1!E221,CF.2!$M$123:$M$134)</f>
        <v>0</v>
      </c>
      <c r="S221" s="1535">
        <f t="shared" si="31"/>
        <v>0</v>
      </c>
      <c r="U221" s="1537">
        <f t="shared" si="32"/>
        <v>0</v>
      </c>
    </row>
    <row r="222" spans="3:21" ht="18" customHeight="1">
      <c r="C222" s="1364">
        <v>1</v>
      </c>
      <c r="D222" s="1532" t="s">
        <v>1087</v>
      </c>
      <c r="E222" s="1506" t="s">
        <v>1087</v>
      </c>
      <c r="F222" s="1533" t="s">
        <v>1435</v>
      </c>
      <c r="G222" s="1506" t="s">
        <v>1088</v>
      </c>
      <c r="H222" s="1833">
        <v>0</v>
      </c>
      <c r="I222" s="1834">
        <v>0</v>
      </c>
      <c r="J222" s="1834">
        <v>0</v>
      </c>
      <c r="K222" s="1834">
        <v>0</v>
      </c>
      <c r="L222" s="1535">
        <f t="shared" si="30"/>
        <v>0</v>
      </c>
      <c r="N222" s="1536">
        <f>SUMIF(CF.2!$H$5:$H$25,CF.1!E222,CF.2!$J$5:$J$25)-SUMIF(CF.2!$K$5:$K$25,CF.1!E222,CF.2!$M$5:$M$25)</f>
        <v>0</v>
      </c>
      <c r="O222" s="1534">
        <f>SUMIF(CF.2!$H$31:$H$60,CF.1!E222,CF.2!$J$31:$J$60)+SUMIF(CF.2!$K$31:$K$60,CF.1!E222,CF.2!$M$31:$M$60)</f>
        <v>0</v>
      </c>
      <c r="P222" s="1534">
        <f>SUMIF(CF.2!$H$65:$H$108,CF.1!E222,CF.2!$J$65:$J$108)+SUMIF(CF.2!$K$65:$K$108,CF.1!E222,CF.2!$M$65:$M$108)</f>
        <v>0</v>
      </c>
      <c r="Q222" s="1534">
        <f>SUMIF(CF.2!$H$112:$H$118,CF.1!E222,CF.2!$J$112:$J$118)+SUMIF(CF.2!$K$112:$K$118,CF.1!E222,CF.2!$M$112:$M$118)</f>
        <v>0</v>
      </c>
      <c r="R222" s="1534">
        <f>SUMIF(CF.2!$H$123:$H$134,CF.1!E222,CF.2!$J$123:$J$134)+SUMIF(CF.2!$K$123:$K$134,CF.1!E222,CF.2!$M$123:$M$134)</f>
        <v>0</v>
      </c>
      <c r="S222" s="1535">
        <f t="shared" si="31"/>
        <v>0</v>
      </c>
      <c r="U222" s="1537">
        <f t="shared" si="32"/>
        <v>0</v>
      </c>
    </row>
    <row r="223" spans="3:21" ht="18" customHeight="1">
      <c r="C223" s="1364">
        <v>1</v>
      </c>
      <c r="D223" s="1532" t="s">
        <v>1089</v>
      </c>
      <c r="E223" s="1506" t="s">
        <v>1089</v>
      </c>
      <c r="F223" s="1533"/>
      <c r="G223" s="1506" t="s">
        <v>1090</v>
      </c>
      <c r="H223" s="1833">
        <v>0</v>
      </c>
      <c r="I223" s="1834">
        <v>0</v>
      </c>
      <c r="J223" s="1834">
        <v>0</v>
      </c>
      <c r="K223" s="1834">
        <v>0</v>
      </c>
      <c r="L223" s="1535">
        <f t="shared" si="30"/>
        <v>0</v>
      </c>
      <c r="N223" s="1536">
        <f>SUMIF(CF.2!$H$5:$H$25,CF.1!E223,CF.2!$J$5:$J$25)-SUMIF(CF.2!$K$5:$K$25,CF.1!E223,CF.2!$M$5:$M$25)</f>
        <v>0</v>
      </c>
      <c r="O223" s="1534">
        <f>SUMIF(CF.2!$H$31:$H$60,CF.1!E223,CF.2!$J$31:$J$60)+SUMIF(CF.2!$K$31:$K$60,CF.1!E223,CF.2!$M$31:$M$60)</f>
        <v>0</v>
      </c>
      <c r="P223" s="1534">
        <f>SUMIF(CF.2!$H$65:$H$108,CF.1!E223,CF.2!$J$65:$J$108)+SUMIF(CF.2!$K$65:$K$108,CF.1!E223,CF.2!$M$65:$M$108)</f>
        <v>0</v>
      </c>
      <c r="Q223" s="1534">
        <f>SUMIF(CF.2!$H$112:$H$118,CF.1!E223,CF.2!$J$112:$J$118)+SUMIF(CF.2!$K$112:$K$118,CF.1!E223,CF.2!$M$112:$M$118)</f>
        <v>0</v>
      </c>
      <c r="R223" s="1534">
        <f>SUMIF(CF.2!$H$123:$H$134,CF.1!E223,CF.2!$J$123:$J$134)+SUMIF(CF.2!$K$123:$K$134,CF.1!E223,CF.2!$M$123:$M$134)</f>
        <v>0</v>
      </c>
      <c r="S223" s="1535">
        <f t="shared" si="31"/>
        <v>0</v>
      </c>
      <c r="U223" s="1537">
        <f t="shared" si="32"/>
        <v>0</v>
      </c>
    </row>
    <row r="224" spans="3:21" ht="18" customHeight="1">
      <c r="C224" s="1364">
        <v>1</v>
      </c>
      <c r="D224" s="1532" t="s">
        <v>1091</v>
      </c>
      <c r="E224" s="1506" t="s">
        <v>1091</v>
      </c>
      <c r="F224" s="1533"/>
      <c r="G224" s="1506" t="s">
        <v>1092</v>
      </c>
      <c r="H224" s="1833">
        <v>0</v>
      </c>
      <c r="I224" s="1834">
        <v>0</v>
      </c>
      <c r="J224" s="1834">
        <v>0</v>
      </c>
      <c r="K224" s="1834">
        <v>0</v>
      </c>
      <c r="L224" s="1535">
        <f t="shared" si="30"/>
        <v>0</v>
      </c>
      <c r="N224" s="1536">
        <f>SUMIF(CF.2!$H$5:$H$25,CF.1!E224,CF.2!$J$5:$J$25)-SUMIF(CF.2!$K$5:$K$25,CF.1!E224,CF.2!$M$5:$M$25)</f>
        <v>0</v>
      </c>
      <c r="O224" s="1534">
        <f>SUMIF(CF.2!$H$31:$H$60,CF.1!E224,CF.2!$J$31:$J$60)+SUMIF(CF.2!$K$31:$K$60,CF.1!E224,CF.2!$M$31:$M$60)</f>
        <v>0</v>
      </c>
      <c r="P224" s="1534">
        <f>SUMIF(CF.2!$H$65:$H$108,CF.1!E224,CF.2!$J$65:$J$108)+SUMIF(CF.2!$K$65:$K$108,CF.1!E224,CF.2!$M$65:$M$108)</f>
        <v>0</v>
      </c>
      <c r="Q224" s="1534">
        <f>SUMIF(CF.2!$H$112:$H$118,CF.1!E224,CF.2!$J$112:$J$118)+SUMIF(CF.2!$K$112:$K$118,CF.1!E224,CF.2!$M$112:$M$118)</f>
        <v>0</v>
      </c>
      <c r="R224" s="1534">
        <f>SUMIF(CF.2!$H$123:$H$134,CF.1!E224,CF.2!$J$123:$J$134)+SUMIF(CF.2!$K$123:$K$134,CF.1!E224,CF.2!$M$123:$M$134)</f>
        <v>0</v>
      </c>
      <c r="S224" s="1535">
        <f t="shared" si="31"/>
        <v>0</v>
      </c>
      <c r="U224" s="1537">
        <f t="shared" si="32"/>
        <v>0</v>
      </c>
    </row>
    <row r="225" spans="3:21" ht="18" customHeight="1">
      <c r="C225" s="1364">
        <v>1</v>
      </c>
      <c r="D225" s="1532" t="s">
        <v>1093</v>
      </c>
      <c r="E225" s="1506" t="s">
        <v>1093</v>
      </c>
      <c r="F225" s="1533"/>
      <c r="G225" s="1506" t="s">
        <v>1094</v>
      </c>
      <c r="H225" s="1833">
        <v>0</v>
      </c>
      <c r="I225" s="1834">
        <v>0</v>
      </c>
      <c r="J225" s="1834">
        <v>0</v>
      </c>
      <c r="K225" s="1834">
        <v>0</v>
      </c>
      <c r="L225" s="1535">
        <f t="shared" si="30"/>
        <v>0</v>
      </c>
      <c r="N225" s="1536">
        <f>SUMIF(CF.2!$H$5:$H$25,CF.1!E225,CF.2!$J$5:$J$25)-SUMIF(CF.2!$K$5:$K$25,CF.1!E225,CF.2!$M$5:$M$25)</f>
        <v>0</v>
      </c>
      <c r="O225" s="1534">
        <f>SUMIF(CF.2!$H$31:$H$60,CF.1!E225,CF.2!$J$31:$J$60)+SUMIF(CF.2!$K$31:$K$60,CF.1!E225,CF.2!$M$31:$M$60)</f>
        <v>0</v>
      </c>
      <c r="P225" s="1534">
        <f>SUMIF(CF.2!$H$65:$H$108,CF.1!E225,CF.2!$J$65:$J$108)+SUMIF(CF.2!$K$65:$K$108,CF.1!E225,CF.2!$M$65:$M$108)</f>
        <v>0</v>
      </c>
      <c r="Q225" s="1534">
        <f>SUMIF(CF.2!$H$112:$H$118,CF.1!E225,CF.2!$J$112:$J$118)+SUMIF(CF.2!$K$112:$K$118,CF.1!E225,CF.2!$M$112:$M$118)</f>
        <v>0</v>
      </c>
      <c r="R225" s="1534">
        <f>SUMIF(CF.2!$H$123:$H$134,CF.1!E225,CF.2!$J$123:$J$134)+SUMIF(CF.2!$K$123:$K$134,CF.1!E225,CF.2!$M$123:$M$134)</f>
        <v>0</v>
      </c>
      <c r="S225" s="1535">
        <f t="shared" si="31"/>
        <v>0</v>
      </c>
      <c r="U225" s="1537">
        <f t="shared" si="32"/>
        <v>0</v>
      </c>
    </row>
    <row r="226" spans="3:21" ht="18" customHeight="1">
      <c r="C226" s="1364">
        <v>1</v>
      </c>
      <c r="D226" s="1532" t="s">
        <v>1095</v>
      </c>
      <c r="E226" s="1506" t="s">
        <v>1384</v>
      </c>
      <c r="F226" s="1533"/>
      <c r="G226" s="1506" t="s">
        <v>1383</v>
      </c>
      <c r="H226" s="1833">
        <v>0</v>
      </c>
      <c r="I226" s="1834">
        <v>0</v>
      </c>
      <c r="J226" s="1834">
        <v>0</v>
      </c>
      <c r="K226" s="1834">
        <v>0</v>
      </c>
      <c r="L226" s="1535">
        <f t="shared" si="30"/>
        <v>0</v>
      </c>
      <c r="N226" s="1536">
        <f>SUMIF(CF.2!$H$5:$H$25,CF.1!E226,CF.2!$J$5:$J$25)-SUMIF(CF.2!$K$5:$K$25,CF.1!E226,CF.2!$M$5:$M$25)</f>
        <v>0</v>
      </c>
      <c r="O226" s="1534">
        <f>SUMIF(CF.2!$H$31:$H$60,CF.1!E226,CF.2!$J$31:$J$60)+SUMIF(CF.2!$K$31:$K$60,CF.1!E226,CF.2!$M$31:$M$60)</f>
        <v>0</v>
      </c>
      <c r="P226" s="1534">
        <f>SUMIF(CF.2!$H$65:$H$108,CF.1!E226,CF.2!$J$65:$J$108)+SUMIF(CF.2!$K$65:$K$108,CF.1!E226,CF.2!$M$65:$M$108)</f>
        <v>0</v>
      </c>
      <c r="Q226" s="1534">
        <f>SUMIF(CF.2!$H$112:$H$118,CF.1!E226,CF.2!$J$112:$J$118)+SUMIF(CF.2!$K$112:$K$118,CF.1!E226,CF.2!$M$112:$M$118)</f>
        <v>0</v>
      </c>
      <c r="R226" s="1534">
        <f>SUMIF(CF.2!$H$123:$H$134,CF.1!E226,CF.2!$J$123:$J$134)+SUMIF(CF.2!$K$123:$K$134,CF.1!E226,CF.2!$M$123:$M$134)</f>
        <v>0</v>
      </c>
      <c r="S226" s="1535">
        <f t="shared" si="31"/>
        <v>0</v>
      </c>
      <c r="U226" s="1537">
        <f t="shared" si="32"/>
        <v>0</v>
      </c>
    </row>
    <row r="227" spans="3:21" ht="18" customHeight="1">
      <c r="C227" s="1364">
        <v>1</v>
      </c>
      <c r="D227" s="1532" t="s">
        <v>1095</v>
      </c>
      <c r="E227" s="1506" t="s">
        <v>1385</v>
      </c>
      <c r="F227" s="1533"/>
      <c r="G227" s="1506" t="s">
        <v>1096</v>
      </c>
      <c r="H227" s="1833">
        <v>0</v>
      </c>
      <c r="I227" s="1834">
        <v>0</v>
      </c>
      <c r="J227" s="1834">
        <v>0</v>
      </c>
      <c r="K227" s="1834">
        <v>0</v>
      </c>
      <c r="L227" s="1535">
        <f t="shared" si="30"/>
        <v>0</v>
      </c>
      <c r="N227" s="1536">
        <f>SUMIF(CF.2!$H$5:$H$25,CF.1!E227,CF.2!$J$5:$J$25)-SUMIF(CF.2!$K$5:$K$25,CF.1!E227,CF.2!$M$5:$M$25)</f>
        <v>0</v>
      </c>
      <c r="O227" s="1534">
        <f>SUMIF(CF.2!$H$31:$H$60,CF.1!E227,CF.2!$J$31:$J$60)+SUMIF(CF.2!$K$31:$K$60,CF.1!E227,CF.2!$M$31:$M$60)</f>
        <v>0</v>
      </c>
      <c r="P227" s="1534">
        <f>SUMIF(CF.2!$H$65:$H$108,CF.1!E227,CF.2!$J$65:$J$108)+SUMIF(CF.2!$K$65:$K$108,CF.1!E227,CF.2!$M$65:$M$108)</f>
        <v>0</v>
      </c>
      <c r="Q227" s="1534">
        <f>SUMIF(CF.2!$H$112:$H$118,CF.1!E227,CF.2!$J$112:$J$118)+SUMIF(CF.2!$K$112:$K$118,CF.1!E227,CF.2!$M$112:$M$118)</f>
        <v>0</v>
      </c>
      <c r="R227" s="1534">
        <f>SUMIF(CF.2!$H$123:$H$134,CF.1!E227,CF.2!$J$123:$J$134)+SUMIF(CF.2!$K$123:$K$134,CF.1!E227,CF.2!$M$123:$M$134)</f>
        <v>0</v>
      </c>
      <c r="S227" s="1535">
        <f t="shared" si="31"/>
        <v>0</v>
      </c>
      <c r="U227" s="1537">
        <f t="shared" si="32"/>
        <v>0</v>
      </c>
    </row>
    <row r="228" spans="3:21" ht="18" customHeight="1">
      <c r="C228" s="1364">
        <v>1</v>
      </c>
      <c r="D228" s="1532" t="s">
        <v>1097</v>
      </c>
      <c r="E228" s="1506" t="s">
        <v>1097</v>
      </c>
      <c r="F228" s="1533"/>
      <c r="G228" s="1506" t="s">
        <v>1098</v>
      </c>
      <c r="H228" s="1833">
        <v>0</v>
      </c>
      <c r="I228" s="1834">
        <v>0</v>
      </c>
      <c r="J228" s="1834">
        <v>0</v>
      </c>
      <c r="K228" s="1834">
        <v>0</v>
      </c>
      <c r="L228" s="1535">
        <f t="shared" si="30"/>
        <v>0</v>
      </c>
      <c r="N228" s="1536">
        <f>SUMIF(CF.2!$H$5:$H$25,CF.1!E228,CF.2!$J$5:$J$25)-SUMIF(CF.2!$K$5:$K$25,CF.1!E228,CF.2!$M$5:$M$25)</f>
        <v>0</v>
      </c>
      <c r="O228" s="1534">
        <f>SUMIF(CF.2!$H$31:$H$60,CF.1!E228,CF.2!$J$31:$J$60)+SUMIF(CF.2!$K$31:$K$60,CF.1!E228,CF.2!$M$31:$M$60)</f>
        <v>0</v>
      </c>
      <c r="P228" s="1534">
        <f>SUMIF(CF.2!$H$65:$H$108,CF.1!E228,CF.2!$J$65:$J$108)+SUMIF(CF.2!$K$65:$K$108,CF.1!E228,CF.2!$M$65:$M$108)</f>
        <v>0</v>
      </c>
      <c r="Q228" s="1534">
        <f>SUMIF(CF.2!$H$112:$H$118,CF.1!E228,CF.2!$J$112:$J$118)+SUMIF(CF.2!$K$112:$K$118,CF.1!E228,CF.2!$M$112:$M$118)</f>
        <v>0</v>
      </c>
      <c r="R228" s="1534">
        <f>SUMIF(CF.2!$H$123:$H$134,CF.1!E228,CF.2!$J$123:$J$134)+SUMIF(CF.2!$K$123:$K$134,CF.1!E228,CF.2!$M$123:$M$134)</f>
        <v>0</v>
      </c>
      <c r="S228" s="1535">
        <f t="shared" si="31"/>
        <v>0</v>
      </c>
      <c r="U228" s="1537">
        <f t="shared" si="32"/>
        <v>0</v>
      </c>
    </row>
    <row r="229" spans="3:21" ht="18" customHeight="1">
      <c r="C229" s="1364">
        <v>1</v>
      </c>
      <c r="D229" s="1532" t="s">
        <v>1099</v>
      </c>
      <c r="E229" s="1506" t="s">
        <v>1099</v>
      </c>
      <c r="F229" s="1533"/>
      <c r="G229" s="1506" t="s">
        <v>1100</v>
      </c>
      <c r="H229" s="1833">
        <v>0</v>
      </c>
      <c r="I229" s="1834">
        <v>0</v>
      </c>
      <c r="J229" s="1834">
        <v>0</v>
      </c>
      <c r="K229" s="1834">
        <v>0</v>
      </c>
      <c r="L229" s="1535">
        <f t="shared" si="30"/>
        <v>0</v>
      </c>
      <c r="N229" s="1536">
        <f>SUMIF(CF.2!$H$5:$H$25,CF.1!E229,CF.2!$J$5:$J$25)-SUMIF(CF.2!$K$5:$K$25,CF.1!E229,CF.2!$M$5:$M$25)</f>
        <v>0</v>
      </c>
      <c r="O229" s="1534">
        <f>SUMIF(CF.2!$H$31:$H$60,CF.1!E229,CF.2!$J$31:$J$60)+SUMIF(CF.2!$K$31:$K$60,CF.1!E229,CF.2!$M$31:$M$60)</f>
        <v>0</v>
      </c>
      <c r="P229" s="1534">
        <f>SUMIF(CF.2!$H$65:$H$108,CF.1!E229,CF.2!$J$65:$J$108)+SUMIF(CF.2!$K$65:$K$108,CF.1!E229,CF.2!$M$65:$M$108)</f>
        <v>0</v>
      </c>
      <c r="Q229" s="1534">
        <f>SUMIF(CF.2!$H$112:$H$118,CF.1!E229,CF.2!$J$112:$J$118)+SUMIF(CF.2!$K$112:$K$118,CF.1!E229,CF.2!$M$112:$M$118)</f>
        <v>0</v>
      </c>
      <c r="R229" s="1534">
        <f>SUMIF(CF.2!$H$123:$H$134,CF.1!E229,CF.2!$J$123:$J$134)+SUMIF(CF.2!$K$123:$K$134,CF.1!E229,CF.2!$M$123:$M$134)</f>
        <v>0</v>
      </c>
      <c r="S229" s="1535">
        <f t="shared" si="31"/>
        <v>0</v>
      </c>
      <c r="U229" s="1537">
        <f t="shared" si="32"/>
        <v>0</v>
      </c>
    </row>
    <row r="230" spans="3:21" ht="18" customHeight="1">
      <c r="C230" s="1364">
        <v>1</v>
      </c>
      <c r="D230" s="1532" t="s">
        <v>1101</v>
      </c>
      <c r="E230" s="1506" t="s">
        <v>1101</v>
      </c>
      <c r="F230" s="1533"/>
      <c r="G230" s="1506" t="s">
        <v>1102</v>
      </c>
      <c r="H230" s="1833">
        <v>0</v>
      </c>
      <c r="I230" s="1834">
        <v>0</v>
      </c>
      <c r="J230" s="1834">
        <v>0</v>
      </c>
      <c r="K230" s="1834">
        <v>0</v>
      </c>
      <c r="L230" s="1535">
        <f t="shared" si="30"/>
        <v>0</v>
      </c>
      <c r="N230" s="1536">
        <f>SUMIF(CF.2!$H$5:$H$25,CF.1!E230,CF.2!$J$5:$J$25)-SUMIF(CF.2!$K$5:$K$25,CF.1!E230,CF.2!$M$5:$M$25)</f>
        <v>0</v>
      </c>
      <c r="O230" s="1534">
        <f>SUMIF(CF.2!$H$31:$H$60,CF.1!E230,CF.2!$J$31:$J$60)+SUMIF(CF.2!$K$31:$K$60,CF.1!E230,CF.2!$M$31:$M$60)</f>
        <v>0</v>
      </c>
      <c r="P230" s="1534">
        <f>SUMIF(CF.2!$H$65:$H$108,CF.1!E230,CF.2!$J$65:$J$108)+SUMIF(CF.2!$K$65:$K$108,CF.1!E230,CF.2!$M$65:$M$108)</f>
        <v>0</v>
      </c>
      <c r="Q230" s="1534">
        <f>SUMIF(CF.2!$H$112:$H$118,CF.1!E230,CF.2!$J$112:$J$118)+SUMIF(CF.2!$K$112:$K$118,CF.1!E230,CF.2!$M$112:$M$118)</f>
        <v>0</v>
      </c>
      <c r="R230" s="1534">
        <f>SUMIF(CF.2!$H$123:$H$134,CF.1!E230,CF.2!$J$123:$J$134)+SUMIF(CF.2!$K$123:$K$134,CF.1!E230,CF.2!$M$123:$M$134)</f>
        <v>0</v>
      </c>
      <c r="S230" s="1535">
        <f t="shared" si="31"/>
        <v>0</v>
      </c>
      <c r="U230" s="1537">
        <f t="shared" si="32"/>
        <v>0</v>
      </c>
    </row>
    <row r="231" spans="3:21" ht="18" customHeight="1">
      <c r="C231" s="1364">
        <v>1</v>
      </c>
      <c r="D231" s="1532" t="s">
        <v>1103</v>
      </c>
      <c r="E231" s="1506" t="s">
        <v>1103</v>
      </c>
      <c r="F231" s="1533"/>
      <c r="G231" s="1506" t="s">
        <v>1104</v>
      </c>
      <c r="H231" s="1833">
        <v>0</v>
      </c>
      <c r="I231" s="1834">
        <v>0</v>
      </c>
      <c r="J231" s="1834">
        <v>0</v>
      </c>
      <c r="K231" s="1834">
        <v>0</v>
      </c>
      <c r="L231" s="1535">
        <f t="shared" si="30"/>
        <v>0</v>
      </c>
      <c r="N231" s="1536">
        <f>SUMIF(CF.2!$H$5:$H$25,CF.1!E231,CF.2!$J$5:$J$25)-SUMIF(CF.2!$K$5:$K$25,CF.1!E231,CF.2!$M$5:$M$25)</f>
        <v>0</v>
      </c>
      <c r="O231" s="1534">
        <f>SUMIF(CF.2!$H$31:$H$60,CF.1!E231,CF.2!$J$31:$J$60)+SUMIF(CF.2!$K$31:$K$60,CF.1!E231,CF.2!$M$31:$M$60)</f>
        <v>0</v>
      </c>
      <c r="P231" s="1534">
        <f>SUMIF(CF.2!$H$65:$H$108,CF.1!E231,CF.2!$J$65:$J$108)+SUMIF(CF.2!$K$65:$K$108,CF.1!E231,CF.2!$M$65:$M$108)</f>
        <v>0</v>
      </c>
      <c r="Q231" s="1534">
        <f>SUMIF(CF.2!$H$112:$H$118,CF.1!E231,CF.2!$J$112:$J$118)+SUMIF(CF.2!$K$112:$K$118,CF.1!E231,CF.2!$M$112:$M$118)</f>
        <v>0</v>
      </c>
      <c r="R231" s="1534">
        <f>SUMIF(CF.2!$H$123:$H$134,CF.1!E231,CF.2!$J$123:$J$134)+SUMIF(CF.2!$K$123:$K$134,CF.1!E231,CF.2!$M$123:$M$134)</f>
        <v>0</v>
      </c>
      <c r="S231" s="1535">
        <f t="shared" si="31"/>
        <v>0</v>
      </c>
      <c r="U231" s="1537">
        <f t="shared" si="32"/>
        <v>0</v>
      </c>
    </row>
    <row r="232" spans="3:21" ht="18" customHeight="1">
      <c r="C232" s="1364">
        <v>1</v>
      </c>
      <c r="D232" s="1532" t="s">
        <v>1105</v>
      </c>
      <c r="E232" s="1506" t="s">
        <v>1105</v>
      </c>
      <c r="F232" s="1533"/>
      <c r="G232" s="1506" t="s">
        <v>1106</v>
      </c>
      <c r="H232" s="1833">
        <v>0</v>
      </c>
      <c r="I232" s="1834">
        <v>0</v>
      </c>
      <c r="J232" s="1834">
        <v>0</v>
      </c>
      <c r="K232" s="1834">
        <v>0</v>
      </c>
      <c r="L232" s="1535">
        <f t="shared" si="30"/>
        <v>0</v>
      </c>
      <c r="N232" s="1536">
        <f>SUMIF(CF.2!$H$5:$H$25,CF.1!E232,CF.2!$J$5:$J$25)-SUMIF(CF.2!$K$5:$K$25,CF.1!E232,CF.2!$M$5:$M$25)</f>
        <v>0</v>
      </c>
      <c r="O232" s="1534">
        <f>SUMIF(CF.2!$H$31:$H$60,CF.1!E232,CF.2!$J$31:$J$60)+SUMIF(CF.2!$K$31:$K$60,CF.1!E232,CF.2!$M$31:$M$60)</f>
        <v>0</v>
      </c>
      <c r="P232" s="1534">
        <f>SUMIF(CF.2!$H$65:$H$108,CF.1!E232,CF.2!$J$65:$J$108)+SUMIF(CF.2!$K$65:$K$108,CF.1!E232,CF.2!$M$65:$M$108)</f>
        <v>0</v>
      </c>
      <c r="Q232" s="1534">
        <f>SUMIF(CF.2!$H$112:$H$118,CF.1!E232,CF.2!$J$112:$J$118)+SUMIF(CF.2!$K$112:$K$118,CF.1!E232,CF.2!$M$112:$M$118)</f>
        <v>0</v>
      </c>
      <c r="R232" s="1534">
        <f>SUMIF(CF.2!$H$123:$H$134,CF.1!E232,CF.2!$J$123:$J$134)+SUMIF(CF.2!$K$123:$K$134,CF.1!E232,CF.2!$M$123:$M$134)</f>
        <v>0</v>
      </c>
      <c r="S232" s="1535">
        <f t="shared" si="31"/>
        <v>0</v>
      </c>
      <c r="U232" s="1537">
        <f t="shared" si="32"/>
        <v>0</v>
      </c>
    </row>
    <row r="233" spans="3:21" ht="18" customHeight="1">
      <c r="C233" s="1364">
        <v>1</v>
      </c>
      <c r="D233" s="1532" t="s">
        <v>1107</v>
      </c>
      <c r="E233" s="1506" t="s">
        <v>1107</v>
      </c>
      <c r="F233" s="1533"/>
      <c r="G233" s="1506" t="s">
        <v>1108</v>
      </c>
      <c r="H233" s="1833">
        <v>0</v>
      </c>
      <c r="I233" s="1834">
        <v>0</v>
      </c>
      <c r="J233" s="1834">
        <v>0</v>
      </c>
      <c r="K233" s="1834">
        <v>0</v>
      </c>
      <c r="L233" s="1535">
        <f t="shared" si="30"/>
        <v>0</v>
      </c>
      <c r="N233" s="1536">
        <f>SUMIF(CF.2!$H$5:$H$25,CF.1!E233,CF.2!$J$5:$J$25)-SUMIF(CF.2!$K$5:$K$25,CF.1!E233,CF.2!$M$5:$M$25)</f>
        <v>0</v>
      </c>
      <c r="O233" s="1534">
        <f>SUMIF(CF.2!$H$31:$H$60,CF.1!E233,CF.2!$J$31:$J$60)+SUMIF(CF.2!$K$31:$K$60,CF.1!E233,CF.2!$M$31:$M$60)</f>
        <v>0</v>
      </c>
      <c r="P233" s="1534">
        <f>SUMIF(CF.2!$H$65:$H$108,CF.1!E233,CF.2!$J$65:$J$108)+SUMIF(CF.2!$K$65:$K$108,CF.1!E233,CF.2!$M$65:$M$108)</f>
        <v>0</v>
      </c>
      <c r="Q233" s="1534">
        <f>SUMIF(CF.2!$H$112:$H$118,CF.1!E233,CF.2!$J$112:$J$118)+SUMIF(CF.2!$K$112:$K$118,CF.1!E233,CF.2!$M$112:$M$118)</f>
        <v>0</v>
      </c>
      <c r="R233" s="1534">
        <f>SUMIF(CF.2!$H$123:$H$134,CF.1!E233,CF.2!$J$123:$J$134)+SUMIF(CF.2!$K$123:$K$134,CF.1!E233,CF.2!$M$123:$M$134)</f>
        <v>0</v>
      </c>
      <c r="S233" s="1535">
        <f t="shared" si="31"/>
        <v>0</v>
      </c>
      <c r="U233" s="1537">
        <f t="shared" si="32"/>
        <v>0</v>
      </c>
    </row>
    <row r="234" spans="3:21" ht="18" customHeight="1">
      <c r="C234" s="1364">
        <v>1</v>
      </c>
      <c r="D234" s="1532" t="s">
        <v>1109</v>
      </c>
      <c r="E234" s="1506" t="s">
        <v>1109</v>
      </c>
      <c r="F234" s="1533"/>
      <c r="G234" s="1506" t="s">
        <v>1110</v>
      </c>
      <c r="H234" s="1833">
        <v>0</v>
      </c>
      <c r="I234" s="1834">
        <v>0</v>
      </c>
      <c r="J234" s="1834">
        <v>0</v>
      </c>
      <c r="K234" s="1834">
        <v>0</v>
      </c>
      <c r="L234" s="1535">
        <f t="shared" si="30"/>
        <v>0</v>
      </c>
      <c r="N234" s="1536">
        <f>SUMIF(CF.2!$H$5:$H$25,CF.1!E234,CF.2!$J$5:$J$25)-SUMIF(CF.2!$K$5:$K$25,CF.1!E234,CF.2!$M$5:$M$25)</f>
        <v>0</v>
      </c>
      <c r="O234" s="1534">
        <f>SUMIF(CF.2!$H$31:$H$60,CF.1!E234,CF.2!$J$31:$J$60)+SUMIF(CF.2!$K$31:$K$60,CF.1!E234,CF.2!$M$31:$M$60)</f>
        <v>0</v>
      </c>
      <c r="P234" s="1534">
        <f>SUMIF(CF.2!$H$65:$H$108,CF.1!E234,CF.2!$J$65:$J$108)+SUMIF(CF.2!$K$65:$K$108,CF.1!E234,CF.2!$M$65:$M$108)</f>
        <v>0</v>
      </c>
      <c r="Q234" s="1534">
        <f>SUMIF(CF.2!$H$112:$H$118,CF.1!E234,CF.2!$J$112:$J$118)+SUMIF(CF.2!$K$112:$K$118,CF.1!E234,CF.2!$M$112:$M$118)</f>
        <v>0</v>
      </c>
      <c r="R234" s="1534">
        <f>SUMIF(CF.2!$H$123:$H$134,CF.1!E234,CF.2!$J$123:$J$134)+SUMIF(CF.2!$K$123:$K$134,CF.1!E234,CF.2!$M$123:$M$134)</f>
        <v>0</v>
      </c>
      <c r="S234" s="1535">
        <f t="shared" si="31"/>
        <v>0</v>
      </c>
      <c r="U234" s="1537">
        <f t="shared" si="32"/>
        <v>0</v>
      </c>
    </row>
    <row r="235" spans="3:21" s="1089" customFormat="1" ht="18" customHeight="1">
      <c r="C235" s="1089">
        <v>1</v>
      </c>
      <c r="D235" s="1538" t="s">
        <v>1111</v>
      </c>
      <c r="E235" s="1276" t="s">
        <v>1111</v>
      </c>
      <c r="F235" s="1539"/>
      <c r="G235" s="1276" t="s">
        <v>1112</v>
      </c>
      <c r="H235" s="1832">
        <v>0</v>
      </c>
      <c r="I235" s="1835">
        <v>0</v>
      </c>
      <c r="J235" s="1835">
        <v>0</v>
      </c>
      <c r="K235" s="1835">
        <v>0</v>
      </c>
      <c r="L235" s="1541">
        <f t="shared" si="30"/>
        <v>0</v>
      </c>
      <c r="N235" s="1555">
        <f>SUMIF(CF.2!$H$5:$H$25,CF.1!E235,CF.2!$J$5:$J$25)-SUMIF(CF.2!$K$5:$K$25,CF.1!E235,CF.2!$M$5:$M$25)</f>
        <v>0</v>
      </c>
      <c r="O235" s="1540">
        <f>SUMIF(CF.2!$H$31:$H$60,CF.1!E235,CF.2!$J$31:$J$60)+SUMIF(CF.2!$K$31:$K$60,CF.1!E235,CF.2!$M$31:$M$60)</f>
        <v>0</v>
      </c>
      <c r="P235" s="1540">
        <f>SUMIF(CF.2!$H$65:$H$108,CF.1!E235,CF.2!$J$65:$J$108)+SUMIF(CF.2!$K$65:$K$108,CF.1!E235,CF.2!$M$65:$M$108)</f>
        <v>0</v>
      </c>
      <c r="Q235" s="1540">
        <f>SUMIF(CF.2!$H$112:$H$118,CF.1!E235,CF.2!$J$112:$J$118)+SUMIF(CF.2!$K$112:$K$118,CF.1!E235,CF.2!$M$112:$M$118)</f>
        <v>0</v>
      </c>
      <c r="R235" s="1540">
        <f>SUMIF(CF.2!$H$123:$H$134,CF.1!E235,CF.2!$J$123:$J$134)+SUMIF(CF.2!$K$123:$K$134,CF.1!E235,CF.2!$M$123:$M$134)</f>
        <v>0</v>
      </c>
      <c r="S235" s="1541">
        <f t="shared" si="31"/>
        <v>0</v>
      </c>
      <c r="U235" s="1542">
        <f t="shared" si="32"/>
        <v>0</v>
      </c>
    </row>
    <row r="236" spans="3:21" s="1089" customFormat="1" ht="18" customHeight="1">
      <c r="C236" s="1089">
        <v>1</v>
      </c>
      <c r="D236" s="1538" t="s">
        <v>1113</v>
      </c>
      <c r="E236" s="1276" t="s">
        <v>1113</v>
      </c>
      <c r="F236" s="1539"/>
      <c r="G236" s="1276" t="s">
        <v>1114</v>
      </c>
      <c r="H236" s="1832">
        <v>0</v>
      </c>
      <c r="I236" s="1835">
        <v>0</v>
      </c>
      <c r="J236" s="1835">
        <v>0</v>
      </c>
      <c r="K236" s="1835">
        <v>0</v>
      </c>
      <c r="L236" s="1541">
        <f t="shared" si="30"/>
        <v>0</v>
      </c>
      <c r="N236" s="1555">
        <f>SUMIF(CF.2!$H$5:$H$25,CF.1!E236,CF.2!$J$5:$J$25)-SUMIF(CF.2!$K$5:$K$25,CF.1!E236,CF.2!$M$5:$M$25)</f>
        <v>0</v>
      </c>
      <c r="O236" s="1540">
        <f>SUMIF(CF.2!$H$31:$H$60,CF.1!E236,CF.2!$J$31:$J$60)+SUMIF(CF.2!$K$31:$K$60,CF.1!E236,CF.2!$M$31:$M$60)</f>
        <v>0</v>
      </c>
      <c r="P236" s="1540">
        <f>SUMIF(CF.2!$H$65:$H$108,CF.1!E236,CF.2!$J$65:$J$108)+SUMIF(CF.2!$K$65:$K$108,CF.1!E236,CF.2!$M$65:$M$108)</f>
        <v>0</v>
      </c>
      <c r="Q236" s="1540">
        <f>SUMIF(CF.2!$H$112:$H$118,CF.1!E236,CF.2!$J$112:$J$118)+SUMIF(CF.2!$K$112:$K$118,CF.1!E236,CF.2!$M$112:$M$118)</f>
        <v>0</v>
      </c>
      <c r="R236" s="1540">
        <f>SUMIF(CF.2!$H$123:$H$134,CF.1!E236,CF.2!$J$123:$J$134)+SUMIF(CF.2!$K$123:$K$134,CF.1!E236,CF.2!$M$123:$M$134)</f>
        <v>0</v>
      </c>
      <c r="S236" s="1541">
        <f t="shared" si="31"/>
        <v>0</v>
      </c>
      <c r="U236" s="1542">
        <f t="shared" si="32"/>
        <v>0</v>
      </c>
    </row>
    <row r="237" spans="3:21" s="1089" customFormat="1" ht="18" customHeight="1">
      <c r="C237" s="1089">
        <v>1</v>
      </c>
      <c r="D237" s="1538" t="s">
        <v>1115</v>
      </c>
      <c r="E237" s="1276" t="s">
        <v>1115</v>
      </c>
      <c r="F237" s="1539" t="s">
        <v>2571</v>
      </c>
      <c r="G237" s="1276" t="s">
        <v>1116</v>
      </c>
      <c r="H237" s="2035">
        <v>23944980000</v>
      </c>
      <c r="I237" s="1835">
        <v>0</v>
      </c>
      <c r="J237" s="1835">
        <v>0</v>
      </c>
      <c r="K237" s="1835">
        <v>0</v>
      </c>
      <c r="L237" s="1541">
        <f t="shared" si="30"/>
        <v>23944980000</v>
      </c>
      <c r="N237" s="1555">
        <f>SUMIF(CF.2!$H$5:$H$25,CF.1!E237,CF.2!$J$5:$J$25)-SUMIF(CF.2!$K$5:$K$25,CF.1!E237,CF.2!$M$5:$M$25)</f>
        <v>0</v>
      </c>
      <c r="O237" s="1540">
        <f>SUMIF(CF.2!$H$31:$H$60,CF.1!E237,CF.2!$J$31:$J$60)+SUMIF(CF.2!$K$31:$K$60,CF.1!E237,CF.2!$M$31:$M$60)</f>
        <v>0</v>
      </c>
      <c r="P237" s="1540">
        <f>SUMIF(CF.2!$H$65:$H$108,CF.1!E237,CF.2!$J$65:$J$108)+SUMIF(CF.2!$K$65:$K$108,CF.1!E237,CF.2!$M$65:$M$108)</f>
        <v>0</v>
      </c>
      <c r="Q237" s="1540">
        <f>SUMIF(CF.2!$H$112:$H$118,CF.1!E237,CF.2!$J$112:$J$118)+SUMIF(CF.2!$K$112:$K$118,CF.1!E237,CF.2!$M$112:$M$118)</f>
        <v>0</v>
      </c>
      <c r="R237" s="1540">
        <f>SUMIF(CF.2!$H$123:$H$134,CF.1!E237,CF.2!$J$123:$J$134)+SUMIF(CF.2!$K$123:$K$134,CF.1!E237,CF.2!$M$123:$M$134)</f>
        <v>0</v>
      </c>
      <c r="S237" s="1541">
        <f t="shared" si="31"/>
        <v>0</v>
      </c>
      <c r="U237" s="1542">
        <f t="shared" si="32"/>
        <v>23944980000</v>
      </c>
    </row>
    <row r="238" spans="3:21" s="1089" customFormat="1" ht="18" customHeight="1">
      <c r="C238" s="1089">
        <v>1</v>
      </c>
      <c r="D238" s="1538" t="s">
        <v>1117</v>
      </c>
      <c r="E238" s="1276" t="s">
        <v>1117</v>
      </c>
      <c r="F238" s="1539"/>
      <c r="G238" s="1276" t="s">
        <v>1118</v>
      </c>
      <c r="H238" s="1832">
        <v>0</v>
      </c>
      <c r="I238" s="1835">
        <v>0</v>
      </c>
      <c r="J238" s="1835">
        <v>0</v>
      </c>
      <c r="K238" s="1835">
        <v>0</v>
      </c>
      <c r="L238" s="1541">
        <f t="shared" si="30"/>
        <v>0</v>
      </c>
      <c r="N238" s="1555">
        <f>SUMIF(CF.2!$H$5:$H$25,CF.1!E238,CF.2!$J$5:$J$25)-SUMIF(CF.2!$K$5:$K$25,CF.1!E238,CF.2!$M$5:$M$25)</f>
        <v>0</v>
      </c>
      <c r="O238" s="1540">
        <f>SUMIF(CF.2!$H$31:$H$60,CF.1!E238,CF.2!$J$31:$J$60)+SUMIF(CF.2!$K$31:$K$60,CF.1!E238,CF.2!$M$31:$M$60)</f>
        <v>0</v>
      </c>
      <c r="P238" s="1540">
        <f>SUMIF(CF.2!$H$65:$H$108,CF.1!E238,CF.2!$J$65:$J$108)+SUMIF(CF.2!$K$65:$K$108,CF.1!E238,CF.2!$M$65:$M$108)</f>
        <v>0</v>
      </c>
      <c r="Q238" s="1540">
        <f>SUMIF(CF.2!$H$112:$H$118,CF.1!E238,CF.2!$J$112:$J$118)+SUMIF(CF.2!$K$112:$K$118,CF.1!E238,CF.2!$M$112:$M$118)</f>
        <v>0</v>
      </c>
      <c r="R238" s="1540">
        <f>SUMIF(CF.2!$H$123:$H$134,CF.1!E238,CF.2!$J$123:$J$134)+SUMIF(CF.2!$K$123:$K$134,CF.1!E238,CF.2!$M$123:$M$134)</f>
        <v>0</v>
      </c>
      <c r="S238" s="1541">
        <f t="shared" si="31"/>
        <v>0</v>
      </c>
      <c r="U238" s="1542">
        <f t="shared" si="32"/>
        <v>0</v>
      </c>
    </row>
    <row r="239" spans="3:21" s="1089" customFormat="1" ht="18" customHeight="1">
      <c r="C239" s="1089">
        <v>1</v>
      </c>
      <c r="D239" s="1538" t="s">
        <v>1119</v>
      </c>
      <c r="E239" s="1276" t="s">
        <v>1119</v>
      </c>
      <c r="F239" s="1539"/>
      <c r="G239" s="1276" t="s">
        <v>1120</v>
      </c>
      <c r="H239" s="1832">
        <v>0</v>
      </c>
      <c r="I239" s="1835">
        <v>0</v>
      </c>
      <c r="J239" s="1835">
        <v>0</v>
      </c>
      <c r="K239" s="1835">
        <v>0</v>
      </c>
      <c r="L239" s="1541">
        <f t="shared" si="30"/>
        <v>0</v>
      </c>
      <c r="N239" s="1555">
        <f>SUMIF(CF.2!$H$5:$H$25,CF.1!E239,CF.2!$J$5:$J$25)-SUMIF(CF.2!$K$5:$K$25,CF.1!E239,CF.2!$M$5:$M$25)</f>
        <v>0</v>
      </c>
      <c r="O239" s="1540">
        <f>SUMIF(CF.2!$H$31:$H$60,CF.1!E239,CF.2!$J$31:$J$60)+SUMIF(CF.2!$K$31:$K$60,CF.1!E239,CF.2!$M$31:$M$60)</f>
        <v>0</v>
      </c>
      <c r="P239" s="1540">
        <f>SUMIF(CF.2!$H$65:$H$108,CF.1!E239,CF.2!$J$65:$J$108)+SUMIF(CF.2!$K$65:$K$108,CF.1!E239,CF.2!$M$65:$M$108)</f>
        <v>0</v>
      </c>
      <c r="Q239" s="1540">
        <f>SUMIF(CF.2!$H$112:$H$118,CF.1!E239,CF.2!$J$112:$J$118)+SUMIF(CF.2!$K$112:$K$118,CF.1!E239,CF.2!$M$112:$M$118)</f>
        <v>0</v>
      </c>
      <c r="R239" s="1540">
        <f>SUMIF(CF.2!$H$123:$H$134,CF.1!E239,CF.2!$J$123:$J$134)+SUMIF(CF.2!$K$123:$K$134,CF.1!E239,CF.2!$M$123:$M$134)</f>
        <v>0</v>
      </c>
      <c r="S239" s="1541">
        <f t="shared" si="31"/>
        <v>0</v>
      </c>
      <c r="U239" s="1542">
        <f t="shared" si="32"/>
        <v>0</v>
      </c>
    </row>
    <row r="240" spans="3:21" ht="18" customHeight="1">
      <c r="C240" s="1364">
        <v>1</v>
      </c>
      <c r="D240" s="1532" t="s">
        <v>1121</v>
      </c>
      <c r="E240" s="1506" t="s">
        <v>1121</v>
      </c>
      <c r="F240" s="1533"/>
      <c r="G240" s="1506" t="s">
        <v>1122</v>
      </c>
      <c r="H240" s="1833">
        <v>0</v>
      </c>
      <c r="I240" s="1834">
        <v>0</v>
      </c>
      <c r="J240" s="1834">
        <v>0</v>
      </c>
      <c r="K240" s="1834">
        <v>0</v>
      </c>
      <c r="L240" s="1535">
        <f t="shared" si="30"/>
        <v>0</v>
      </c>
      <c r="N240" s="1536">
        <f>SUMIF(CF.2!$H$5:$H$25,CF.1!E240,CF.2!$J$5:$J$25)-SUMIF(CF.2!$K$5:$K$25,CF.1!E240,CF.2!$M$5:$M$25)</f>
        <v>0</v>
      </c>
      <c r="O240" s="1534">
        <f>SUMIF(CF.2!$H$31:$H$60,CF.1!E240,CF.2!$J$31:$J$60)+SUMIF(CF.2!$K$31:$K$60,CF.1!E240,CF.2!$M$31:$M$60)</f>
        <v>0</v>
      </c>
      <c r="P240" s="1534">
        <f>SUMIF(CF.2!$H$65:$H$108,CF.1!E240,CF.2!$J$65:$J$108)+SUMIF(CF.2!$K$65:$K$108,CF.1!E240,CF.2!$M$65:$M$108)</f>
        <v>0</v>
      </c>
      <c r="Q240" s="1534">
        <f>SUMIF(CF.2!$H$112:$H$118,CF.1!E240,CF.2!$J$112:$J$118)+SUMIF(CF.2!$K$112:$K$118,CF.1!E240,CF.2!$M$112:$M$118)</f>
        <v>0</v>
      </c>
      <c r="R240" s="1534">
        <f>SUMIF(CF.2!$H$123:$H$134,CF.1!E240,CF.2!$J$123:$J$134)+SUMIF(CF.2!$K$123:$K$134,CF.1!E240,CF.2!$M$123:$M$134)</f>
        <v>0</v>
      </c>
      <c r="S240" s="1535">
        <f t="shared" si="31"/>
        <v>0</v>
      </c>
      <c r="U240" s="1537">
        <f t="shared" si="32"/>
        <v>0</v>
      </c>
    </row>
    <row r="241" spans="3:23" ht="18" customHeight="1">
      <c r="C241" s="1364">
        <v>1</v>
      </c>
      <c r="D241" s="1532" t="s">
        <v>1123</v>
      </c>
      <c r="E241" s="1506" t="s">
        <v>1123</v>
      </c>
      <c r="F241" s="1533"/>
      <c r="G241" s="1506" t="s">
        <v>1124</v>
      </c>
      <c r="H241" s="1833">
        <v>0</v>
      </c>
      <c r="I241" s="1834">
        <v>0</v>
      </c>
      <c r="J241" s="1834">
        <v>0</v>
      </c>
      <c r="K241" s="1834">
        <v>0</v>
      </c>
      <c r="L241" s="1535">
        <f t="shared" si="30"/>
        <v>0</v>
      </c>
      <c r="N241" s="1536">
        <f>SUMIF(CF.2!$H$5:$H$25,CF.1!E241,CF.2!$J$5:$J$25)-SUMIF(CF.2!$K$5:$K$25,CF.1!E241,CF.2!$M$5:$M$25)</f>
        <v>0</v>
      </c>
      <c r="O241" s="1534">
        <f>SUMIF(CF.2!$H$31:$H$60,CF.1!E241,CF.2!$J$31:$J$60)+SUMIF(CF.2!$K$31:$K$60,CF.1!E241,CF.2!$M$31:$M$60)</f>
        <v>0</v>
      </c>
      <c r="P241" s="1534">
        <f>SUMIF(CF.2!$H$65:$H$108,CF.1!E241,CF.2!$J$65:$J$108)+SUMIF(CF.2!$K$65:$K$108,CF.1!E241,CF.2!$M$65:$M$108)</f>
        <v>0</v>
      </c>
      <c r="Q241" s="1534">
        <f>SUMIF(CF.2!$H$112:$H$118,CF.1!E241,CF.2!$J$112:$J$118)+SUMIF(CF.2!$K$112:$K$118,CF.1!E241,CF.2!$M$112:$M$118)</f>
        <v>0</v>
      </c>
      <c r="R241" s="1534">
        <f>SUMIF(CF.2!$H$123:$H$134,CF.1!E241,CF.2!$J$123:$J$134)+SUMIF(CF.2!$K$123:$K$134,CF.1!E241,CF.2!$M$123:$M$134)</f>
        <v>0</v>
      </c>
      <c r="S241" s="1535">
        <f t="shared" si="31"/>
        <v>0</v>
      </c>
      <c r="U241" s="1537">
        <f t="shared" si="32"/>
        <v>0</v>
      </c>
    </row>
    <row r="242" spans="3:23" ht="18" customHeight="1">
      <c r="C242" s="1364">
        <v>1</v>
      </c>
      <c r="D242" s="1525" t="s">
        <v>1125</v>
      </c>
      <c r="E242" s="1526" t="s">
        <v>1125</v>
      </c>
      <c r="F242" s="1527"/>
      <c r="G242" s="1526" t="s">
        <v>2886</v>
      </c>
      <c r="H242" s="1831">
        <f>SUM(H243:H299)</f>
        <v>-28798664518</v>
      </c>
      <c r="I242" s="1831">
        <f>SUM(I243:I299)</f>
        <v>-13228181</v>
      </c>
      <c r="J242" s="1831">
        <f>SUM(J243:J299)</f>
        <v>0</v>
      </c>
      <c r="K242" s="1831">
        <f>SUM(K243:K299)</f>
        <v>-13453364</v>
      </c>
      <c r="L242" s="1529">
        <f>SUM(L243:L299)</f>
        <v>-28825346063</v>
      </c>
      <c r="N242" s="1530">
        <f t="shared" ref="N242:S242" si="33">SUM(N243:N299)</f>
        <v>0</v>
      </c>
      <c r="O242" s="1528">
        <f t="shared" si="33"/>
        <v>0</v>
      </c>
      <c r="P242" s="1528">
        <f t="shared" si="33"/>
        <v>1999950000</v>
      </c>
      <c r="Q242" s="1528">
        <f t="shared" si="33"/>
        <v>0</v>
      </c>
      <c r="R242" s="1528">
        <f t="shared" si="33"/>
        <v>0</v>
      </c>
      <c r="S242" s="1529">
        <f t="shared" si="33"/>
        <v>1999950000</v>
      </c>
      <c r="U242" s="1531">
        <f>SUM(U243:U299)</f>
        <v>-26825396063</v>
      </c>
      <c r="V242" s="1364" t="b">
        <f>U242=SUM(U243:U299)</f>
        <v>1</v>
      </c>
      <c r="W242" s="509">
        <f>U242-'CF(공)_1.0'!F76</f>
        <v>0</v>
      </c>
    </row>
    <row r="243" spans="3:23" ht="18" customHeight="1">
      <c r="C243" s="1364">
        <v>1</v>
      </c>
      <c r="D243" s="1532" t="s">
        <v>1127</v>
      </c>
      <c r="E243" s="1506" t="s">
        <v>1127</v>
      </c>
      <c r="F243" s="1533"/>
      <c r="G243" s="1506" t="s">
        <v>1128</v>
      </c>
      <c r="H243" s="1833">
        <v>0</v>
      </c>
      <c r="I243" s="1834">
        <v>0</v>
      </c>
      <c r="J243" s="1834">
        <v>0</v>
      </c>
      <c r="K243" s="1834">
        <v>0</v>
      </c>
      <c r="L243" s="1535">
        <f t="shared" ref="L243:L274" si="34">SUM(H243:K243)</f>
        <v>0</v>
      </c>
      <c r="N243" s="1536">
        <f>SUMIF(CF.2!$H$5:$H$25,CF.1!E243,CF.2!$J$5:$J$25)-SUMIF(CF.2!$K$5:$K$25,CF.1!E243,CF.2!$M$5:$M$25)</f>
        <v>0</v>
      </c>
      <c r="O243" s="1534">
        <f>SUMIF(CF.2!$H$31:$H$60,CF.1!E243,CF.2!$J$31:$J$60)+SUMIF(CF.2!$K$31:$K$60,CF.1!E243,CF.2!$M$31:$M$60)</f>
        <v>0</v>
      </c>
      <c r="P243" s="1534">
        <f>SUMIF(CF.2!$H$65:$H$108,CF.1!E243,CF.2!$J$65:$J$108)+SUMIF(CF.2!$K$65:$K$108,CF.1!E243,CF.2!$M$65:$M$108)</f>
        <v>0</v>
      </c>
      <c r="Q243" s="1534">
        <f>SUMIF(CF.2!$H$112:$H$118,CF.1!E243,CF.2!$J$112:$J$118)+SUMIF(CF.2!$K$112:$K$118,CF.1!E243,CF.2!$M$112:$M$118)</f>
        <v>0</v>
      </c>
      <c r="R243" s="1534">
        <f>SUMIF(CF.2!$H$123:$H$134,CF.1!E243,CF.2!$J$123:$J$134)+SUMIF(CF.2!$K$123:$K$134,CF.1!E243,CF.2!$M$123:$M$134)</f>
        <v>0</v>
      </c>
      <c r="S243" s="1535">
        <f t="shared" ref="S243:S274" si="35">SUM(N243:R243)</f>
        <v>0</v>
      </c>
      <c r="U243" s="1537">
        <f t="shared" ref="U243:U274" si="36">ROUND(S243+L243,0)</f>
        <v>0</v>
      </c>
    </row>
    <row r="244" spans="3:23" ht="18" customHeight="1">
      <c r="C244" s="1364">
        <v>1</v>
      </c>
      <c r="D244" s="1532" t="s">
        <v>1129</v>
      </c>
      <c r="E244" s="1506" t="s">
        <v>1129</v>
      </c>
      <c r="F244" s="1533" t="s">
        <v>2392</v>
      </c>
      <c r="G244" s="1506" t="s">
        <v>1130</v>
      </c>
      <c r="H244" s="1833">
        <v>0</v>
      </c>
      <c r="I244" s="1834">
        <v>0</v>
      </c>
      <c r="J244" s="1834">
        <v>0</v>
      </c>
      <c r="K244" s="1834">
        <v>0</v>
      </c>
      <c r="L244" s="1535">
        <f t="shared" si="34"/>
        <v>0</v>
      </c>
      <c r="N244" s="1536">
        <f>SUMIF(CF.2!$H$5:$H$25,CF.1!E244,CF.2!$J$5:$J$25)-SUMIF(CF.2!$K$5:$K$25,CF.1!E244,CF.2!$M$5:$M$25)</f>
        <v>0</v>
      </c>
      <c r="O244" s="1534">
        <f>SUMIF(CF.2!$H$31:$H$60,CF.1!E244,CF.2!$J$31:$J$60)+SUMIF(CF.2!$K$31:$K$60,CF.1!E244,CF.2!$M$31:$M$60)</f>
        <v>0</v>
      </c>
      <c r="P244" s="1534">
        <f>SUMIF(CF.2!$H$65:$H$108,CF.1!E244,CF.2!$J$65:$J$108)+SUMIF(CF.2!$K$65:$K$108,CF.1!E244,CF.2!$M$65:$M$108)</f>
        <v>0</v>
      </c>
      <c r="Q244" s="1534">
        <f>SUMIF(CF.2!$H$112:$H$118,CF.1!E244,CF.2!$J$112:$J$118)+SUMIF(CF.2!$K$112:$K$118,CF.1!E244,CF.2!$M$112:$M$118)</f>
        <v>0</v>
      </c>
      <c r="R244" s="1534">
        <f>SUMIF(CF.2!$H$123:$H$134,CF.1!E244,CF.2!$J$123:$J$134)+SUMIF(CF.2!$K$123:$K$134,CF.1!E244,CF.2!$M$123:$M$134)</f>
        <v>0</v>
      </c>
      <c r="S244" s="1535">
        <f t="shared" si="35"/>
        <v>0</v>
      </c>
      <c r="U244" s="1537">
        <f t="shared" si="36"/>
        <v>0</v>
      </c>
    </row>
    <row r="245" spans="3:23" ht="18" customHeight="1">
      <c r="C245" s="1364">
        <v>1</v>
      </c>
      <c r="D245" s="1532" t="s">
        <v>1131</v>
      </c>
      <c r="E245" s="1506" t="s">
        <v>1131</v>
      </c>
      <c r="F245" s="1533"/>
      <c r="G245" s="1506" t="s">
        <v>1132</v>
      </c>
      <c r="H245" s="1833">
        <v>0</v>
      </c>
      <c r="I245" s="1834">
        <v>0</v>
      </c>
      <c r="J245" s="1834">
        <v>0</v>
      </c>
      <c r="K245" s="1834">
        <v>0</v>
      </c>
      <c r="L245" s="1535">
        <f t="shared" si="34"/>
        <v>0</v>
      </c>
      <c r="N245" s="1536">
        <f>SUMIF(CF.2!$H$5:$H$25,CF.1!E245,CF.2!$J$5:$J$25)-SUMIF(CF.2!$K$5:$K$25,CF.1!E245,CF.2!$M$5:$M$25)</f>
        <v>0</v>
      </c>
      <c r="O245" s="1534">
        <f>SUMIF(CF.2!$H$31:$H$60,CF.1!E245,CF.2!$J$31:$J$60)+SUMIF(CF.2!$K$31:$K$60,CF.1!E245,CF.2!$M$31:$M$60)</f>
        <v>0</v>
      </c>
      <c r="P245" s="1534">
        <f>SUMIF(CF.2!$H$65:$H$108,CF.1!E245,CF.2!$J$65:$J$108)+SUMIF(CF.2!$K$65:$K$108,CF.1!E245,CF.2!$M$65:$M$108)</f>
        <v>0</v>
      </c>
      <c r="Q245" s="1534">
        <f>SUMIF(CF.2!$H$112:$H$118,CF.1!E245,CF.2!$J$112:$J$118)+SUMIF(CF.2!$K$112:$K$118,CF.1!E245,CF.2!$M$112:$M$118)</f>
        <v>0</v>
      </c>
      <c r="R245" s="1534">
        <f>SUMIF(CF.2!$H$123:$H$134,CF.1!E245,CF.2!$J$123:$J$134)+SUMIF(CF.2!$K$123:$K$134,CF.1!E245,CF.2!$M$123:$M$134)</f>
        <v>0</v>
      </c>
      <c r="S245" s="1535">
        <f t="shared" si="35"/>
        <v>0</v>
      </c>
      <c r="U245" s="1537">
        <f t="shared" si="36"/>
        <v>0</v>
      </c>
    </row>
    <row r="246" spans="3:23" ht="18" customHeight="1">
      <c r="C246" s="1364">
        <v>1</v>
      </c>
      <c r="D246" s="1532" t="s">
        <v>1133</v>
      </c>
      <c r="E246" s="1506" t="s">
        <v>1133</v>
      </c>
      <c r="F246" s="1533"/>
      <c r="G246" s="1506" t="s">
        <v>1134</v>
      </c>
      <c r="H246" s="1833">
        <v>0</v>
      </c>
      <c r="I246" s="1834">
        <v>0</v>
      </c>
      <c r="J246" s="1834">
        <v>0</v>
      </c>
      <c r="K246" s="1834">
        <v>0</v>
      </c>
      <c r="L246" s="1535">
        <f t="shared" si="34"/>
        <v>0</v>
      </c>
      <c r="N246" s="1536">
        <f>SUMIF(CF.2!$H$5:$H$25,CF.1!E246,CF.2!$J$5:$J$25)-SUMIF(CF.2!$K$5:$K$25,CF.1!E246,CF.2!$M$5:$M$25)</f>
        <v>0</v>
      </c>
      <c r="O246" s="1534">
        <f>SUMIF(CF.2!$H$31:$H$60,CF.1!E246,CF.2!$J$31:$J$60)+SUMIF(CF.2!$K$31:$K$60,CF.1!E246,CF.2!$M$31:$M$60)</f>
        <v>0</v>
      </c>
      <c r="P246" s="1534">
        <f>SUMIF(CF.2!$H$65:$H$108,CF.1!E246,CF.2!$J$65:$J$108)+SUMIF(CF.2!$K$65:$K$108,CF.1!E246,CF.2!$M$65:$M$108)</f>
        <v>0</v>
      </c>
      <c r="Q246" s="1534">
        <f>SUMIF(CF.2!$H$112:$H$118,CF.1!E246,CF.2!$J$112:$J$118)+SUMIF(CF.2!$K$112:$K$118,CF.1!E246,CF.2!$M$112:$M$118)</f>
        <v>0</v>
      </c>
      <c r="R246" s="1534">
        <f>SUMIF(CF.2!$H$123:$H$134,CF.1!E246,CF.2!$J$123:$J$134)+SUMIF(CF.2!$K$123:$K$134,CF.1!E246,CF.2!$M$123:$M$134)</f>
        <v>0</v>
      </c>
      <c r="S246" s="1535">
        <f t="shared" si="35"/>
        <v>0</v>
      </c>
      <c r="U246" s="1537">
        <f t="shared" si="36"/>
        <v>0</v>
      </c>
    </row>
    <row r="247" spans="3:23" ht="18" customHeight="1">
      <c r="C247" s="1364">
        <v>1</v>
      </c>
      <c r="D247" s="1532" t="s">
        <v>1135</v>
      </c>
      <c r="E247" s="1506" t="s">
        <v>1135</v>
      </c>
      <c r="F247" s="1533" t="s">
        <v>1136</v>
      </c>
      <c r="G247" s="1506" t="s">
        <v>1136</v>
      </c>
      <c r="H247" s="1833">
        <v>0</v>
      </c>
      <c r="I247" s="1834">
        <v>0</v>
      </c>
      <c r="J247" s="1834">
        <v>0</v>
      </c>
      <c r="K247" s="1834">
        <v>0</v>
      </c>
      <c r="L247" s="1535">
        <f t="shared" si="34"/>
        <v>0</v>
      </c>
      <c r="N247" s="1536">
        <f>SUMIF(CF.2!$H$5:$H$25,CF.1!E247,CF.2!$J$5:$J$25)-SUMIF(CF.2!$K$5:$K$25,CF.1!E247,CF.2!$M$5:$M$25)</f>
        <v>0</v>
      </c>
      <c r="O247" s="1534">
        <f>SUMIF(CF.2!$H$31:$H$60,CF.1!E247,CF.2!$J$31:$J$60)+SUMIF(CF.2!$K$31:$K$60,CF.1!E247,CF.2!$M$31:$M$60)</f>
        <v>0</v>
      </c>
      <c r="P247" s="1534">
        <f>SUMIF(CF.2!$H$65:$H$108,CF.1!E247,CF.2!$J$65:$J$108)+SUMIF(CF.2!$K$65:$K$108,CF.1!E247,CF.2!$M$65:$M$108)</f>
        <v>0</v>
      </c>
      <c r="Q247" s="1534">
        <f>SUMIF(CF.2!$H$112:$H$118,CF.1!E247,CF.2!$J$112:$J$118)+SUMIF(CF.2!$K$112:$K$118,CF.1!E247,CF.2!$M$112:$M$118)</f>
        <v>0</v>
      </c>
      <c r="R247" s="1534">
        <f>SUMIF(CF.2!$H$123:$H$134,CF.1!E247,CF.2!$J$123:$J$134)+SUMIF(CF.2!$K$123:$K$134,CF.1!E247,CF.2!$M$123:$M$134)</f>
        <v>0</v>
      </c>
      <c r="S247" s="1535">
        <f t="shared" si="35"/>
        <v>0</v>
      </c>
      <c r="U247" s="1537">
        <f t="shared" si="36"/>
        <v>0</v>
      </c>
      <c r="W247" s="1364" t="b">
        <f>U247=H247</f>
        <v>1</v>
      </c>
    </row>
    <row r="248" spans="3:23" ht="18" customHeight="1">
      <c r="C248" s="1364">
        <v>1</v>
      </c>
      <c r="D248" s="1532" t="s">
        <v>1137</v>
      </c>
      <c r="E248" s="1506" t="s">
        <v>1137</v>
      </c>
      <c r="F248" s="1533"/>
      <c r="G248" s="1506" t="s">
        <v>1138</v>
      </c>
      <c r="H248" s="1833">
        <v>0</v>
      </c>
      <c r="I248" s="1834">
        <v>0</v>
      </c>
      <c r="J248" s="1834">
        <v>0</v>
      </c>
      <c r="K248" s="1834">
        <v>0</v>
      </c>
      <c r="L248" s="1535">
        <f t="shared" si="34"/>
        <v>0</v>
      </c>
      <c r="N248" s="1536">
        <f>SUMIF(CF.2!$H$5:$H$25,CF.1!E248,CF.2!$J$5:$J$25)-SUMIF(CF.2!$K$5:$K$25,CF.1!E248,CF.2!$M$5:$M$25)</f>
        <v>0</v>
      </c>
      <c r="O248" s="1534">
        <f>SUMIF(CF.2!$H$31:$H$60,CF.1!E248,CF.2!$J$31:$J$60)+SUMIF(CF.2!$K$31:$K$60,CF.1!E248,CF.2!$M$31:$M$60)</f>
        <v>0</v>
      </c>
      <c r="P248" s="1534">
        <f>SUMIF(CF.2!$H$65:$H$108,CF.1!E248,CF.2!$J$65:$J$108)+SUMIF(CF.2!$K$65:$K$108,CF.1!E248,CF.2!$M$65:$M$108)</f>
        <v>0</v>
      </c>
      <c r="Q248" s="1534">
        <f>SUMIF(CF.2!$H$112:$H$118,CF.1!E248,CF.2!$J$112:$J$118)+SUMIF(CF.2!$K$112:$K$118,CF.1!E248,CF.2!$M$112:$M$118)</f>
        <v>0</v>
      </c>
      <c r="R248" s="1534">
        <f>SUMIF(CF.2!$H$123:$H$134,CF.1!E248,CF.2!$J$123:$J$134)+SUMIF(CF.2!$K$123:$K$134,CF.1!E248,CF.2!$M$123:$M$134)</f>
        <v>0</v>
      </c>
      <c r="S248" s="1535">
        <f t="shared" si="35"/>
        <v>0</v>
      </c>
      <c r="U248" s="1537">
        <f t="shared" si="36"/>
        <v>0</v>
      </c>
    </row>
    <row r="249" spans="3:23" ht="18" customHeight="1">
      <c r="C249" s="1364">
        <v>1</v>
      </c>
      <c r="D249" s="1532" t="s">
        <v>1139</v>
      </c>
      <c r="E249" s="1506" t="s">
        <v>1139</v>
      </c>
      <c r="F249" s="1533" t="s">
        <v>1684</v>
      </c>
      <c r="G249" s="1506" t="s">
        <v>1140</v>
      </c>
      <c r="H249" s="1833">
        <v>0</v>
      </c>
      <c r="I249" s="1834">
        <v>0</v>
      </c>
      <c r="J249" s="1834">
        <v>0</v>
      </c>
      <c r="K249" s="1834">
        <v>0</v>
      </c>
      <c r="L249" s="1535">
        <f t="shared" si="34"/>
        <v>0</v>
      </c>
      <c r="N249" s="1536">
        <f>SUMIF(CF.2!$H$5:$H$25,CF.1!E249,CF.2!$J$5:$J$25)-SUMIF(CF.2!$K$5:$K$25,CF.1!E249,CF.2!$M$5:$M$25)</f>
        <v>0</v>
      </c>
      <c r="O249" s="1534">
        <f>SUMIF(CF.2!$H$31:$H$60,CF.1!E249,CF.2!$J$31:$J$60)+SUMIF(CF.2!$K$31:$K$60,CF.1!E249,CF.2!$M$31:$M$60)</f>
        <v>0</v>
      </c>
      <c r="P249" s="1534">
        <f>SUMIF(CF.2!$H$65:$H$108,CF.1!E249,CF.2!$J$65:$J$108)+SUMIF(CF.2!$K$65:$K$108,CF.1!E249,CF.2!$M$65:$M$108)</f>
        <v>0</v>
      </c>
      <c r="Q249" s="1534">
        <f>SUMIF(CF.2!$H$112:$H$118,CF.1!E249,CF.2!$J$112:$J$118)+SUMIF(CF.2!$K$112:$K$118,CF.1!E249,CF.2!$M$112:$M$118)</f>
        <v>0</v>
      </c>
      <c r="R249" s="1534">
        <f>SUMIF(CF.2!$H$123:$H$134,CF.1!E249,CF.2!$J$123:$J$134)+SUMIF(CF.2!$K$123:$K$134,CF.1!E249,CF.2!$M$123:$M$134)</f>
        <v>0</v>
      </c>
      <c r="S249" s="1535">
        <f t="shared" si="35"/>
        <v>0</v>
      </c>
      <c r="U249" s="1537">
        <f t="shared" si="36"/>
        <v>0</v>
      </c>
    </row>
    <row r="250" spans="3:23" ht="18" customHeight="1">
      <c r="C250" s="1364">
        <v>1</v>
      </c>
      <c r="D250" s="1532" t="s">
        <v>1141</v>
      </c>
      <c r="E250" s="1506" t="s">
        <v>1141</v>
      </c>
      <c r="F250" s="1533" t="s">
        <v>1372</v>
      </c>
      <c r="G250" s="1506" t="s">
        <v>1142</v>
      </c>
      <c r="H250" s="1833">
        <v>-600000000</v>
      </c>
      <c r="I250" s="1834">
        <v>0</v>
      </c>
      <c r="J250" s="1834">
        <v>0</v>
      </c>
      <c r="K250" s="1834">
        <v>-9216486</v>
      </c>
      <c r="L250" s="1535">
        <f t="shared" si="34"/>
        <v>-609216486</v>
      </c>
      <c r="N250" s="1536">
        <f>SUMIF(CF.2!$H$5:$H$25,CF.1!E250,CF.2!$J$5:$J$25)-SUMIF(CF.2!$K$5:$K$25,CF.1!E250,CF.2!$M$5:$M$25)</f>
        <v>0</v>
      </c>
      <c r="O250" s="1534">
        <f>SUMIF(CF.2!$H$31:$H$60,CF.1!E250,CF.2!$J$31:$J$60)+SUMIF(CF.2!$K$31:$K$60,CF.1!E250,CF.2!$M$31:$M$60)</f>
        <v>0</v>
      </c>
      <c r="P250" s="1534">
        <f>SUMIF(CF.2!$H$65:$H$108,CF.1!E250,CF.2!$J$65:$J$108)+SUMIF(CF.2!$K$65:$K$108,CF.1!E250,CF.2!$M$65:$M$108)</f>
        <v>0</v>
      </c>
      <c r="Q250" s="1534">
        <f>SUMIF(CF.2!$H$112:$H$118,CF.1!E250,CF.2!$J$112:$J$118)+SUMIF(CF.2!$K$112:$K$118,CF.1!E250,CF.2!$M$112:$M$118)</f>
        <v>0</v>
      </c>
      <c r="R250" s="1534">
        <f>SUMIF(CF.2!$H$123:$H$134,CF.1!E250,CF.2!$J$123:$J$134)+SUMIF(CF.2!$K$123:$K$134,CF.1!E250,CF.2!$M$123:$M$134)</f>
        <v>0</v>
      </c>
      <c r="S250" s="1535">
        <f t="shared" si="35"/>
        <v>0</v>
      </c>
      <c r="U250" s="1537">
        <f t="shared" si="36"/>
        <v>-609216486</v>
      </c>
    </row>
    <row r="251" spans="3:23" ht="18" customHeight="1">
      <c r="C251" s="1364">
        <v>1</v>
      </c>
      <c r="D251" s="1532" t="s">
        <v>1141</v>
      </c>
      <c r="E251" s="1506" t="s">
        <v>1683</v>
      </c>
      <c r="F251" s="1533" t="s">
        <v>1472</v>
      </c>
      <c r="G251" s="1506" t="s">
        <v>1142</v>
      </c>
      <c r="H251" s="1833">
        <v>-500000</v>
      </c>
      <c r="I251" s="1834">
        <v>0</v>
      </c>
      <c r="J251" s="1834">
        <v>0</v>
      </c>
      <c r="K251" s="1834"/>
      <c r="L251" s="1535">
        <f t="shared" si="34"/>
        <v>-500000</v>
      </c>
      <c r="N251" s="1536"/>
      <c r="O251" s="1534"/>
      <c r="P251" s="1534"/>
      <c r="Q251" s="1534"/>
      <c r="R251" s="1534"/>
      <c r="S251" s="1535">
        <f t="shared" si="35"/>
        <v>0</v>
      </c>
      <c r="U251" s="1537">
        <f t="shared" si="36"/>
        <v>-500000</v>
      </c>
    </row>
    <row r="252" spans="3:23" ht="18" customHeight="1">
      <c r="C252" s="1364">
        <v>1</v>
      </c>
      <c r="D252" s="1532" t="s">
        <v>1143</v>
      </c>
      <c r="E252" s="1506" t="s">
        <v>1143</v>
      </c>
      <c r="F252" s="1533"/>
      <c r="G252" s="1506" t="s">
        <v>1144</v>
      </c>
      <c r="H252" s="1833">
        <v>0</v>
      </c>
      <c r="I252" s="1834">
        <v>0</v>
      </c>
      <c r="J252" s="1834">
        <v>0</v>
      </c>
      <c r="K252" s="1834">
        <v>0</v>
      </c>
      <c r="L252" s="1535">
        <f t="shared" si="34"/>
        <v>0</v>
      </c>
      <c r="N252" s="1536">
        <f>SUMIF(CF.2!$H$5:$H$25,CF.1!E252,CF.2!$J$5:$J$25)-SUMIF(CF.2!$K$5:$K$25,CF.1!E252,CF.2!$M$5:$M$25)</f>
        <v>0</v>
      </c>
      <c r="O252" s="1534">
        <f>SUMIF(CF.2!$H$31:$H$60,CF.1!E252,CF.2!$J$31:$J$60)+SUMIF(CF.2!$K$31:$K$60,CF.1!E252,CF.2!$M$31:$M$60)</f>
        <v>0</v>
      </c>
      <c r="P252" s="1534">
        <f>SUMIF(CF.2!$H$65:$H$108,CF.1!E252,CF.2!$J$65:$J$108)+SUMIF(CF.2!$K$65:$K$108,CF.1!E252,CF.2!$M$65:$M$108)</f>
        <v>0</v>
      </c>
      <c r="Q252" s="1534">
        <f>SUMIF(CF.2!$H$112:$H$118,CF.1!E252,CF.2!$J$112:$J$118)+SUMIF(CF.2!$K$112:$K$118,CF.1!E252,CF.2!$M$112:$M$118)</f>
        <v>0</v>
      </c>
      <c r="R252" s="1534">
        <f>SUMIF(CF.2!$H$123:$H$134,CF.1!E252,CF.2!$J$123:$J$134)+SUMIF(CF.2!$K$123:$K$134,CF.1!E252,CF.2!$M$123:$M$134)</f>
        <v>0</v>
      </c>
      <c r="S252" s="1535">
        <f t="shared" si="35"/>
        <v>0</v>
      </c>
      <c r="U252" s="1537">
        <f t="shared" si="36"/>
        <v>0</v>
      </c>
    </row>
    <row r="253" spans="3:23" ht="18" customHeight="1">
      <c r="C253" s="1364">
        <v>1</v>
      </c>
      <c r="D253" s="1532" t="s">
        <v>1145</v>
      </c>
      <c r="E253" s="1506" t="s">
        <v>1145</v>
      </c>
      <c r="F253" s="1533"/>
      <c r="G253" s="1506" t="s">
        <v>1146</v>
      </c>
      <c r="H253" s="1833">
        <v>0</v>
      </c>
      <c r="I253" s="1834">
        <v>0</v>
      </c>
      <c r="J253" s="1834">
        <v>0</v>
      </c>
      <c r="K253" s="1834">
        <v>0</v>
      </c>
      <c r="L253" s="1535">
        <f t="shared" si="34"/>
        <v>0</v>
      </c>
      <c r="N253" s="1536">
        <f>SUMIF(CF.2!$H$5:$H$25,CF.1!E253,CF.2!$J$5:$J$25)-SUMIF(CF.2!$K$5:$K$25,CF.1!E253,CF.2!$M$5:$M$25)</f>
        <v>0</v>
      </c>
      <c r="O253" s="1534">
        <f>SUMIF(CF.2!$H$31:$H$60,CF.1!E253,CF.2!$J$31:$J$60)+SUMIF(CF.2!$K$31:$K$60,CF.1!E253,CF.2!$M$31:$M$60)</f>
        <v>0</v>
      </c>
      <c r="P253" s="1534">
        <f>SUMIF(CF.2!$H$65:$H$108,CF.1!E253,CF.2!$J$65:$J$108)+SUMIF(CF.2!$K$65:$K$108,CF.1!E253,CF.2!$M$65:$M$108)</f>
        <v>0</v>
      </c>
      <c r="Q253" s="1534">
        <f>SUMIF(CF.2!$H$112:$H$118,CF.1!E253,CF.2!$J$112:$J$118)+SUMIF(CF.2!$K$112:$K$118,CF.1!E253,CF.2!$M$112:$M$118)</f>
        <v>0</v>
      </c>
      <c r="R253" s="1534">
        <f>SUMIF(CF.2!$H$123:$H$134,CF.1!E253,CF.2!$J$123:$J$134)+SUMIF(CF.2!$K$123:$K$134,CF.1!E253,CF.2!$M$123:$M$134)</f>
        <v>0</v>
      </c>
      <c r="S253" s="1535">
        <f t="shared" si="35"/>
        <v>0</v>
      </c>
      <c r="U253" s="1537">
        <f t="shared" si="36"/>
        <v>0</v>
      </c>
    </row>
    <row r="254" spans="3:23" ht="18" customHeight="1">
      <c r="C254" s="1364">
        <v>1</v>
      </c>
      <c r="D254" s="1532" t="s">
        <v>1147</v>
      </c>
      <c r="E254" s="1506" t="s">
        <v>1147</v>
      </c>
      <c r="F254" s="1533"/>
      <c r="G254" s="1506" t="s">
        <v>1148</v>
      </c>
      <c r="H254" s="1833">
        <v>0</v>
      </c>
      <c r="I254" s="1834">
        <v>0</v>
      </c>
      <c r="J254" s="1834">
        <v>0</v>
      </c>
      <c r="K254" s="1834">
        <v>0</v>
      </c>
      <c r="L254" s="1535">
        <f t="shared" si="34"/>
        <v>0</v>
      </c>
      <c r="N254" s="1536">
        <f>SUMIF(CF.2!$H$5:$H$25,CF.1!E254,CF.2!$J$5:$J$25)-SUMIF(CF.2!$K$5:$K$25,CF.1!E254,CF.2!$M$5:$M$25)</f>
        <v>0</v>
      </c>
      <c r="O254" s="1534">
        <f>SUMIF(CF.2!$H$31:$H$60,CF.1!E254,CF.2!$J$31:$J$60)+SUMIF(CF.2!$K$31:$K$60,CF.1!E254,CF.2!$M$31:$M$60)</f>
        <v>0</v>
      </c>
      <c r="P254" s="1534">
        <f>SUMIF(CF.2!$H$65:$H$108,CF.1!E254,CF.2!$J$65:$J$108)+SUMIF(CF.2!$K$65:$K$108,CF.1!E254,CF.2!$M$65:$M$108)</f>
        <v>0</v>
      </c>
      <c r="Q254" s="1534">
        <f>SUMIF(CF.2!$H$112:$H$118,CF.1!E254,CF.2!$J$112:$J$118)+SUMIF(CF.2!$K$112:$K$118,CF.1!E254,CF.2!$M$112:$M$118)</f>
        <v>0</v>
      </c>
      <c r="R254" s="1534">
        <f>SUMIF(CF.2!$H$123:$H$134,CF.1!E254,CF.2!$J$123:$J$134)+SUMIF(CF.2!$K$123:$K$134,CF.1!E254,CF.2!$M$123:$M$134)</f>
        <v>0</v>
      </c>
      <c r="S254" s="1535">
        <f t="shared" si="35"/>
        <v>0</v>
      </c>
      <c r="U254" s="1537">
        <f t="shared" si="36"/>
        <v>0</v>
      </c>
    </row>
    <row r="255" spans="3:23" ht="18" customHeight="1">
      <c r="C255" s="1364">
        <v>1</v>
      </c>
      <c r="D255" s="1532" t="s">
        <v>1151</v>
      </c>
      <c r="E255" s="1506" t="s">
        <v>1151</v>
      </c>
      <c r="F255" s="1533"/>
      <c r="G255" s="1506" t="s">
        <v>1152</v>
      </c>
      <c r="H255" s="1833">
        <v>0</v>
      </c>
      <c r="I255" s="1834">
        <v>0</v>
      </c>
      <c r="J255" s="1834">
        <v>0</v>
      </c>
      <c r="K255" s="1834">
        <v>0</v>
      </c>
      <c r="L255" s="1535">
        <f t="shared" si="34"/>
        <v>0</v>
      </c>
      <c r="N255" s="1536">
        <f>SUMIF(CF.2!$H$5:$H$25,CF.1!E255,CF.2!$J$5:$J$25)-SUMIF(CF.2!$K$5:$K$25,CF.1!E255,CF.2!$M$5:$M$25)</f>
        <v>0</v>
      </c>
      <c r="O255" s="1534">
        <f>SUMIF(CF.2!$H$31:$H$60,CF.1!E255,CF.2!$J$31:$J$60)+SUMIF(CF.2!$K$31:$K$60,CF.1!E255,CF.2!$M$31:$M$60)</f>
        <v>0</v>
      </c>
      <c r="P255" s="1534">
        <f>SUMIF(CF.2!$H$65:$H$108,CF.1!E255,CF.2!$J$65:$J$108)+SUMIF(CF.2!$K$65:$K$108,CF.1!E255,CF.2!$M$65:$M$108)</f>
        <v>0</v>
      </c>
      <c r="Q255" s="1534">
        <f>SUMIF(CF.2!$H$112:$H$118,CF.1!E255,CF.2!$J$112:$J$118)+SUMIF(CF.2!$K$112:$K$118,CF.1!E255,CF.2!$M$112:$M$118)</f>
        <v>0</v>
      </c>
      <c r="R255" s="1534">
        <f>SUMIF(CF.2!$H$123:$H$134,CF.1!E255,CF.2!$J$123:$J$134)+SUMIF(CF.2!$K$123:$K$134,CF.1!E255,CF.2!$M$123:$M$134)</f>
        <v>0</v>
      </c>
      <c r="S255" s="1535">
        <f t="shared" si="35"/>
        <v>0</v>
      </c>
      <c r="U255" s="1537">
        <f t="shared" si="36"/>
        <v>0</v>
      </c>
    </row>
    <row r="256" spans="3:23" ht="18" customHeight="1">
      <c r="C256" s="1364">
        <v>1</v>
      </c>
      <c r="D256" s="1532" t="s">
        <v>1153</v>
      </c>
      <c r="E256" s="1506" t="s">
        <v>1153</v>
      </c>
      <c r="F256" s="1533" t="s">
        <v>2191</v>
      </c>
      <c r="G256" s="1506" t="s">
        <v>1154</v>
      </c>
      <c r="H256" s="1833">
        <v>-3011475000</v>
      </c>
      <c r="I256" s="1834">
        <v>0</v>
      </c>
      <c r="J256" s="1834">
        <v>0</v>
      </c>
      <c r="K256" s="1834">
        <v>0</v>
      </c>
      <c r="L256" s="1535">
        <f t="shared" si="34"/>
        <v>-3011475000</v>
      </c>
      <c r="N256" s="1536">
        <f>SUMIF(CF.2!$H$5:$H$25,CF.1!E256,CF.2!$J$5:$J$25)-SUMIF(CF.2!$K$5:$K$25,CF.1!E256,CF.2!$M$5:$M$25)</f>
        <v>0</v>
      </c>
      <c r="O256" s="1534">
        <f>SUMIF(CF.2!$H$31:$H$60,CF.1!E256,CF.2!$J$31:$J$60)+SUMIF(CF.2!$K$31:$K$60,CF.1!E256,CF.2!$M$31:$M$60)</f>
        <v>0</v>
      </c>
      <c r="P256" s="1534">
        <f>SUMIF(CF.2!$H$65:$H$108,CF.1!E256,CF.2!$J$65:$J$108)+SUMIF(CF.2!$K$65:$K$108,CF.1!E256,CF.2!$M$65:$M$108)</f>
        <v>0</v>
      </c>
      <c r="Q256" s="1534">
        <f>SUMIF(CF.2!$H$112:$H$118,CF.1!E256,CF.2!$J$112:$J$118)+SUMIF(CF.2!$K$112:$K$118,CF.1!E256,CF.2!$M$112:$M$118)</f>
        <v>0</v>
      </c>
      <c r="R256" s="1534">
        <f>SUMIF(CF.2!$H$123:$H$134,CF.1!E256,CF.2!$J$123:$J$134)+SUMIF(CF.2!$K$123:$K$134,CF.1!E256,CF.2!$M$123:$M$134)</f>
        <v>0</v>
      </c>
      <c r="S256" s="1535">
        <f t="shared" si="35"/>
        <v>0</v>
      </c>
      <c r="U256" s="1537">
        <f t="shared" si="36"/>
        <v>-3011475000</v>
      </c>
    </row>
    <row r="257" spans="3:26" s="1089" customFormat="1" ht="18" customHeight="1">
      <c r="C257" s="1089">
        <v>1</v>
      </c>
      <c r="D257" s="1538" t="s">
        <v>1155</v>
      </c>
      <c r="E257" s="1276" t="s">
        <v>1155</v>
      </c>
      <c r="F257" s="1539" t="s">
        <v>1474</v>
      </c>
      <c r="G257" s="1276" t="s">
        <v>1156</v>
      </c>
      <c r="H257" s="1832">
        <v>-1999950000</v>
      </c>
      <c r="I257" s="1835">
        <v>0</v>
      </c>
      <c r="J257" s="1835">
        <v>0</v>
      </c>
      <c r="K257" s="1835">
        <v>0</v>
      </c>
      <c r="L257" s="1541">
        <f t="shared" si="34"/>
        <v>-1999950000</v>
      </c>
      <c r="N257" s="1555">
        <f>SUMIF(CF.2!$H$5:$H$25,CF.1!E257,CF.2!$J$5:$J$25)-SUMIF(CF.2!$K$5:$K$25,CF.1!E257,CF.2!$M$5:$M$25)</f>
        <v>0</v>
      </c>
      <c r="O257" s="1540">
        <f>SUMIF(CF.2!$H$31:$H$60,CF.1!E257,CF.2!$J$31:$J$60)+SUMIF(CF.2!$K$31:$K$60,CF.1!E257,CF.2!$M$31:$M$60)</f>
        <v>0</v>
      </c>
      <c r="P257" s="1540">
        <f>SUMIF(CF.2!$H$65:$H$108,CF.1!E257,CF.2!$J$65:$J$108)+SUMIF(CF.2!$K$65:$K$108,CF.1!E257,CF.2!$M$65:$M$108)</f>
        <v>1999950000</v>
      </c>
      <c r="Q257" s="1540">
        <f>SUMIF(CF.2!$H$112:$H$118,CF.1!E257,CF.2!$J$112:$J$118)+SUMIF(CF.2!$K$112:$K$118,CF.1!E257,CF.2!$M$112:$M$118)</f>
        <v>0</v>
      </c>
      <c r="R257" s="1540">
        <f>SUMIF(CF.2!$H$123:$H$134,CF.1!E257,CF.2!$J$123:$J$134)+SUMIF(CF.2!$K$123:$K$134,CF.1!E257,CF.2!$M$123:$M$134)</f>
        <v>0</v>
      </c>
      <c r="S257" s="1541">
        <f t="shared" si="35"/>
        <v>1999950000</v>
      </c>
      <c r="U257" s="1542">
        <f t="shared" si="36"/>
        <v>0</v>
      </c>
    </row>
    <row r="258" spans="3:26" ht="18" customHeight="1">
      <c r="C258" s="1364">
        <v>1</v>
      </c>
      <c r="D258" s="1532" t="s">
        <v>1157</v>
      </c>
      <c r="E258" s="1506" t="s">
        <v>1157</v>
      </c>
      <c r="F258" s="1533" t="s">
        <v>1474</v>
      </c>
      <c r="G258" s="1506" t="s">
        <v>2196</v>
      </c>
      <c r="H258" s="1833">
        <v>0</v>
      </c>
      <c r="I258" s="1834">
        <v>0</v>
      </c>
      <c r="J258" s="1834">
        <v>0</v>
      </c>
      <c r="K258" s="1834">
        <v>0</v>
      </c>
      <c r="L258" s="1535">
        <f t="shared" si="34"/>
        <v>0</v>
      </c>
      <c r="N258" s="1536">
        <f>SUMIF(CF.2!$H$5:$H$25,CF.1!E258,CF.2!$J$5:$J$25)-SUMIF(CF.2!$K$5:$K$25,CF.1!E258,CF.2!$M$5:$M$25)</f>
        <v>0</v>
      </c>
      <c r="O258" s="1534">
        <f>SUMIF(CF.2!$H$31:$H$60,CF.1!E258,CF.2!$J$31:$J$60)+SUMIF(CF.2!$K$31:$K$60,CF.1!E258,CF.2!$M$31:$M$60)</f>
        <v>0</v>
      </c>
      <c r="P258" s="1534">
        <f>SUMIF(CF.2!$H$65:$H$108,CF.1!E258,CF.2!$J$65:$J$108)+SUMIF(CF.2!$K$65:$K$108,CF.1!E258,CF.2!$M$65:$M$108)</f>
        <v>0</v>
      </c>
      <c r="Q258" s="1534">
        <f>SUMIF(CF.2!$H$112:$H$118,CF.1!E258,CF.2!$J$112:$J$118)+SUMIF(CF.2!$K$112:$K$118,CF.1!E258,CF.2!$M$112:$M$118)</f>
        <v>0</v>
      </c>
      <c r="R258" s="1534">
        <f>SUMIF(CF.2!$H$123:$H$134,CF.1!E258,CF.2!$J$123:$J$134)+SUMIF(CF.2!$K$123:$K$134,CF.1!E258,CF.2!$M$123:$M$134)</f>
        <v>0</v>
      </c>
      <c r="S258" s="1535">
        <f t="shared" si="35"/>
        <v>0</v>
      </c>
      <c r="U258" s="1537">
        <f t="shared" si="36"/>
        <v>0</v>
      </c>
      <c r="V258" s="1089"/>
    </row>
    <row r="259" spans="3:26" ht="18" customHeight="1">
      <c r="C259" s="1364">
        <v>1</v>
      </c>
      <c r="D259" s="1532" t="s">
        <v>1159</v>
      </c>
      <c r="E259" s="1506" t="s">
        <v>1159</v>
      </c>
      <c r="F259" s="1533"/>
      <c r="G259" s="1506" t="s">
        <v>1160</v>
      </c>
      <c r="H259" s="1833">
        <v>0</v>
      </c>
      <c r="I259" s="1834">
        <v>0</v>
      </c>
      <c r="J259" s="1834">
        <v>0</v>
      </c>
      <c r="K259" s="1834">
        <v>0</v>
      </c>
      <c r="L259" s="1535">
        <f t="shared" si="34"/>
        <v>0</v>
      </c>
      <c r="N259" s="1536">
        <f>SUMIF(CF.2!$H$5:$H$25,CF.1!E259,CF.2!$J$5:$J$25)-SUMIF(CF.2!$K$5:$K$25,CF.1!E259,CF.2!$M$5:$M$25)</f>
        <v>0</v>
      </c>
      <c r="O259" s="1534">
        <f>SUMIF(CF.2!$H$31:$H$60,CF.1!E259,CF.2!$J$31:$J$60)+SUMIF(CF.2!$K$31:$K$60,CF.1!E259,CF.2!$M$31:$M$60)</f>
        <v>0</v>
      </c>
      <c r="P259" s="1534">
        <f>SUMIF(CF.2!$H$65:$H$108,CF.1!E259,CF.2!$J$65:$J$108)+SUMIF(CF.2!$K$65:$K$108,CF.1!E259,CF.2!$M$65:$M$108)</f>
        <v>0</v>
      </c>
      <c r="Q259" s="1534">
        <f>SUMIF(CF.2!$H$112:$H$118,CF.1!E259,CF.2!$J$112:$J$118)+SUMIF(CF.2!$K$112:$K$118,CF.1!E259,CF.2!$M$112:$M$118)</f>
        <v>0</v>
      </c>
      <c r="R259" s="1534">
        <f>SUMIF(CF.2!$H$123:$H$134,CF.1!E259,CF.2!$J$123:$J$134)+SUMIF(CF.2!$K$123:$K$134,CF.1!E259,CF.2!$M$123:$M$134)</f>
        <v>0</v>
      </c>
      <c r="S259" s="1535">
        <f t="shared" si="35"/>
        <v>0</v>
      </c>
      <c r="U259" s="1537">
        <f t="shared" si="36"/>
        <v>0</v>
      </c>
      <c r="V259" s="1089"/>
    </row>
    <row r="260" spans="3:26" ht="18" customHeight="1">
      <c r="C260" s="1364">
        <v>1</v>
      </c>
      <c r="D260" s="1532" t="s">
        <v>1161</v>
      </c>
      <c r="E260" s="1506" t="s">
        <v>1161</v>
      </c>
      <c r="F260" s="1533"/>
      <c r="G260" s="1506" t="s">
        <v>1162</v>
      </c>
      <c r="H260" s="1833">
        <v>0</v>
      </c>
      <c r="I260" s="1834">
        <v>0</v>
      </c>
      <c r="J260" s="1834">
        <v>0</v>
      </c>
      <c r="K260" s="1834">
        <v>0</v>
      </c>
      <c r="L260" s="1535">
        <f t="shared" si="34"/>
        <v>0</v>
      </c>
      <c r="N260" s="1536">
        <f>SUMIF(CF.2!$H$5:$H$25,CF.1!E260,CF.2!$J$5:$J$25)-SUMIF(CF.2!$K$5:$K$25,CF.1!E260,CF.2!$M$5:$M$25)</f>
        <v>0</v>
      </c>
      <c r="O260" s="1534">
        <f>SUMIF(CF.2!$H$31:$H$60,CF.1!E260,CF.2!$J$31:$J$60)+SUMIF(CF.2!$K$31:$K$60,CF.1!E260,CF.2!$M$31:$M$60)</f>
        <v>0</v>
      </c>
      <c r="P260" s="1534">
        <f>SUMIF(CF.2!$H$65:$H$108,CF.1!E260,CF.2!$J$65:$J$108)+SUMIF(CF.2!$K$65:$K$108,CF.1!E260,CF.2!$M$65:$M$108)</f>
        <v>0</v>
      </c>
      <c r="Q260" s="1534">
        <f>SUMIF(CF.2!$H$112:$H$118,CF.1!E260,CF.2!$J$112:$J$118)+SUMIF(CF.2!$K$112:$K$118,CF.1!E260,CF.2!$M$112:$M$118)</f>
        <v>0</v>
      </c>
      <c r="R260" s="1534">
        <f>SUMIF(CF.2!$H$123:$H$134,CF.1!E260,CF.2!$J$123:$J$134)+SUMIF(CF.2!$K$123:$K$134,CF.1!E260,CF.2!$M$123:$M$134)</f>
        <v>0</v>
      </c>
      <c r="S260" s="1535">
        <f t="shared" si="35"/>
        <v>0</v>
      </c>
      <c r="U260" s="1537">
        <f t="shared" si="36"/>
        <v>0</v>
      </c>
    </row>
    <row r="261" spans="3:26" ht="18" customHeight="1">
      <c r="C261" s="1364">
        <v>1</v>
      </c>
      <c r="D261" s="1532" t="s">
        <v>1163</v>
      </c>
      <c r="E261" s="1506" t="s">
        <v>1163</v>
      </c>
      <c r="F261" s="1533"/>
      <c r="G261" s="1506" t="s">
        <v>1164</v>
      </c>
      <c r="H261" s="1833">
        <v>0</v>
      </c>
      <c r="I261" s="1834">
        <v>0</v>
      </c>
      <c r="J261" s="1834">
        <v>0</v>
      </c>
      <c r="K261" s="1834">
        <v>0</v>
      </c>
      <c r="L261" s="1535">
        <f t="shared" si="34"/>
        <v>0</v>
      </c>
      <c r="N261" s="1536">
        <f>SUMIF(CF.2!$H$5:$H$25,CF.1!E261,CF.2!$J$5:$J$25)-SUMIF(CF.2!$K$5:$K$25,CF.1!E261,CF.2!$M$5:$M$25)</f>
        <v>0</v>
      </c>
      <c r="O261" s="1534">
        <f>SUMIF(CF.2!$H$31:$H$60,CF.1!E261,CF.2!$J$31:$J$60)+SUMIF(CF.2!$K$31:$K$60,CF.1!E261,CF.2!$M$31:$M$60)</f>
        <v>0</v>
      </c>
      <c r="P261" s="1534">
        <f>SUMIF(CF.2!$H$65:$H$108,CF.1!E261,CF.2!$J$65:$J$108)+SUMIF(CF.2!$K$65:$K$108,CF.1!E261,CF.2!$M$65:$M$108)</f>
        <v>0</v>
      </c>
      <c r="Q261" s="1534">
        <f>SUMIF(CF.2!$H$112:$H$118,CF.1!E261,CF.2!$J$112:$J$118)+SUMIF(CF.2!$K$112:$K$118,CF.1!E261,CF.2!$M$112:$M$118)</f>
        <v>0</v>
      </c>
      <c r="R261" s="1534">
        <f>SUMIF(CF.2!$H$123:$H$134,CF.1!E261,CF.2!$J$123:$J$134)+SUMIF(CF.2!$K$123:$K$134,CF.1!E261,CF.2!$M$123:$M$134)</f>
        <v>0</v>
      </c>
      <c r="S261" s="1535">
        <f t="shared" si="35"/>
        <v>0</v>
      </c>
      <c r="U261" s="1537">
        <f t="shared" si="36"/>
        <v>0</v>
      </c>
    </row>
    <row r="262" spans="3:26" ht="18" customHeight="1">
      <c r="C262" s="1364">
        <v>1</v>
      </c>
      <c r="D262" s="1532" t="s">
        <v>1165</v>
      </c>
      <c r="E262" s="1506" t="s">
        <v>1165</v>
      </c>
      <c r="F262" s="1533"/>
      <c r="G262" s="1506" t="s">
        <v>1166</v>
      </c>
      <c r="H262" s="1833">
        <v>0</v>
      </c>
      <c r="I262" s="1834">
        <v>0</v>
      </c>
      <c r="J262" s="1834">
        <v>0</v>
      </c>
      <c r="K262" s="1834">
        <v>0</v>
      </c>
      <c r="L262" s="1535">
        <f t="shared" si="34"/>
        <v>0</v>
      </c>
      <c r="N262" s="1536">
        <f>SUMIF(CF.2!$H$5:$H$25,CF.1!E262,CF.2!$J$5:$J$25)-SUMIF(CF.2!$K$5:$K$25,CF.1!E262,CF.2!$M$5:$M$25)</f>
        <v>0</v>
      </c>
      <c r="O262" s="1534">
        <f>SUMIF(CF.2!$H$31:$H$60,CF.1!E262,CF.2!$J$31:$J$60)+SUMIF(CF.2!$K$31:$K$60,CF.1!E262,CF.2!$M$31:$M$60)</f>
        <v>0</v>
      </c>
      <c r="P262" s="1534">
        <f>SUMIF(CF.2!$H$65:$H$108,CF.1!E262,CF.2!$J$65:$J$108)+SUMIF(CF.2!$K$65:$K$108,CF.1!E262,CF.2!$M$65:$M$108)</f>
        <v>0</v>
      </c>
      <c r="Q262" s="1534">
        <f>SUMIF(CF.2!$H$112:$H$118,CF.1!E262,CF.2!$J$112:$J$118)+SUMIF(CF.2!$K$112:$K$118,CF.1!E262,CF.2!$M$112:$M$118)</f>
        <v>0</v>
      </c>
      <c r="R262" s="1534">
        <f>SUMIF(CF.2!$H$123:$H$134,CF.1!E262,CF.2!$J$123:$J$134)+SUMIF(CF.2!$K$123:$K$134,CF.1!E262,CF.2!$M$123:$M$134)</f>
        <v>0</v>
      </c>
      <c r="S262" s="1535">
        <f t="shared" si="35"/>
        <v>0</v>
      </c>
      <c r="U262" s="1537">
        <f t="shared" si="36"/>
        <v>0</v>
      </c>
    </row>
    <row r="263" spans="3:26" ht="18" customHeight="1">
      <c r="C263" s="1364">
        <v>1</v>
      </c>
      <c r="D263" s="1532" t="s">
        <v>1167</v>
      </c>
      <c r="E263" s="1506" t="s">
        <v>1167</v>
      </c>
      <c r="F263" s="1533"/>
      <c r="G263" s="1506" t="s">
        <v>1168</v>
      </c>
      <c r="H263" s="1833">
        <v>0</v>
      </c>
      <c r="I263" s="1834">
        <v>0</v>
      </c>
      <c r="J263" s="1834">
        <v>0</v>
      </c>
      <c r="K263" s="1834">
        <v>0</v>
      </c>
      <c r="L263" s="1535">
        <f t="shared" si="34"/>
        <v>0</v>
      </c>
      <c r="N263" s="1536">
        <f>SUMIF(CF.2!$H$5:$H$25,CF.1!E263,CF.2!$J$5:$J$25)-SUMIF(CF.2!$K$5:$K$25,CF.1!E263,CF.2!$M$5:$M$25)</f>
        <v>0</v>
      </c>
      <c r="O263" s="1534">
        <f>SUMIF(CF.2!$H$31:$H$60,CF.1!E263,CF.2!$J$31:$J$60)+SUMIF(CF.2!$K$31:$K$60,CF.1!E263,CF.2!$M$31:$M$60)</f>
        <v>0</v>
      </c>
      <c r="P263" s="1534">
        <f>SUMIF(CF.2!$H$65:$H$108,CF.1!E263,CF.2!$J$65:$J$108)+SUMIF(CF.2!$K$65:$K$108,CF.1!E263,CF.2!$M$65:$M$108)</f>
        <v>0</v>
      </c>
      <c r="Q263" s="1534">
        <f>SUMIF(CF.2!$H$112:$H$118,CF.1!E263,CF.2!$J$112:$J$118)+SUMIF(CF.2!$K$112:$K$118,CF.1!E263,CF.2!$M$112:$M$118)</f>
        <v>0</v>
      </c>
      <c r="R263" s="1534">
        <f>SUMIF(CF.2!$H$123:$H$134,CF.1!E263,CF.2!$J$123:$J$134)+SUMIF(CF.2!$K$123:$K$134,CF.1!E263,CF.2!$M$123:$M$134)</f>
        <v>0</v>
      </c>
      <c r="S263" s="1535">
        <f t="shared" si="35"/>
        <v>0</v>
      </c>
      <c r="U263" s="1537">
        <f t="shared" si="36"/>
        <v>0</v>
      </c>
    </row>
    <row r="264" spans="3:26" ht="18" customHeight="1">
      <c r="C264" s="1364">
        <v>1</v>
      </c>
      <c r="D264" s="1532" t="s">
        <v>1169</v>
      </c>
      <c r="E264" s="1506" t="s">
        <v>1169</v>
      </c>
      <c r="F264" s="1533"/>
      <c r="G264" s="1506" t="s">
        <v>1170</v>
      </c>
      <c r="H264" s="1833">
        <v>0</v>
      </c>
      <c r="I264" s="1834">
        <v>0</v>
      </c>
      <c r="J264" s="1834">
        <v>0</v>
      </c>
      <c r="K264" s="1834"/>
      <c r="L264" s="1535">
        <f t="shared" si="34"/>
        <v>0</v>
      </c>
      <c r="N264" s="1536">
        <f>SUMIF(CF.2!$H$5:$H$25,CF.1!E264,CF.2!$J$5:$J$25)-SUMIF(CF.2!$K$5:$K$25,CF.1!E264,CF.2!$M$5:$M$25)</f>
        <v>0</v>
      </c>
      <c r="O264" s="1534">
        <f>SUMIF(CF.2!$H$31:$H$60,CF.1!E264,CF.2!$J$31:$J$60)+SUMIF(CF.2!$K$31:$K$60,CF.1!E264,CF.2!$M$31:$M$60)</f>
        <v>0</v>
      </c>
      <c r="P264" s="1534">
        <f>SUMIF(CF.2!$H$65:$H$108,CF.1!E264,CF.2!$J$65:$J$108)+SUMIF(CF.2!$K$65:$K$108,CF.1!E264,CF.2!$M$65:$M$108)</f>
        <v>0</v>
      </c>
      <c r="Q264" s="1534">
        <f>SUMIF(CF.2!$H$112:$H$118,CF.1!E264,CF.2!$J$112:$J$118)+SUMIF(CF.2!$K$112:$K$118,CF.1!E264,CF.2!$M$112:$M$118)</f>
        <v>0</v>
      </c>
      <c r="R264" s="1534">
        <f>SUMIF(CF.2!$H$123:$H$134,CF.1!E264,CF.2!$J$123:$J$134)+SUMIF(CF.2!$K$123:$K$134,CF.1!E264,CF.2!$M$123:$M$134)</f>
        <v>0</v>
      </c>
      <c r="S264" s="1535">
        <f t="shared" si="35"/>
        <v>0</v>
      </c>
      <c r="U264" s="1537">
        <f t="shared" si="36"/>
        <v>0</v>
      </c>
    </row>
    <row r="265" spans="3:26" ht="18" customHeight="1">
      <c r="C265" s="1364">
        <v>1</v>
      </c>
      <c r="D265" s="1532" t="s">
        <v>1171</v>
      </c>
      <c r="E265" s="1506" t="s">
        <v>1171</v>
      </c>
      <c r="F265" s="1533"/>
      <c r="G265" s="1506" t="s">
        <v>1172</v>
      </c>
      <c r="H265" s="1833">
        <v>0</v>
      </c>
      <c r="I265" s="1834">
        <v>0</v>
      </c>
      <c r="J265" s="1834">
        <v>0</v>
      </c>
      <c r="K265" s="1834">
        <v>0</v>
      </c>
      <c r="L265" s="1535">
        <f t="shared" si="34"/>
        <v>0</v>
      </c>
      <c r="N265" s="1536">
        <f>SUMIF(CF.2!$H$5:$H$25,CF.1!E265,CF.2!$J$5:$J$25)-SUMIF(CF.2!$K$5:$K$25,CF.1!E265,CF.2!$M$5:$M$25)</f>
        <v>0</v>
      </c>
      <c r="O265" s="1534">
        <f>SUMIF(CF.2!$H$31:$H$60,CF.1!E265,CF.2!$J$31:$J$60)+SUMIF(CF.2!$K$31:$K$60,CF.1!E265,CF.2!$M$31:$M$60)</f>
        <v>0</v>
      </c>
      <c r="P265" s="1534">
        <f>SUMIF(CF.2!$H$65:$H$108,CF.1!E265,CF.2!$J$65:$J$108)+SUMIF(CF.2!$K$65:$K$108,CF.1!E265,CF.2!$M$65:$M$108)</f>
        <v>0</v>
      </c>
      <c r="Q265" s="1534">
        <f>SUMIF(CF.2!$H$112:$H$118,CF.1!E265,CF.2!$J$112:$J$118)+SUMIF(CF.2!$K$112:$K$118,CF.1!E265,CF.2!$M$112:$M$118)</f>
        <v>0</v>
      </c>
      <c r="R265" s="1534">
        <f>SUMIF(CF.2!$H$123:$H$134,CF.1!E265,CF.2!$J$123:$J$134)+SUMIF(CF.2!$K$123:$K$134,CF.1!E265,CF.2!$M$123:$M$134)</f>
        <v>0</v>
      </c>
      <c r="S265" s="1535">
        <f t="shared" si="35"/>
        <v>0</v>
      </c>
      <c r="U265" s="1537">
        <f t="shared" si="36"/>
        <v>0</v>
      </c>
    </row>
    <row r="266" spans="3:26" ht="18" customHeight="1">
      <c r="C266" s="1364">
        <v>1</v>
      </c>
      <c r="D266" s="1532" t="s">
        <v>1173</v>
      </c>
      <c r="E266" s="1506" t="s">
        <v>1173</v>
      </c>
      <c r="F266" s="1533"/>
      <c r="G266" s="1506" t="s">
        <v>1174</v>
      </c>
      <c r="H266" s="1833">
        <v>0</v>
      </c>
      <c r="I266" s="1834">
        <v>0</v>
      </c>
      <c r="J266" s="1834">
        <v>0</v>
      </c>
      <c r="K266" s="1834">
        <v>0</v>
      </c>
      <c r="L266" s="1535">
        <f t="shared" si="34"/>
        <v>0</v>
      </c>
      <c r="N266" s="1536">
        <f>SUMIF(CF.2!$H$5:$H$25,CF.1!E266,CF.2!$J$5:$J$25)-SUMIF(CF.2!$K$5:$K$25,CF.1!E266,CF.2!$M$5:$M$25)</f>
        <v>0</v>
      </c>
      <c r="O266" s="1534">
        <f>SUMIF(CF.2!$H$31:$H$60,CF.1!E266,CF.2!$J$31:$J$60)+SUMIF(CF.2!$K$31:$K$60,CF.1!E266,CF.2!$M$31:$M$60)</f>
        <v>0</v>
      </c>
      <c r="P266" s="1534">
        <f>SUMIF(CF.2!$H$65:$H$108,CF.1!E266,CF.2!$J$65:$J$108)+SUMIF(CF.2!$K$65:$K$108,CF.1!E266,CF.2!$M$65:$M$108)</f>
        <v>0</v>
      </c>
      <c r="Q266" s="1534">
        <f>SUMIF(CF.2!$H$112:$H$118,CF.1!E266,CF.2!$J$112:$J$118)+SUMIF(CF.2!$K$112:$K$118,CF.1!E266,CF.2!$M$112:$M$118)</f>
        <v>0</v>
      </c>
      <c r="R266" s="1534">
        <f>SUMIF(CF.2!$H$123:$H$134,CF.1!E266,CF.2!$J$123:$J$134)+SUMIF(CF.2!$K$123:$K$134,CF.1!E266,CF.2!$M$123:$M$134)</f>
        <v>0</v>
      </c>
      <c r="S266" s="1535">
        <f t="shared" si="35"/>
        <v>0</v>
      </c>
      <c r="U266" s="1537">
        <f t="shared" si="36"/>
        <v>0</v>
      </c>
    </row>
    <row r="267" spans="3:26" ht="18" customHeight="1">
      <c r="C267" s="1364">
        <v>1</v>
      </c>
      <c r="D267" s="1532" t="s">
        <v>1175</v>
      </c>
      <c r="E267" s="1506" t="s">
        <v>1175</v>
      </c>
      <c r="F267" s="1533" t="s">
        <v>1440</v>
      </c>
      <c r="G267" s="1506" t="s">
        <v>1176</v>
      </c>
      <c r="H267" s="1833">
        <v>0</v>
      </c>
      <c r="I267" s="1834">
        <v>0</v>
      </c>
      <c r="J267" s="1834">
        <v>0</v>
      </c>
      <c r="K267" s="1834">
        <v>0</v>
      </c>
      <c r="L267" s="1535">
        <f t="shared" si="34"/>
        <v>0</v>
      </c>
      <c r="N267" s="1536">
        <f>SUMIF(CF.2!$H$5:$H$25,CF.1!E267,CF.2!$J$5:$J$25)-SUMIF(CF.2!$K$5:$K$25,CF.1!E267,CF.2!$M$5:$M$25)</f>
        <v>0</v>
      </c>
      <c r="O267" s="1534">
        <f>SUMIF(CF.2!$H$31:$H$60,CF.1!E267,CF.2!$J$31:$J$60)+SUMIF(CF.2!$K$31:$K$60,CF.1!E267,CF.2!$M$31:$M$60)</f>
        <v>0</v>
      </c>
      <c r="P267" s="1534">
        <f>SUMIF(CF.2!$H$65:$H$108,CF.1!E267,CF.2!$J$65:$J$108)+SUMIF(CF.2!$K$65:$K$108,CF.1!E267,CF.2!$M$65:$M$108)</f>
        <v>0</v>
      </c>
      <c r="Q267" s="1534">
        <f>SUMIF(CF.2!$H$112:$H$118,CF.1!E267,CF.2!$J$112:$J$118)+SUMIF(CF.2!$K$112:$K$118,CF.1!E267,CF.2!$M$112:$M$118)</f>
        <v>0</v>
      </c>
      <c r="R267" s="1534">
        <f>SUMIF(CF.2!$H$123:$H$134,CF.1!E267,CF.2!$J$123:$J$134)+SUMIF(CF.2!$K$123:$K$134,CF.1!E267,CF.2!$M$123:$M$134)</f>
        <v>0</v>
      </c>
      <c r="S267" s="1535">
        <f t="shared" si="35"/>
        <v>0</v>
      </c>
      <c r="U267" s="1537">
        <f t="shared" si="36"/>
        <v>0</v>
      </c>
    </row>
    <row r="268" spans="3:26" ht="18" customHeight="1">
      <c r="C268" s="1364">
        <v>1</v>
      </c>
      <c r="D268" s="1532" t="s">
        <v>1177</v>
      </c>
      <c r="E268" s="1506" t="s">
        <v>1177</v>
      </c>
      <c r="F268" s="1533"/>
      <c r="G268" s="1506" t="s">
        <v>1178</v>
      </c>
      <c r="H268" s="1833">
        <v>0</v>
      </c>
      <c r="I268" s="1834">
        <v>0</v>
      </c>
      <c r="J268" s="1834">
        <v>0</v>
      </c>
      <c r="K268" s="1834">
        <v>0</v>
      </c>
      <c r="L268" s="1535">
        <f t="shared" si="34"/>
        <v>0</v>
      </c>
      <c r="N268" s="1536">
        <f>SUMIF(CF.2!$H$5:$H$25,CF.1!E268,CF.2!$J$5:$J$25)-SUMIF(CF.2!$K$5:$K$25,CF.1!E268,CF.2!$M$5:$M$25)</f>
        <v>0</v>
      </c>
      <c r="O268" s="1534">
        <f>SUMIF(CF.2!$H$31:$H$60,CF.1!E268,CF.2!$J$31:$J$60)+SUMIF(CF.2!$K$31:$K$60,CF.1!E268,CF.2!$M$31:$M$60)</f>
        <v>0</v>
      </c>
      <c r="P268" s="1534">
        <f>SUMIF(CF.2!$H$65:$H$108,CF.1!E268,CF.2!$J$65:$J$108)+SUMIF(CF.2!$K$65:$K$108,CF.1!E268,CF.2!$M$65:$M$108)</f>
        <v>0</v>
      </c>
      <c r="Q268" s="1534">
        <f>SUMIF(CF.2!$H$112:$H$118,CF.1!E268,CF.2!$J$112:$J$118)+SUMIF(CF.2!$K$112:$K$118,CF.1!E268,CF.2!$M$112:$M$118)</f>
        <v>0</v>
      </c>
      <c r="R268" s="1534">
        <f>SUMIF(CF.2!$H$123:$H$134,CF.1!E268,CF.2!$J$123:$J$134)+SUMIF(CF.2!$K$123:$K$134,CF.1!E268,CF.2!$M$123:$M$134)</f>
        <v>0</v>
      </c>
      <c r="S268" s="1535">
        <f t="shared" si="35"/>
        <v>0</v>
      </c>
      <c r="U268" s="1537">
        <f t="shared" si="36"/>
        <v>0</v>
      </c>
    </row>
    <row r="269" spans="3:26" ht="18" customHeight="1">
      <c r="C269" s="1364">
        <v>1</v>
      </c>
      <c r="D269" s="1532" t="s">
        <v>1179</v>
      </c>
      <c r="E269" s="1506" t="s">
        <v>1179</v>
      </c>
      <c r="F269" s="1533" t="s">
        <v>1440</v>
      </c>
      <c r="G269" s="1506" t="s">
        <v>1180</v>
      </c>
      <c r="H269" s="1833">
        <v>0</v>
      </c>
      <c r="I269" s="1834">
        <v>0</v>
      </c>
      <c r="J269" s="1834">
        <v>0</v>
      </c>
      <c r="K269" s="1834">
        <v>0</v>
      </c>
      <c r="L269" s="1535">
        <f t="shared" si="34"/>
        <v>0</v>
      </c>
      <c r="N269" s="1536">
        <f>SUMIF(CF.2!$H$5:$H$25,CF.1!E269,CF.2!$J$5:$J$25)-SUMIF(CF.2!$K$5:$K$25,CF.1!E269,CF.2!$M$5:$M$25)</f>
        <v>0</v>
      </c>
      <c r="O269" s="1534">
        <f>SUMIF(CF.2!$H$31:$H$60,CF.1!E269,CF.2!$J$31:$J$60)+SUMIF(CF.2!$K$31:$K$60,CF.1!E269,CF.2!$M$31:$M$60)</f>
        <v>0</v>
      </c>
      <c r="P269" s="1534">
        <f>SUMIF(CF.2!$H$65:$H$108,CF.1!E269,CF.2!$J$65:$J$108)+SUMIF(CF.2!$K$65:$K$108,CF.1!E269,CF.2!$M$65:$M$108)</f>
        <v>0</v>
      </c>
      <c r="Q269" s="1534">
        <f>SUMIF(CF.2!$H$112:$H$118,CF.1!E269,CF.2!$J$112:$J$118)+SUMIF(CF.2!$K$112:$K$118,CF.1!E269,CF.2!$M$112:$M$118)</f>
        <v>0</v>
      </c>
      <c r="R269" s="1534">
        <f>SUMIF(CF.2!$H$123:$H$134,CF.1!E269,CF.2!$J$123:$J$134)+SUMIF(CF.2!$K$123:$K$134,CF.1!E269,CF.2!$M$123:$M$134)</f>
        <v>0</v>
      </c>
      <c r="S269" s="1535">
        <f t="shared" si="35"/>
        <v>0</v>
      </c>
      <c r="U269" s="1537">
        <f t="shared" si="36"/>
        <v>0</v>
      </c>
    </row>
    <row r="270" spans="3:26" ht="18" customHeight="1">
      <c r="C270" s="1364">
        <v>1</v>
      </c>
      <c r="D270" s="1532" t="s">
        <v>1181</v>
      </c>
      <c r="E270" s="1506" t="s">
        <v>1181</v>
      </c>
      <c r="F270" s="1533"/>
      <c r="G270" s="1506" t="s">
        <v>1182</v>
      </c>
      <c r="H270" s="1833">
        <v>0</v>
      </c>
      <c r="I270" s="1834">
        <v>0</v>
      </c>
      <c r="J270" s="1834">
        <v>0</v>
      </c>
      <c r="K270" s="1834">
        <v>0</v>
      </c>
      <c r="L270" s="1535">
        <f t="shared" si="34"/>
        <v>0</v>
      </c>
      <c r="N270" s="1536">
        <f>SUMIF(CF.2!$H$5:$H$25,CF.1!E270,CF.2!$J$5:$J$25)-SUMIF(CF.2!$K$5:$K$25,CF.1!E270,CF.2!$M$5:$M$25)</f>
        <v>0</v>
      </c>
      <c r="O270" s="1534">
        <f>SUMIF(CF.2!$H$31:$H$60,CF.1!E270,CF.2!$J$31:$J$60)+SUMIF(CF.2!$K$31:$K$60,CF.1!E270,CF.2!$M$31:$M$60)</f>
        <v>0</v>
      </c>
      <c r="P270" s="1534">
        <f>SUMIF(CF.2!$H$65:$H$108,CF.1!E270,CF.2!$J$65:$J$108)+SUMIF(CF.2!$K$65:$K$108,CF.1!E270,CF.2!$M$65:$M$108)</f>
        <v>0</v>
      </c>
      <c r="Q270" s="1534">
        <f>SUMIF(CF.2!$H$112:$H$118,CF.1!E270,CF.2!$J$112:$J$118)+SUMIF(CF.2!$K$112:$K$118,CF.1!E270,CF.2!$M$112:$M$118)</f>
        <v>0</v>
      </c>
      <c r="R270" s="1534">
        <f>SUMIF(CF.2!$H$123:$H$134,CF.1!E270,CF.2!$J$123:$J$134)+SUMIF(CF.2!$K$123:$K$134,CF.1!E270,CF.2!$M$123:$M$134)</f>
        <v>0</v>
      </c>
      <c r="S270" s="1535">
        <f t="shared" si="35"/>
        <v>0</v>
      </c>
      <c r="U270" s="1537">
        <f t="shared" si="36"/>
        <v>0</v>
      </c>
    </row>
    <row r="271" spans="3:26" ht="18" customHeight="1">
      <c r="C271" s="1364">
        <v>1</v>
      </c>
      <c r="D271" s="1532" t="s">
        <v>1183</v>
      </c>
      <c r="E271" s="1506" t="s">
        <v>1365</v>
      </c>
      <c r="F271" s="1533" t="s">
        <v>1440</v>
      </c>
      <c r="G271" s="1506" t="s">
        <v>1357</v>
      </c>
      <c r="H271" s="1833">
        <v>0</v>
      </c>
      <c r="I271" s="1834">
        <v>0</v>
      </c>
      <c r="J271" s="1834">
        <v>0</v>
      </c>
      <c r="K271" s="1834">
        <v>0</v>
      </c>
      <c r="L271" s="1535">
        <f t="shared" si="34"/>
        <v>0</v>
      </c>
      <c r="N271" s="1536">
        <f>SUMIF(CF.2!$H$5:$H$25,CF.1!E271,CF.2!$J$5:$J$25)-SUMIF(CF.2!$K$5:$K$25,CF.1!E271,CF.2!$M$5:$M$25)</f>
        <v>0</v>
      </c>
      <c r="O271" s="1534">
        <f>SUMIF(CF.2!$H$31:$H$60,CF.1!E271,CF.2!$J$31:$J$60)+SUMIF(CF.2!$K$31:$K$60,CF.1!E271,CF.2!$M$31:$M$60)</f>
        <v>0</v>
      </c>
      <c r="P271" s="1534">
        <f>SUMIF(CF.2!$H$65:$H$108,CF.1!E271,CF.2!$J$65:$J$108)+SUMIF(CF.2!$K$65:$K$108,CF.1!E271,CF.2!$M$65:$M$108)</f>
        <v>0</v>
      </c>
      <c r="Q271" s="1534">
        <f>SUMIF(CF.2!$H$112:$H$118,CF.1!E271,CF.2!$J$112:$J$118)+SUMIF(CF.2!$K$112:$K$118,CF.1!E271,CF.2!$M$112:$M$118)</f>
        <v>0</v>
      </c>
      <c r="R271" s="1534">
        <f>SUMIF(CF.2!$H$123:$H$134,CF.1!E271,CF.2!$J$123:$J$134)+SUMIF(CF.2!$K$123:$K$134,CF.1!E271,CF.2!$M$123:$M$134)</f>
        <v>0</v>
      </c>
      <c r="S271" s="1535">
        <f t="shared" si="35"/>
        <v>0</v>
      </c>
      <c r="U271" s="1537">
        <f t="shared" si="36"/>
        <v>0</v>
      </c>
    </row>
    <row r="272" spans="3:26" ht="18" customHeight="1">
      <c r="C272" s="1364">
        <v>1</v>
      </c>
      <c r="D272" s="1532" t="s">
        <v>1183</v>
      </c>
      <c r="E272" s="1506" t="s">
        <v>1366</v>
      </c>
      <c r="F272" s="1533" t="s">
        <v>1440</v>
      </c>
      <c r="G272" s="1506" t="s">
        <v>1358</v>
      </c>
      <c r="H272" s="1833">
        <v>-317111500</v>
      </c>
      <c r="I272" s="1833">
        <v>-9444545</v>
      </c>
      <c r="J272" s="1834">
        <v>0</v>
      </c>
      <c r="K272" s="1834">
        <v>-4236878</v>
      </c>
      <c r="L272" s="1535">
        <f t="shared" si="34"/>
        <v>-330792923</v>
      </c>
      <c r="N272" s="1536">
        <f>SUMIF(CF.2!$H$5:$H$25,CF.1!E272,CF.2!$J$5:$J$25)-SUMIF(CF.2!$K$5:$K$25,CF.1!E272,CF.2!$M$5:$M$25)</f>
        <v>0</v>
      </c>
      <c r="O272" s="1534">
        <f>SUMIF(CF.2!$H$31:$H$60,CF.1!E272,CF.2!$J$31:$J$60)+SUMIF(CF.2!$K$31:$K$60,CF.1!E272,CF.2!$M$31:$M$60)</f>
        <v>0</v>
      </c>
      <c r="P272" s="1534">
        <f>SUMIF(CF.2!$H$65:$H$108,CF.1!E272,CF.2!$J$65:$J$108)+SUMIF(CF.2!$K$65:$K$108,CF.1!E272,CF.2!$M$65:$M$108)</f>
        <v>0</v>
      </c>
      <c r="Q272" s="1534">
        <f>SUMIF(CF.2!$H$112:$H$118,CF.1!E272,CF.2!$J$112:$J$118)+SUMIF(CF.2!$K$112:$K$118,CF.1!E272,CF.2!$M$112:$M$118)</f>
        <v>0</v>
      </c>
      <c r="R272" s="1534">
        <f>SUMIF(CF.2!$H$123:$H$134,CF.1!E272,CF.2!$J$123:$J$134)+SUMIF(CF.2!$K$123:$K$134,CF.1!E272,CF.2!$M$123:$M$134)</f>
        <v>0</v>
      </c>
      <c r="S272" s="1535">
        <f t="shared" si="35"/>
        <v>0</v>
      </c>
      <c r="U272" s="1537">
        <f t="shared" si="36"/>
        <v>-330792923</v>
      </c>
      <c r="X272" s="966">
        <f>[2]FN0440!$K$3-[2]FN0440!$U$3</f>
        <v>645296381</v>
      </c>
      <c r="Y272" s="966">
        <f>SUM(U272,U273,U276,U277)</f>
        <v>-645296381</v>
      </c>
      <c r="Z272" s="509">
        <f>X272+Y272</f>
        <v>0</v>
      </c>
    </row>
    <row r="273" spans="3:26" ht="18" customHeight="1">
      <c r="C273" s="1364">
        <v>1</v>
      </c>
      <c r="D273" s="1532" t="s">
        <v>1183</v>
      </c>
      <c r="E273" s="1506" t="s">
        <v>1367</v>
      </c>
      <c r="F273" s="1533" t="s">
        <v>1440</v>
      </c>
      <c r="G273" s="1506" t="s">
        <v>1359</v>
      </c>
      <c r="H273" s="1833">
        <v>-211083465</v>
      </c>
      <c r="I273" s="1833">
        <v>0</v>
      </c>
      <c r="J273" s="1834">
        <v>0</v>
      </c>
      <c r="K273" s="1834">
        <v>0</v>
      </c>
      <c r="L273" s="1535">
        <f t="shared" si="34"/>
        <v>-211083465</v>
      </c>
      <c r="N273" s="1536">
        <f>SUMIF(CF.2!$H$5:$H$25,CF.1!E273,CF.2!$J$5:$J$25)-SUMIF(CF.2!$K$5:$K$25,CF.1!E273,CF.2!$M$5:$M$25)</f>
        <v>0</v>
      </c>
      <c r="O273" s="1534">
        <f>SUMIF(CF.2!$H$31:$H$60,CF.1!E273,CF.2!$J$31:$J$60)+SUMIF(CF.2!$K$31:$K$60,CF.1!E273,CF.2!$M$31:$M$60)</f>
        <v>0</v>
      </c>
      <c r="P273" s="1534">
        <f>SUMIF(CF.2!$H$65:$H$108,CF.1!E273,CF.2!$J$65:$J$108)+SUMIF(CF.2!$K$65:$K$108,CF.1!E273,CF.2!$M$65:$M$108)</f>
        <v>0</v>
      </c>
      <c r="Q273" s="1534">
        <f>SUMIF(CF.2!$H$112:$H$118,CF.1!E273,CF.2!$J$112:$J$118)+SUMIF(CF.2!$K$112:$K$118,CF.1!E273,CF.2!$M$112:$M$118)</f>
        <v>0</v>
      </c>
      <c r="R273" s="1534">
        <f>SUMIF(CF.2!$H$123:$H$134,CF.1!E273,CF.2!$J$123:$J$134)+SUMIF(CF.2!$K$123:$K$134,CF.1!E273,CF.2!$M$123:$M$134)</f>
        <v>0</v>
      </c>
      <c r="S273" s="1535">
        <f t="shared" si="35"/>
        <v>0</v>
      </c>
      <c r="U273" s="1537">
        <f t="shared" si="36"/>
        <v>-211083465</v>
      </c>
      <c r="Z273" s="1364">
        <f>Z272/2</f>
        <v>0</v>
      </c>
    </row>
    <row r="274" spans="3:26" ht="18" customHeight="1">
      <c r="C274" s="1364">
        <v>1</v>
      </c>
      <c r="D274" s="1532" t="s">
        <v>1184</v>
      </c>
      <c r="E274" s="1506" t="s">
        <v>1184</v>
      </c>
      <c r="F274" s="1533"/>
      <c r="G274" s="1506" t="s">
        <v>1185</v>
      </c>
      <c r="H274" s="1833">
        <v>0</v>
      </c>
      <c r="I274" s="1834">
        <v>0</v>
      </c>
      <c r="J274" s="1834">
        <v>0</v>
      </c>
      <c r="K274" s="1834">
        <v>0</v>
      </c>
      <c r="L274" s="1535">
        <f t="shared" si="34"/>
        <v>0</v>
      </c>
      <c r="N274" s="1536">
        <f>SUMIF(CF.2!$H$5:$H$25,CF.1!E274,CF.2!$J$5:$J$25)-SUMIF(CF.2!$K$5:$K$25,CF.1!E274,CF.2!$M$5:$M$25)</f>
        <v>0</v>
      </c>
      <c r="O274" s="1534">
        <f>SUMIF(CF.2!$H$31:$H$60,CF.1!E274,CF.2!$J$31:$J$60)+SUMIF(CF.2!$K$31:$K$60,CF.1!E274,CF.2!$M$31:$M$60)</f>
        <v>0</v>
      </c>
      <c r="P274" s="1534">
        <f>SUMIF(CF.2!$H$65:$H$108,CF.1!E274,CF.2!$J$65:$J$108)+SUMIF(CF.2!$K$65:$K$108,CF.1!E274,CF.2!$M$65:$M$108)</f>
        <v>0</v>
      </c>
      <c r="Q274" s="1534">
        <f>SUMIF(CF.2!$H$112:$H$118,CF.1!E274,CF.2!$J$112:$J$118)+SUMIF(CF.2!$K$112:$K$118,CF.1!E274,CF.2!$M$112:$M$118)</f>
        <v>0</v>
      </c>
      <c r="R274" s="1534">
        <f>SUMIF(CF.2!$H$123:$H$134,CF.1!E274,CF.2!$J$123:$J$134)+SUMIF(CF.2!$K$123:$K$134,CF.1!E274,CF.2!$M$123:$M$134)</f>
        <v>0</v>
      </c>
      <c r="S274" s="1535">
        <f t="shared" si="35"/>
        <v>0</v>
      </c>
      <c r="U274" s="1537">
        <f t="shared" si="36"/>
        <v>0</v>
      </c>
    </row>
    <row r="275" spans="3:26" ht="18" customHeight="1">
      <c r="C275" s="1364">
        <v>1</v>
      </c>
      <c r="D275" s="1532" t="s">
        <v>1186</v>
      </c>
      <c r="E275" s="1506" t="s">
        <v>1186</v>
      </c>
      <c r="F275" s="1533"/>
      <c r="G275" s="1506" t="s">
        <v>1187</v>
      </c>
      <c r="H275" s="1833">
        <v>0</v>
      </c>
      <c r="I275" s="1834">
        <v>0</v>
      </c>
      <c r="J275" s="1834">
        <v>0</v>
      </c>
      <c r="K275" s="1834">
        <v>0</v>
      </c>
      <c r="L275" s="1535">
        <f t="shared" ref="L275:L299" si="37">SUM(H275:K275)</f>
        <v>0</v>
      </c>
      <c r="N275" s="1536">
        <f>SUMIF(CF.2!$H$5:$H$25,CF.1!E275,CF.2!$J$5:$J$25)-SUMIF(CF.2!$K$5:$K$25,CF.1!E275,CF.2!$M$5:$M$25)</f>
        <v>0</v>
      </c>
      <c r="O275" s="1534">
        <f>SUMIF(CF.2!$H$31:$H$60,CF.1!E275,CF.2!$J$31:$J$60)+SUMIF(CF.2!$K$31:$K$60,CF.1!E275,CF.2!$M$31:$M$60)</f>
        <v>0</v>
      </c>
      <c r="P275" s="1534">
        <f>SUMIF(CF.2!$H$65:$H$108,CF.1!E275,CF.2!$J$65:$J$108)+SUMIF(CF.2!$K$65:$K$108,CF.1!E275,CF.2!$M$65:$M$108)</f>
        <v>0</v>
      </c>
      <c r="Q275" s="1534">
        <f>SUMIF(CF.2!$H$112:$H$118,CF.1!E275,CF.2!$J$112:$J$118)+SUMIF(CF.2!$K$112:$K$118,CF.1!E275,CF.2!$M$112:$M$118)</f>
        <v>0</v>
      </c>
      <c r="R275" s="1534">
        <f>SUMIF(CF.2!$H$123:$H$134,CF.1!E275,CF.2!$J$123:$J$134)+SUMIF(CF.2!$K$123:$K$134,CF.1!E275,CF.2!$M$123:$M$134)</f>
        <v>0</v>
      </c>
      <c r="S275" s="1535">
        <f t="shared" ref="S275:S299" si="38">SUM(N275:R275)</f>
        <v>0</v>
      </c>
      <c r="U275" s="1537">
        <f t="shared" ref="U275:U299" si="39">ROUND(S275+L275,0)</f>
        <v>0</v>
      </c>
    </row>
    <row r="276" spans="3:26" ht="18" customHeight="1">
      <c r="C276" s="1364">
        <v>1</v>
      </c>
      <c r="D276" s="1532" t="s">
        <v>1188</v>
      </c>
      <c r="E276" s="1506" t="s">
        <v>1188</v>
      </c>
      <c r="F276" s="1533" t="s">
        <v>1440</v>
      </c>
      <c r="G276" s="1506" t="s">
        <v>1189</v>
      </c>
      <c r="H276" s="1833">
        <v>-100069993</v>
      </c>
      <c r="I276" s="1833">
        <v>0</v>
      </c>
      <c r="J276" s="1834">
        <v>0</v>
      </c>
      <c r="K276" s="1834">
        <v>0</v>
      </c>
      <c r="L276" s="1535">
        <f t="shared" si="37"/>
        <v>-100069993</v>
      </c>
      <c r="N276" s="1536">
        <f>SUMIF(CF.2!$H$5:$H$25,CF.1!E276,CF.2!$J$5:$J$25)-SUMIF(CF.2!$K$5:$K$25,CF.1!E276,CF.2!$M$5:$M$25)</f>
        <v>0</v>
      </c>
      <c r="O276" s="1534">
        <f>SUMIF(CF.2!$H$31:$H$60,CF.1!E276,CF.2!$J$31:$J$60)+SUMIF(CF.2!$K$31:$K$60,CF.1!E276,CF.2!$M$31:$M$60)</f>
        <v>0</v>
      </c>
      <c r="P276" s="1534">
        <f>SUMIF(CF.2!$H$65:$H$108,CF.1!E276,CF.2!$J$65:$J$108)+SUMIF(CF.2!$K$65:$K$108,CF.1!E276,CF.2!$M$65:$M$108)</f>
        <v>0</v>
      </c>
      <c r="Q276" s="1534">
        <f>SUMIF(CF.2!$H$112:$H$118,CF.1!E276,CF.2!$J$112:$J$118)+SUMIF(CF.2!$K$112:$K$118,CF.1!E276,CF.2!$M$112:$M$118)</f>
        <v>0</v>
      </c>
      <c r="R276" s="1534">
        <f>SUMIF(CF.2!$H$123:$H$134,CF.1!E276,CF.2!$J$123:$J$134)+SUMIF(CF.2!$K$123:$K$134,CF.1!E276,CF.2!$M$123:$M$134)</f>
        <v>0</v>
      </c>
      <c r="S276" s="1535">
        <f t="shared" si="38"/>
        <v>0</v>
      </c>
      <c r="U276" s="1537">
        <f t="shared" si="39"/>
        <v>-100069993</v>
      </c>
    </row>
    <row r="277" spans="3:26" ht="18" customHeight="1">
      <c r="C277" s="1364">
        <v>1</v>
      </c>
      <c r="D277" s="1532" t="s">
        <v>1183</v>
      </c>
      <c r="E277" s="1506" t="s">
        <v>1190</v>
      </c>
      <c r="F277" s="1533" t="s">
        <v>1440</v>
      </c>
      <c r="G277" s="1506" t="s">
        <v>1191</v>
      </c>
      <c r="H277" s="1833">
        <v>0</v>
      </c>
      <c r="I277" s="1834">
        <v>-3350000</v>
      </c>
      <c r="J277" s="1834">
        <v>0</v>
      </c>
      <c r="K277" s="1834">
        <v>0</v>
      </c>
      <c r="L277" s="1535">
        <f t="shared" si="37"/>
        <v>-3350000</v>
      </c>
      <c r="N277" s="1536">
        <f>SUMIF(CF.2!$H$5:$H$25,CF.1!E277,CF.2!$J$5:$J$25)-SUMIF(CF.2!$K$5:$K$25,CF.1!E277,CF.2!$M$5:$M$25)</f>
        <v>0</v>
      </c>
      <c r="O277" s="1534">
        <f>SUMIF(CF.2!$H$31:$H$60,CF.1!E277,CF.2!$J$31:$J$60)+SUMIF(CF.2!$K$31:$K$60,CF.1!E277,CF.2!$M$31:$M$60)</f>
        <v>0</v>
      </c>
      <c r="P277" s="1534">
        <f>SUMIF(CF.2!$H$65:$H$108,CF.1!E277,CF.2!$J$65:$J$108)+SUMIF(CF.2!$K$65:$K$108,CF.1!E277,CF.2!$M$65:$M$108)</f>
        <v>0</v>
      </c>
      <c r="Q277" s="1534">
        <f>SUMIF(CF.2!$H$112:$H$118,CF.1!E277,CF.2!$J$112:$J$118)+SUMIF(CF.2!$K$112:$K$118,CF.1!E277,CF.2!$M$112:$M$118)</f>
        <v>0</v>
      </c>
      <c r="R277" s="1534">
        <f>SUMIF(CF.2!$H$123:$H$134,CF.1!E277,CF.2!$J$123:$J$134)+SUMIF(CF.2!$K$123:$K$134,CF.1!E277,CF.2!$M$123:$M$134)</f>
        <v>0</v>
      </c>
      <c r="S277" s="1535">
        <f t="shared" si="38"/>
        <v>0</v>
      </c>
      <c r="U277" s="1537">
        <f t="shared" si="39"/>
        <v>-3350000</v>
      </c>
    </row>
    <row r="278" spans="3:26" s="1089" customFormat="1" ht="18" customHeight="1">
      <c r="C278" s="1089">
        <v>1</v>
      </c>
      <c r="D278" s="1538" t="s">
        <v>1192</v>
      </c>
      <c r="E278" s="1276" t="s">
        <v>1192</v>
      </c>
      <c r="F278" s="1539" t="s">
        <v>1441</v>
      </c>
      <c r="G278" s="1276" t="s">
        <v>1193</v>
      </c>
      <c r="H278" s="1832">
        <v>-911571524</v>
      </c>
      <c r="I278" s="1832">
        <v>0</v>
      </c>
      <c r="J278" s="1835">
        <v>0</v>
      </c>
      <c r="K278" s="1835">
        <v>0</v>
      </c>
      <c r="L278" s="1541">
        <f t="shared" si="37"/>
        <v>-911571524</v>
      </c>
      <c r="N278" s="1555">
        <f>SUMIF(CF.2!$H$5:$H$25,CF.1!E278,CF.2!$J$5:$J$25)-SUMIF(CF.2!$K$5:$K$25,CF.1!E278,CF.2!$M$5:$M$25)</f>
        <v>0</v>
      </c>
      <c r="O278" s="1540">
        <f>SUMIF(CF.2!$H$31:$H$60,CF.1!E278,CF.2!$J$31:$J$60)+SUMIF(CF.2!$K$31:$K$60,CF.1!E278,CF.2!$M$31:$M$60)</f>
        <v>0</v>
      </c>
      <c r="P278" s="1540">
        <f>SUMIF(CF.2!$H$65:$H$108,CF.1!E278,CF.2!$J$65:$J$108)+SUMIF(CF.2!$K$65:$K$108,CF.1!E278,CF.2!$M$65:$M$108)</f>
        <v>0</v>
      </c>
      <c r="Q278" s="1540">
        <f>SUMIF(CF.2!$H$112:$H$118,CF.1!E278,CF.2!$J$112:$J$118)+SUMIF(CF.2!$K$112:$K$118,CF.1!E278,CF.2!$M$112:$M$118)</f>
        <v>0</v>
      </c>
      <c r="R278" s="1540">
        <f>SUMIF(CF.2!$H$123:$H$134,CF.1!E278,CF.2!$J$123:$J$134)+SUMIF(CF.2!$K$123:$K$134,CF.1!E278,CF.2!$M$123:$M$134)</f>
        <v>0</v>
      </c>
      <c r="S278" s="1541">
        <f t="shared" si="38"/>
        <v>0</v>
      </c>
      <c r="U278" s="1542">
        <f t="shared" si="39"/>
        <v>-911571524</v>
      </c>
      <c r="X278" s="1089">
        <f>[2]FN0440!$K$4-[2]FN0440!$U$4</f>
        <v>2345564660</v>
      </c>
      <c r="Y278" s="925">
        <f>SUM(U278:U287)</f>
        <v>-2257684660</v>
      </c>
      <c r="Z278" s="925">
        <f>X278+Y278</f>
        <v>87880000</v>
      </c>
    </row>
    <row r="279" spans="3:26" ht="18" customHeight="1">
      <c r="C279" s="1364">
        <v>1</v>
      </c>
      <c r="D279" s="1532" t="s">
        <v>1194</v>
      </c>
      <c r="E279" s="1506" t="s">
        <v>1194</v>
      </c>
      <c r="F279" s="1533"/>
      <c r="G279" s="1506" t="s">
        <v>1195</v>
      </c>
      <c r="H279" s="1833">
        <v>0</v>
      </c>
      <c r="I279" s="1834">
        <v>0</v>
      </c>
      <c r="J279" s="1834">
        <v>0</v>
      </c>
      <c r="K279" s="1834">
        <v>0</v>
      </c>
      <c r="L279" s="1535">
        <f t="shared" si="37"/>
        <v>0</v>
      </c>
      <c r="N279" s="1536">
        <f>SUMIF(CF.2!$H$5:$H$25,CF.1!E279,CF.2!$J$5:$J$25)-SUMIF(CF.2!$K$5:$K$25,CF.1!E279,CF.2!$M$5:$M$25)</f>
        <v>0</v>
      </c>
      <c r="O279" s="1534">
        <f>SUMIF(CF.2!$H$31:$H$60,CF.1!E279,CF.2!$J$31:$J$60)+SUMIF(CF.2!$K$31:$K$60,CF.1!E279,CF.2!$M$31:$M$60)</f>
        <v>0</v>
      </c>
      <c r="P279" s="1534">
        <f>SUMIF(CF.2!$H$65:$H$108,CF.1!E279,CF.2!$J$65:$J$108)+SUMIF(CF.2!$K$65:$K$108,CF.1!E279,CF.2!$M$65:$M$108)</f>
        <v>0</v>
      </c>
      <c r="Q279" s="1534">
        <f>SUMIF(CF.2!$H$112:$H$118,CF.1!E279,CF.2!$J$112:$J$118)+SUMIF(CF.2!$K$112:$K$118,CF.1!E279,CF.2!$M$112:$M$118)</f>
        <v>0</v>
      </c>
      <c r="R279" s="1534">
        <f>SUMIF(CF.2!$H$123:$H$134,CF.1!E279,CF.2!$J$123:$J$134)+SUMIF(CF.2!$K$123:$K$134,CF.1!E279,CF.2!$M$123:$M$134)</f>
        <v>0</v>
      </c>
      <c r="S279" s="1535">
        <f t="shared" si="38"/>
        <v>0</v>
      </c>
      <c r="U279" s="1537">
        <f t="shared" si="39"/>
        <v>0</v>
      </c>
    </row>
    <row r="280" spans="3:26" ht="18" customHeight="1">
      <c r="C280" s="1364">
        <v>1</v>
      </c>
      <c r="D280" s="1532" t="s">
        <v>1196</v>
      </c>
      <c r="E280" s="1506" t="s">
        <v>1196</v>
      </c>
      <c r="F280" s="1533"/>
      <c r="G280" s="1506" t="s">
        <v>1197</v>
      </c>
      <c r="H280" s="1833">
        <v>0</v>
      </c>
      <c r="I280" s="1834">
        <v>0</v>
      </c>
      <c r="J280" s="1834">
        <v>0</v>
      </c>
      <c r="K280" s="1834">
        <v>0</v>
      </c>
      <c r="L280" s="1535">
        <f t="shared" si="37"/>
        <v>0</v>
      </c>
      <c r="N280" s="1536">
        <f>SUMIF(CF.2!$H$5:$H$25,CF.1!E280,CF.2!$J$5:$J$25)-SUMIF(CF.2!$K$5:$K$25,CF.1!E280,CF.2!$M$5:$M$25)</f>
        <v>0</v>
      </c>
      <c r="O280" s="1534">
        <f>SUMIF(CF.2!$H$31:$H$60,CF.1!E280,CF.2!$J$31:$J$60)+SUMIF(CF.2!$K$31:$K$60,CF.1!E280,CF.2!$M$31:$M$60)</f>
        <v>0</v>
      </c>
      <c r="P280" s="1534">
        <f>SUMIF(CF.2!$H$65:$H$108,CF.1!E280,CF.2!$J$65:$J$108)+SUMIF(CF.2!$K$65:$K$108,CF.1!E280,CF.2!$M$65:$M$108)</f>
        <v>0</v>
      </c>
      <c r="Q280" s="1534">
        <f>SUMIF(CF.2!$H$112:$H$118,CF.1!E280,CF.2!$J$112:$J$118)+SUMIF(CF.2!$K$112:$K$118,CF.1!E280,CF.2!$M$112:$M$118)</f>
        <v>0</v>
      </c>
      <c r="R280" s="1534">
        <f>SUMIF(CF.2!$H$123:$H$134,CF.1!E280,CF.2!$J$123:$J$134)+SUMIF(CF.2!$K$123:$K$134,CF.1!E280,CF.2!$M$123:$M$134)</f>
        <v>0</v>
      </c>
      <c r="S280" s="1535">
        <f t="shared" si="38"/>
        <v>0</v>
      </c>
      <c r="U280" s="1537">
        <f t="shared" si="39"/>
        <v>0</v>
      </c>
    </row>
    <row r="281" spans="3:26" ht="18" customHeight="1">
      <c r="C281" s="1364">
        <v>1</v>
      </c>
      <c r="D281" s="1532" t="s">
        <v>1198</v>
      </c>
      <c r="E281" s="1506" t="s">
        <v>1198</v>
      </c>
      <c r="F281" s="1533"/>
      <c r="G281" s="1506" t="s">
        <v>1199</v>
      </c>
      <c r="H281" s="1833">
        <v>0</v>
      </c>
      <c r="I281" s="1834">
        <v>0</v>
      </c>
      <c r="J281" s="1834">
        <v>0</v>
      </c>
      <c r="K281" s="1834">
        <v>0</v>
      </c>
      <c r="L281" s="1535">
        <f t="shared" si="37"/>
        <v>0</v>
      </c>
      <c r="N281" s="1536">
        <f>SUMIF(CF.2!$H$5:$H$25,CF.1!E281,CF.2!$J$5:$J$25)-SUMIF(CF.2!$K$5:$K$25,CF.1!E281,CF.2!$M$5:$M$25)</f>
        <v>0</v>
      </c>
      <c r="O281" s="1534">
        <f>SUMIF(CF.2!$H$31:$H$60,CF.1!E281,CF.2!$J$31:$J$60)+SUMIF(CF.2!$K$31:$K$60,CF.1!E281,CF.2!$M$31:$M$60)</f>
        <v>0</v>
      </c>
      <c r="P281" s="1534">
        <f>SUMIF(CF.2!$H$65:$H$108,CF.1!E281,CF.2!$J$65:$J$108)+SUMIF(CF.2!$K$65:$K$108,CF.1!E281,CF.2!$M$65:$M$108)</f>
        <v>0</v>
      </c>
      <c r="Q281" s="1534">
        <f>SUMIF(CF.2!$H$112:$H$118,CF.1!E281,CF.2!$J$112:$J$118)+SUMIF(CF.2!$K$112:$K$118,CF.1!E281,CF.2!$M$112:$M$118)</f>
        <v>0</v>
      </c>
      <c r="R281" s="1534">
        <f>SUMIF(CF.2!$H$123:$H$134,CF.1!E281,CF.2!$J$123:$J$134)+SUMIF(CF.2!$K$123:$K$134,CF.1!E281,CF.2!$M$123:$M$134)</f>
        <v>0</v>
      </c>
      <c r="S281" s="1535">
        <f t="shared" si="38"/>
        <v>0</v>
      </c>
      <c r="U281" s="1537">
        <f t="shared" si="39"/>
        <v>0</v>
      </c>
    </row>
    <row r="282" spans="3:26" ht="18" customHeight="1">
      <c r="C282" s="1364">
        <v>1</v>
      </c>
      <c r="D282" s="1532" t="s">
        <v>1200</v>
      </c>
      <c r="E282" s="1506" t="s">
        <v>1200</v>
      </c>
      <c r="F282" s="1533" t="s">
        <v>1441</v>
      </c>
      <c r="G282" s="1506" t="s">
        <v>1201</v>
      </c>
      <c r="H282" s="1833">
        <v>-13893621</v>
      </c>
      <c r="I282" s="1833">
        <v>0</v>
      </c>
      <c r="J282" s="1834">
        <v>0</v>
      </c>
      <c r="K282" s="1834">
        <v>0</v>
      </c>
      <c r="L282" s="1535">
        <f t="shared" si="37"/>
        <v>-13893621</v>
      </c>
      <c r="N282" s="1536">
        <f>SUMIF(CF.2!$H$5:$H$25,CF.1!E282,CF.2!$J$5:$J$25)-SUMIF(CF.2!$K$5:$K$25,CF.1!E282,CF.2!$M$5:$M$25)</f>
        <v>0</v>
      </c>
      <c r="O282" s="1534">
        <f>SUMIF(CF.2!$H$31:$H$60,CF.1!E282,CF.2!$J$31:$J$60)+SUMIF(CF.2!$K$31:$K$60,CF.1!E282,CF.2!$M$31:$M$60)</f>
        <v>0</v>
      </c>
      <c r="P282" s="1534">
        <f>SUMIF(CF.2!$H$65:$H$108,CF.1!E282,CF.2!$J$65:$J$108)+SUMIF(CF.2!$K$65:$K$108,CF.1!E282,CF.2!$M$65:$M$108)</f>
        <v>0</v>
      </c>
      <c r="Q282" s="1534">
        <f>SUMIF(CF.2!$H$112:$H$118,CF.1!E282,CF.2!$J$112:$J$118)+SUMIF(CF.2!$K$112:$K$118,CF.1!E282,CF.2!$M$112:$M$118)</f>
        <v>0</v>
      </c>
      <c r="R282" s="1534">
        <f>SUMIF(CF.2!$H$123:$H$134,CF.1!E282,CF.2!$J$123:$J$134)+SUMIF(CF.2!$K$123:$K$134,CF.1!E282,CF.2!$M$123:$M$134)</f>
        <v>0</v>
      </c>
      <c r="S282" s="1535">
        <f t="shared" si="38"/>
        <v>0</v>
      </c>
      <c r="U282" s="1537">
        <f t="shared" si="39"/>
        <v>-13893621</v>
      </c>
    </row>
    <row r="283" spans="3:26" ht="18" customHeight="1">
      <c r="C283" s="1364">
        <v>1</v>
      </c>
      <c r="D283" s="1532" t="s">
        <v>1202</v>
      </c>
      <c r="E283" s="1506" t="s">
        <v>1202</v>
      </c>
      <c r="F283" s="1533"/>
      <c r="G283" s="1506" t="s">
        <v>1203</v>
      </c>
      <c r="H283" s="1833">
        <v>0</v>
      </c>
      <c r="I283" s="1834">
        <v>0</v>
      </c>
      <c r="J283" s="1834">
        <v>0</v>
      </c>
      <c r="K283" s="1834">
        <v>0</v>
      </c>
      <c r="L283" s="1535">
        <f t="shared" si="37"/>
        <v>0</v>
      </c>
      <c r="N283" s="1536">
        <f>SUMIF(CF.2!$H$5:$H$25,CF.1!E283,CF.2!$J$5:$J$25)-SUMIF(CF.2!$K$5:$K$25,CF.1!E283,CF.2!$M$5:$M$25)</f>
        <v>0</v>
      </c>
      <c r="O283" s="1534">
        <f>SUMIF(CF.2!$H$31:$H$60,CF.1!E283,CF.2!$J$31:$J$60)+SUMIF(CF.2!$K$31:$K$60,CF.1!E283,CF.2!$M$31:$M$60)</f>
        <v>0</v>
      </c>
      <c r="P283" s="1534">
        <f>SUMIF(CF.2!$H$65:$H$108,CF.1!E283,CF.2!$J$65:$J$108)+SUMIF(CF.2!$K$65:$K$108,CF.1!E283,CF.2!$M$65:$M$108)</f>
        <v>0</v>
      </c>
      <c r="Q283" s="1534">
        <f>SUMIF(CF.2!$H$112:$H$118,CF.1!E283,CF.2!$J$112:$J$118)+SUMIF(CF.2!$K$112:$K$118,CF.1!E283,CF.2!$M$112:$M$118)</f>
        <v>0</v>
      </c>
      <c r="R283" s="1534">
        <f>SUMIF(CF.2!$H$123:$H$134,CF.1!E283,CF.2!$J$123:$J$134)+SUMIF(CF.2!$K$123:$K$134,CF.1!E283,CF.2!$M$123:$M$134)</f>
        <v>0</v>
      </c>
      <c r="S283" s="1535">
        <f t="shared" si="38"/>
        <v>0</v>
      </c>
      <c r="U283" s="1537">
        <f t="shared" si="39"/>
        <v>0</v>
      </c>
    </row>
    <row r="284" spans="3:26" ht="18" customHeight="1">
      <c r="C284" s="1364">
        <v>1</v>
      </c>
      <c r="D284" s="1532" t="s">
        <v>1204</v>
      </c>
      <c r="E284" s="1506" t="s">
        <v>1204</v>
      </c>
      <c r="F284" s="1533"/>
      <c r="G284" s="1506" t="s">
        <v>1205</v>
      </c>
      <c r="H284" s="1833">
        <v>0</v>
      </c>
      <c r="I284" s="1834">
        <v>0</v>
      </c>
      <c r="J284" s="1834">
        <v>0</v>
      </c>
      <c r="K284" s="1834">
        <v>0</v>
      </c>
      <c r="L284" s="1535">
        <f t="shared" si="37"/>
        <v>0</v>
      </c>
      <c r="N284" s="1536">
        <f>SUMIF(CF.2!$H$5:$H$25,CF.1!E284,CF.2!$J$5:$J$25)-SUMIF(CF.2!$K$5:$K$25,CF.1!E284,CF.2!$M$5:$M$25)</f>
        <v>0</v>
      </c>
      <c r="O284" s="1534">
        <f>SUMIF(CF.2!$H$31:$H$60,CF.1!E284,CF.2!$J$31:$J$60)+SUMIF(CF.2!$K$31:$K$60,CF.1!E284,CF.2!$M$31:$M$60)</f>
        <v>0</v>
      </c>
      <c r="P284" s="1534">
        <f>SUMIF(CF.2!$H$65:$H$108,CF.1!E284,CF.2!$J$65:$J$108)+SUMIF(CF.2!$K$65:$K$108,CF.1!E284,CF.2!$M$65:$M$108)</f>
        <v>0</v>
      </c>
      <c r="Q284" s="1534">
        <f>SUMIF(CF.2!$H$112:$H$118,CF.1!E284,CF.2!$J$112:$J$118)+SUMIF(CF.2!$K$112:$K$118,CF.1!E284,CF.2!$M$112:$M$118)</f>
        <v>0</v>
      </c>
      <c r="R284" s="1534">
        <f>SUMIF(CF.2!$H$123:$H$134,CF.1!E284,CF.2!$J$123:$J$134)+SUMIF(CF.2!$K$123:$K$134,CF.1!E284,CF.2!$M$123:$M$134)</f>
        <v>0</v>
      </c>
      <c r="S284" s="1535">
        <f t="shared" si="38"/>
        <v>0</v>
      </c>
      <c r="U284" s="1537">
        <f t="shared" si="39"/>
        <v>0</v>
      </c>
    </row>
    <row r="285" spans="3:26" ht="18" customHeight="1">
      <c r="C285" s="1364">
        <v>1</v>
      </c>
      <c r="D285" s="1532" t="s">
        <v>1206</v>
      </c>
      <c r="E285" s="1506" t="s">
        <v>1206</v>
      </c>
      <c r="F285" s="1533" t="s">
        <v>1954</v>
      </c>
      <c r="G285" s="1506" t="s">
        <v>1207</v>
      </c>
      <c r="H285" s="1833">
        <v>0</v>
      </c>
      <c r="I285" s="1833">
        <v>0</v>
      </c>
      <c r="J285" s="1834">
        <v>0</v>
      </c>
      <c r="K285" s="1834">
        <v>0</v>
      </c>
      <c r="L285" s="1535">
        <f t="shared" si="37"/>
        <v>0</v>
      </c>
      <c r="N285" s="1536">
        <f>SUMIF(CF.2!$H$5:$H$25,CF.1!E285,CF.2!$J$5:$J$25)-SUMIF(CF.2!$K$5:$K$25,CF.1!E285,CF.2!$M$5:$M$25)</f>
        <v>0</v>
      </c>
      <c r="O285" s="1534">
        <f>SUMIF(CF.2!$H$31:$H$60,CF.1!E285,CF.2!$J$31:$J$60)+SUMIF(CF.2!$K$31:$K$60,CF.1!E285,CF.2!$M$31:$M$60)</f>
        <v>0</v>
      </c>
      <c r="P285" s="1534">
        <f>SUMIF(CF.2!$H$65:$H$108,CF.1!E285,CF.2!$J$65:$J$108)+SUMIF(CF.2!$K$65:$K$108,CF.1!E285,CF.2!$M$65:$M$108)</f>
        <v>0</v>
      </c>
      <c r="Q285" s="1534">
        <f>SUMIF(CF.2!$H$112:$H$118,CF.1!E285,CF.2!$J$112:$J$118)+SUMIF(CF.2!$K$112:$K$118,CF.1!E285,CF.2!$M$112:$M$118)</f>
        <v>0</v>
      </c>
      <c r="R285" s="1534">
        <f>SUMIF(CF.2!$H$123:$H$134,CF.1!E285,CF.2!$J$123:$J$134)+SUMIF(CF.2!$K$123:$K$134,CF.1!E285,CF.2!$M$123:$M$134)</f>
        <v>0</v>
      </c>
      <c r="S285" s="1535">
        <f t="shared" si="38"/>
        <v>0</v>
      </c>
      <c r="U285" s="1537">
        <f t="shared" si="39"/>
        <v>0</v>
      </c>
    </row>
    <row r="286" spans="3:26" ht="18" customHeight="1">
      <c r="C286" s="1364">
        <v>1</v>
      </c>
      <c r="D286" s="1532" t="s">
        <v>1208</v>
      </c>
      <c r="E286" s="1506" t="s">
        <v>1368</v>
      </c>
      <c r="F286" s="1533" t="s">
        <v>1441</v>
      </c>
      <c r="G286" s="1506" t="s">
        <v>1360</v>
      </c>
      <c r="H286" s="1833">
        <v>-116890000</v>
      </c>
      <c r="I286" s="1833">
        <v>-433636</v>
      </c>
      <c r="J286" s="1834">
        <v>0</v>
      </c>
      <c r="K286" s="1834">
        <v>0</v>
      </c>
      <c r="L286" s="1535">
        <f t="shared" si="37"/>
        <v>-117323636</v>
      </c>
      <c r="N286" s="1536">
        <f>SUMIF(CF.2!$H$5:$H$25,CF.1!E286,CF.2!$J$5:$J$25)-SUMIF(CF.2!$K$5:$K$25,CF.1!E286,CF.2!$M$5:$M$25)</f>
        <v>0</v>
      </c>
      <c r="O286" s="1534">
        <f>SUMIF(CF.2!$H$31:$H$60,CF.1!E286,CF.2!$J$31:$J$60)+SUMIF(CF.2!$K$31:$K$60,CF.1!E286,CF.2!$M$31:$M$60)</f>
        <v>0</v>
      </c>
      <c r="P286" s="1534">
        <f>SUMIF(CF.2!$H$65:$H$108,CF.1!E286,CF.2!$J$65:$J$108)+SUMIF(CF.2!$K$65:$K$108,CF.1!E286,CF.2!$M$65:$M$108)</f>
        <v>0</v>
      </c>
      <c r="Q286" s="1534">
        <f>SUMIF(CF.2!$H$112:$H$118,CF.1!E286,CF.2!$J$112:$J$118)+SUMIF(CF.2!$K$112:$K$118,CF.1!E286,CF.2!$M$112:$M$118)</f>
        <v>0</v>
      </c>
      <c r="R286" s="1534">
        <f>SUMIF(CF.2!$H$123:$H$134,CF.1!E286,CF.2!$J$123:$J$134)+SUMIF(CF.2!$K$123:$K$134,CF.1!E286,CF.2!$M$123:$M$134)</f>
        <v>0</v>
      </c>
      <c r="S286" s="1535">
        <f t="shared" si="38"/>
        <v>0</v>
      </c>
      <c r="U286" s="1537">
        <f t="shared" si="39"/>
        <v>-117323636</v>
      </c>
    </row>
    <row r="287" spans="3:26" ht="18" customHeight="1">
      <c r="C287" s="1364">
        <v>1</v>
      </c>
      <c r="D287" s="1532" t="s">
        <v>1208</v>
      </c>
      <c r="E287" s="1506" t="s">
        <v>1369</v>
      </c>
      <c r="F287" s="1533" t="s">
        <v>1441</v>
      </c>
      <c r="G287" s="1506" t="s">
        <v>1209</v>
      </c>
      <c r="H287" s="1833">
        <v>-1214895879</v>
      </c>
      <c r="I287" s="1833">
        <v>0</v>
      </c>
      <c r="J287" s="1834">
        <v>0</v>
      </c>
      <c r="K287" s="1834">
        <v>0</v>
      </c>
      <c r="L287" s="1535">
        <f t="shared" si="37"/>
        <v>-1214895879</v>
      </c>
      <c r="N287" s="1536">
        <f>SUMIF(CF.2!$H$5:$H$25,CF.1!E287,CF.2!$J$5:$J$25)-SUMIF(CF.2!$K$5:$K$25,CF.1!E287,CF.2!$M$5:$M$25)</f>
        <v>0</v>
      </c>
      <c r="O287" s="1534">
        <f>SUMIF(CF.2!$H$31:$H$60,CF.1!E287,CF.2!$J$31:$J$60)+SUMIF(CF.2!$K$31:$K$60,CF.1!E287,CF.2!$M$31:$M$60)</f>
        <v>0</v>
      </c>
      <c r="P287" s="1534">
        <f>SUMIF(CF.2!$H$65:$H$108,CF.1!E287,CF.2!$J$65:$J$108)+SUMIF(CF.2!$K$65:$K$108,CF.1!E287,CF.2!$M$65:$M$108)</f>
        <v>0</v>
      </c>
      <c r="Q287" s="1534">
        <f>SUMIF(CF.2!$H$112:$H$118,CF.1!E287,CF.2!$J$112:$J$118)+SUMIF(CF.2!$K$112:$K$118,CF.1!E287,CF.2!$M$112:$M$118)</f>
        <v>0</v>
      </c>
      <c r="R287" s="1534">
        <f>SUMIF(CF.2!$H$123:$H$134,CF.1!E287,CF.2!$J$123:$J$134)+SUMIF(CF.2!$K$123:$K$134,CF.1!E287,CF.2!$M$123:$M$134)</f>
        <v>0</v>
      </c>
      <c r="S287" s="1535">
        <f t="shared" si="38"/>
        <v>0</v>
      </c>
      <c r="U287" s="1537">
        <f t="shared" si="39"/>
        <v>-1214895879</v>
      </c>
    </row>
    <row r="288" spans="3:26" ht="18" customHeight="1">
      <c r="C288" s="1364">
        <v>1</v>
      </c>
      <c r="D288" s="1532" t="s">
        <v>1210</v>
      </c>
      <c r="E288" s="1506" t="s">
        <v>1210</v>
      </c>
      <c r="F288" s="1533"/>
      <c r="G288" s="1506" t="s">
        <v>1211</v>
      </c>
      <c r="H288" s="1833">
        <v>0</v>
      </c>
      <c r="I288" s="1834">
        <v>0</v>
      </c>
      <c r="J288" s="1834">
        <v>0</v>
      </c>
      <c r="K288" s="1834">
        <v>0</v>
      </c>
      <c r="L288" s="1535">
        <f t="shared" si="37"/>
        <v>0</v>
      </c>
      <c r="N288" s="1536">
        <f>SUMIF(CF.2!$H$5:$H$25,CF.1!E288,CF.2!$J$5:$J$25)-SUMIF(CF.2!$K$5:$K$25,CF.1!E288,CF.2!$M$5:$M$25)</f>
        <v>0</v>
      </c>
      <c r="O288" s="1534">
        <f>SUMIF(CF.2!$H$31:$H$60,CF.1!E288,CF.2!$J$31:$J$60)+SUMIF(CF.2!$K$31:$K$60,CF.1!E288,CF.2!$M$31:$M$60)</f>
        <v>0</v>
      </c>
      <c r="P288" s="1534">
        <f>SUMIF(CF.2!$H$65:$H$108,CF.1!E288,CF.2!$J$65:$J$108)+SUMIF(CF.2!$K$65:$K$108,CF.1!E288,CF.2!$M$65:$M$108)</f>
        <v>0</v>
      </c>
      <c r="Q288" s="1534">
        <f>SUMIF(CF.2!$H$112:$H$118,CF.1!E288,CF.2!$J$112:$J$118)+SUMIF(CF.2!$K$112:$K$118,CF.1!E288,CF.2!$M$112:$M$118)</f>
        <v>0</v>
      </c>
      <c r="R288" s="1534">
        <f>SUMIF(CF.2!$H$123:$H$134,CF.1!E288,CF.2!$J$123:$J$134)+SUMIF(CF.2!$K$123:$K$134,CF.1!E288,CF.2!$M$123:$M$134)</f>
        <v>0</v>
      </c>
      <c r="S288" s="1535">
        <f t="shared" si="38"/>
        <v>0</v>
      </c>
      <c r="U288" s="1537">
        <f t="shared" si="39"/>
        <v>0</v>
      </c>
    </row>
    <row r="289" spans="3:23" ht="18" customHeight="1">
      <c r="C289" s="1364">
        <v>1</v>
      </c>
      <c r="D289" s="1532" t="s">
        <v>1212</v>
      </c>
      <c r="E289" s="1506" t="s">
        <v>1212</v>
      </c>
      <c r="F289" s="1533"/>
      <c r="G289" s="1506" t="s">
        <v>1213</v>
      </c>
      <c r="H289" s="1833">
        <v>0</v>
      </c>
      <c r="I289" s="1834">
        <v>0</v>
      </c>
      <c r="J289" s="1834">
        <v>0</v>
      </c>
      <c r="K289" s="1834">
        <v>0</v>
      </c>
      <c r="L289" s="1535">
        <f t="shared" si="37"/>
        <v>0</v>
      </c>
      <c r="N289" s="1536">
        <f>SUMIF(CF.2!$H$5:$H$25,CF.1!E289,CF.2!$J$5:$J$25)-SUMIF(CF.2!$K$5:$K$25,CF.1!E289,CF.2!$M$5:$M$25)</f>
        <v>0</v>
      </c>
      <c r="O289" s="1534">
        <f>SUMIF(CF.2!$H$31:$H$60,CF.1!E289,CF.2!$J$31:$J$60)+SUMIF(CF.2!$K$31:$K$60,CF.1!E289,CF.2!$M$31:$M$60)</f>
        <v>0</v>
      </c>
      <c r="P289" s="1534">
        <f>SUMIF(CF.2!$H$65:$H$108,CF.1!E289,CF.2!$J$65:$J$108)+SUMIF(CF.2!$K$65:$K$108,CF.1!E289,CF.2!$M$65:$M$108)</f>
        <v>0</v>
      </c>
      <c r="Q289" s="1534">
        <f>SUMIF(CF.2!$H$112:$H$118,CF.1!E289,CF.2!$J$112:$J$118)+SUMIF(CF.2!$K$112:$K$118,CF.1!E289,CF.2!$M$112:$M$118)</f>
        <v>0</v>
      </c>
      <c r="R289" s="1534">
        <f>SUMIF(CF.2!$H$123:$H$134,CF.1!E289,CF.2!$J$123:$J$134)+SUMIF(CF.2!$K$123:$K$134,CF.1!E289,CF.2!$M$123:$M$134)</f>
        <v>0</v>
      </c>
      <c r="S289" s="1535">
        <f t="shared" si="38"/>
        <v>0</v>
      </c>
      <c r="U289" s="1537">
        <f t="shared" si="39"/>
        <v>0</v>
      </c>
    </row>
    <row r="290" spans="3:23" ht="18" customHeight="1">
      <c r="C290" s="1364">
        <v>1</v>
      </c>
      <c r="D290" s="1532" t="s">
        <v>1214</v>
      </c>
      <c r="E290" s="1506" t="s">
        <v>1214</v>
      </c>
      <c r="F290" s="1548" t="s">
        <v>1682</v>
      </c>
      <c r="G290" s="1506" t="s">
        <v>1215</v>
      </c>
      <c r="H290" s="1833">
        <v>0</v>
      </c>
      <c r="I290" s="1834">
        <v>0</v>
      </c>
      <c r="J290" s="1834">
        <v>0</v>
      </c>
      <c r="K290" s="1834">
        <v>0</v>
      </c>
      <c r="L290" s="1535">
        <f t="shared" si="37"/>
        <v>0</v>
      </c>
      <c r="N290" s="1536">
        <f>SUMIF(CF.2!$H$5:$H$25,CF.1!E290,CF.2!$J$5:$J$25)-SUMIF(CF.2!$K$5:$K$25,CF.1!E290,CF.2!$M$5:$M$25)</f>
        <v>0</v>
      </c>
      <c r="O290" s="1534">
        <f>SUMIF(CF.2!$H$31:$H$60,CF.1!E290,CF.2!$J$31:$J$60)+SUMIF(CF.2!$K$31:$K$60,CF.1!E290,CF.2!$M$31:$M$60)</f>
        <v>0</v>
      </c>
      <c r="P290" s="1534">
        <f>SUMIF(CF.2!$H$65:$H$108,CF.1!E290,CF.2!$J$65:$J$108)+SUMIF(CF.2!$K$65:$K$108,CF.1!E290,CF.2!$M$65:$M$108)</f>
        <v>0</v>
      </c>
      <c r="Q290" s="1534">
        <f>SUMIF(CF.2!$H$112:$H$118,CF.1!E290,CF.2!$J$112:$J$118)+SUMIF(CF.2!$K$112:$K$118,CF.1!E290,CF.2!$M$112:$M$118)</f>
        <v>0</v>
      </c>
      <c r="R290" s="1534">
        <f>SUMIF(CF.2!$H$123:$H$134,CF.1!E290,CF.2!$J$123:$J$134)+SUMIF(CF.2!$K$123:$K$134,CF.1!E290,CF.2!$M$123:$M$134)</f>
        <v>0</v>
      </c>
      <c r="S290" s="1535">
        <f t="shared" si="38"/>
        <v>0</v>
      </c>
      <c r="U290" s="1537">
        <f t="shared" si="39"/>
        <v>0</v>
      </c>
    </row>
    <row r="291" spans="3:23" ht="18" customHeight="1">
      <c r="C291" s="1364">
        <v>1</v>
      </c>
      <c r="D291" s="1532" t="s">
        <v>1216</v>
      </c>
      <c r="E291" s="1506" t="s">
        <v>1216</v>
      </c>
      <c r="F291" s="1533"/>
      <c r="G291" s="1506" t="s">
        <v>1217</v>
      </c>
      <c r="H291" s="1833">
        <v>0</v>
      </c>
      <c r="I291" s="1834">
        <v>0</v>
      </c>
      <c r="J291" s="1834">
        <v>0</v>
      </c>
      <c r="K291" s="1834">
        <v>0</v>
      </c>
      <c r="L291" s="1535">
        <f t="shared" si="37"/>
        <v>0</v>
      </c>
      <c r="N291" s="1536">
        <f>SUMIF(CF.2!$H$5:$H$25,CF.1!E291,CF.2!$J$5:$J$25)-SUMIF(CF.2!$K$5:$K$25,CF.1!E291,CF.2!$M$5:$M$25)</f>
        <v>0</v>
      </c>
      <c r="O291" s="1534">
        <f>SUMIF(CF.2!$H$31:$H$60,CF.1!E291,CF.2!$J$31:$J$60)+SUMIF(CF.2!$K$31:$K$60,CF.1!E291,CF.2!$M$31:$M$60)</f>
        <v>0</v>
      </c>
      <c r="P291" s="1534">
        <f>SUMIF(CF.2!$H$65:$H$108,CF.1!E291,CF.2!$J$65:$J$108)+SUMIF(CF.2!$K$65:$K$108,CF.1!E291,CF.2!$M$65:$M$108)</f>
        <v>0</v>
      </c>
      <c r="Q291" s="1534">
        <f>SUMIF(CF.2!$H$112:$H$118,CF.1!E291,CF.2!$J$112:$J$118)+SUMIF(CF.2!$K$112:$K$118,CF.1!E291,CF.2!$M$112:$M$118)</f>
        <v>0</v>
      </c>
      <c r="R291" s="1534">
        <f>SUMIF(CF.2!$H$123:$H$134,CF.1!E291,CF.2!$J$123:$J$134)+SUMIF(CF.2!$K$123:$K$134,CF.1!E291,CF.2!$M$123:$M$134)</f>
        <v>0</v>
      </c>
      <c r="S291" s="1535">
        <f t="shared" si="38"/>
        <v>0</v>
      </c>
      <c r="U291" s="1537">
        <f t="shared" si="39"/>
        <v>0</v>
      </c>
    </row>
    <row r="292" spans="3:23" ht="18" customHeight="1">
      <c r="C292" s="1364">
        <v>1</v>
      </c>
      <c r="D292" s="1532" t="s">
        <v>1218</v>
      </c>
      <c r="E292" s="1506" t="s">
        <v>1218</v>
      </c>
      <c r="F292" s="1533" t="s">
        <v>1473</v>
      </c>
      <c r="G292" s="1506" t="s">
        <v>1219</v>
      </c>
      <c r="H292" s="1833">
        <v>0</v>
      </c>
      <c r="I292" s="1834">
        <v>0</v>
      </c>
      <c r="J292" s="1834">
        <v>0</v>
      </c>
      <c r="K292" s="1834">
        <v>0</v>
      </c>
      <c r="L292" s="1535">
        <f t="shared" si="37"/>
        <v>0</v>
      </c>
      <c r="N292" s="1536">
        <f>SUMIF(CF.2!$H$5:$H$25,CF.1!E292,CF.2!$J$5:$J$25)-SUMIF(CF.2!$K$5:$K$25,CF.1!E292,CF.2!$M$5:$M$25)</f>
        <v>0</v>
      </c>
      <c r="O292" s="1534">
        <f>SUMIF(CF.2!$H$31:$H$60,CF.1!E292,CF.2!$J$31:$J$60)+SUMIF(CF.2!$K$31:$K$60,CF.1!E292,CF.2!$M$31:$M$60)</f>
        <v>0</v>
      </c>
      <c r="P292" s="1534">
        <f>SUMIF(CF.2!$H$65:$H$108,CF.1!E292,CF.2!$J$65:$J$108)+SUMIF(CF.2!$K$65:$K$108,CF.1!E292,CF.2!$M$65:$M$108)</f>
        <v>0</v>
      </c>
      <c r="Q292" s="1534">
        <f>SUMIF(CF.2!$H$112:$H$118,CF.1!E292,CF.2!$J$112:$J$118)+SUMIF(CF.2!$K$112:$K$118,CF.1!E292,CF.2!$M$112:$M$118)</f>
        <v>0</v>
      </c>
      <c r="R292" s="1534">
        <f>SUMIF(CF.2!$H$123:$H$134,CF.1!E292,CF.2!$J$123:$J$134)+SUMIF(CF.2!$K$123:$K$134,CF.1!E292,CF.2!$M$123:$M$134)</f>
        <v>0</v>
      </c>
      <c r="S292" s="1535">
        <f t="shared" si="38"/>
        <v>0</v>
      </c>
      <c r="U292" s="1537">
        <f t="shared" si="39"/>
        <v>0</v>
      </c>
    </row>
    <row r="293" spans="3:23" ht="18" customHeight="1">
      <c r="C293" s="1364">
        <v>1</v>
      </c>
      <c r="D293" s="1532" t="s">
        <v>1220</v>
      </c>
      <c r="E293" s="1506" t="s">
        <v>1220</v>
      </c>
      <c r="F293" s="1533"/>
      <c r="G293" s="1506" t="s">
        <v>1221</v>
      </c>
      <c r="H293" s="1833">
        <v>0</v>
      </c>
      <c r="I293" s="1834">
        <v>0</v>
      </c>
      <c r="J293" s="1834">
        <v>0</v>
      </c>
      <c r="K293" s="1834">
        <v>0</v>
      </c>
      <c r="L293" s="1535">
        <f t="shared" si="37"/>
        <v>0</v>
      </c>
      <c r="N293" s="1536">
        <f>SUMIF(CF.2!$H$5:$H$25,CF.1!E293,CF.2!$J$5:$J$25)-SUMIF(CF.2!$K$5:$K$25,CF.1!E293,CF.2!$M$5:$M$25)</f>
        <v>0</v>
      </c>
      <c r="O293" s="1534">
        <f>SUMIF(CF.2!$H$31:$H$60,CF.1!E293,CF.2!$J$31:$J$60)+SUMIF(CF.2!$K$31:$K$60,CF.1!E293,CF.2!$M$31:$M$60)</f>
        <v>0</v>
      </c>
      <c r="P293" s="1534">
        <f>SUMIF(CF.2!$H$65:$H$108,CF.1!E293,CF.2!$J$65:$J$108)+SUMIF(CF.2!$K$65:$K$108,CF.1!E293,CF.2!$M$65:$M$108)</f>
        <v>0</v>
      </c>
      <c r="Q293" s="1534">
        <f>SUMIF(CF.2!$H$112:$H$118,CF.1!E293,CF.2!$J$112:$J$118)+SUMIF(CF.2!$K$112:$K$118,CF.1!E293,CF.2!$M$112:$M$118)</f>
        <v>0</v>
      </c>
      <c r="R293" s="1534">
        <f>SUMIF(CF.2!$H$123:$H$134,CF.1!E293,CF.2!$J$123:$J$134)+SUMIF(CF.2!$K$123:$K$134,CF.1!E293,CF.2!$M$123:$M$134)</f>
        <v>0</v>
      </c>
      <c r="S293" s="1535">
        <f t="shared" si="38"/>
        <v>0</v>
      </c>
      <c r="U293" s="1537">
        <f t="shared" si="39"/>
        <v>0</v>
      </c>
    </row>
    <row r="294" spans="3:23" ht="18" customHeight="1">
      <c r="C294" s="1364">
        <v>1</v>
      </c>
      <c r="D294" s="1532" t="s">
        <v>1222</v>
      </c>
      <c r="E294" s="1506" t="s">
        <v>1222</v>
      </c>
      <c r="F294" s="1533"/>
      <c r="G294" s="1506" t="s">
        <v>1223</v>
      </c>
      <c r="H294" s="1833">
        <v>0</v>
      </c>
      <c r="I294" s="1834">
        <v>0</v>
      </c>
      <c r="J294" s="1834">
        <v>0</v>
      </c>
      <c r="K294" s="1834">
        <v>0</v>
      </c>
      <c r="L294" s="1535">
        <f t="shared" si="37"/>
        <v>0</v>
      </c>
      <c r="N294" s="1536">
        <f>SUMIF(CF.2!$H$5:$H$25,CF.1!E294,CF.2!$J$5:$J$25)-SUMIF(CF.2!$K$5:$K$25,CF.1!E294,CF.2!$M$5:$M$25)</f>
        <v>0</v>
      </c>
      <c r="O294" s="1534">
        <f>SUMIF(CF.2!$H$31:$H$60,CF.1!E294,CF.2!$J$31:$J$60)+SUMIF(CF.2!$K$31:$K$60,CF.1!E294,CF.2!$M$31:$M$60)</f>
        <v>0</v>
      </c>
      <c r="P294" s="1534">
        <f>SUMIF(CF.2!$H$65:$H$108,CF.1!E294,CF.2!$J$65:$J$108)+SUMIF(CF.2!$K$65:$K$108,CF.1!E294,CF.2!$M$65:$M$108)</f>
        <v>0</v>
      </c>
      <c r="Q294" s="1534">
        <f>SUMIF(CF.2!$H$112:$H$118,CF.1!E294,CF.2!$J$112:$J$118)+SUMIF(CF.2!$K$112:$K$118,CF.1!E294,CF.2!$M$112:$M$118)</f>
        <v>0</v>
      </c>
      <c r="R294" s="1534">
        <f>SUMIF(CF.2!$H$123:$H$134,CF.1!E294,CF.2!$J$123:$J$134)+SUMIF(CF.2!$K$123:$K$134,CF.1!E294,CF.2!$M$123:$M$134)</f>
        <v>0</v>
      </c>
      <c r="S294" s="1535">
        <f t="shared" si="38"/>
        <v>0</v>
      </c>
      <c r="U294" s="1537">
        <f t="shared" si="39"/>
        <v>0</v>
      </c>
    </row>
    <row r="295" spans="3:23" ht="18" customHeight="1">
      <c r="C295" s="1364">
        <v>1</v>
      </c>
      <c r="D295" s="1532" t="s">
        <v>1224</v>
      </c>
      <c r="E295" s="1506" t="s">
        <v>1224</v>
      </c>
      <c r="F295" s="1533" t="s">
        <v>2551</v>
      </c>
      <c r="G295" s="1259" t="s">
        <v>1225</v>
      </c>
      <c r="H295" s="1836">
        <v>-20301223536</v>
      </c>
      <c r="I295" s="1834">
        <v>0</v>
      </c>
      <c r="J295" s="1834">
        <v>0</v>
      </c>
      <c r="K295" s="1834">
        <v>0</v>
      </c>
      <c r="L295" s="1535">
        <f t="shared" si="37"/>
        <v>-20301223536</v>
      </c>
      <c r="N295" s="1536">
        <f>SUMIF(CF.2!$H$5:$H$25,CF.1!E295,CF.2!$J$5:$J$25)-SUMIF(CF.2!$K$5:$K$25,CF.1!E295,CF.2!$M$5:$M$25)</f>
        <v>0</v>
      </c>
      <c r="O295" s="1534">
        <f>SUMIF(CF.2!$H$31:$H$60,CF.1!E295,CF.2!$J$31:$J$60)+SUMIF(CF.2!$K$31:$K$60,CF.1!E295,CF.2!$M$31:$M$60)</f>
        <v>0</v>
      </c>
      <c r="P295" s="1534">
        <f>SUMIF(CF.2!$H$65:$H$108,CF.1!E295,CF.2!$J$65:$J$108)+SUMIF(CF.2!$K$65:$K$108,CF.1!E295,CF.2!$M$65:$M$108)</f>
        <v>0</v>
      </c>
      <c r="Q295" s="1534">
        <f>SUMIF(CF.2!$H$112:$H$118,CF.1!E295,CF.2!$J$112:$J$118)+SUMIF(CF.2!$K$112:$K$118,CF.1!E295,CF.2!$M$112:$M$118)</f>
        <v>0</v>
      </c>
      <c r="R295" s="1534">
        <f>SUMIF(CF.2!$H$123:$H$134,CF.1!E295,CF.2!$J$123:$J$134)+SUMIF(CF.2!$K$123:$K$134,CF.1!E295,CF.2!$M$123:$M$134)</f>
        <v>0</v>
      </c>
      <c r="S295" s="1535">
        <f t="shared" si="38"/>
        <v>0</v>
      </c>
      <c r="U295" s="1537">
        <f t="shared" si="39"/>
        <v>-20301223536</v>
      </c>
    </row>
    <row r="296" spans="3:23" ht="18" customHeight="1">
      <c r="C296" s="1364">
        <v>1</v>
      </c>
      <c r="D296" s="1532" t="s">
        <v>1226</v>
      </c>
      <c r="E296" s="1506" t="s">
        <v>1226</v>
      </c>
      <c r="F296" s="1533"/>
      <c r="G296" s="1506" t="s">
        <v>1227</v>
      </c>
      <c r="H296" s="1833">
        <v>0</v>
      </c>
      <c r="I296" s="1834">
        <v>0</v>
      </c>
      <c r="J296" s="1834">
        <v>0</v>
      </c>
      <c r="K296" s="1834">
        <v>0</v>
      </c>
      <c r="L296" s="1535">
        <f t="shared" si="37"/>
        <v>0</v>
      </c>
      <c r="N296" s="1536">
        <f>SUMIF(CF.2!$H$5:$H$25,CF.1!E296,CF.2!$J$5:$J$25)-SUMIF(CF.2!$K$5:$K$25,CF.1!E296,CF.2!$M$5:$M$25)</f>
        <v>0</v>
      </c>
      <c r="O296" s="1534">
        <f>SUMIF(CF.2!$H$31:$H$60,CF.1!E296,CF.2!$J$31:$J$60)+SUMIF(CF.2!$K$31:$K$60,CF.1!E296,CF.2!$M$31:$M$60)</f>
        <v>0</v>
      </c>
      <c r="P296" s="1534">
        <f>SUMIF(CF.2!$H$65:$H$108,CF.1!E296,CF.2!$J$65:$J$108)+SUMIF(CF.2!$K$65:$K$108,CF.1!E296,CF.2!$M$65:$M$108)</f>
        <v>0</v>
      </c>
      <c r="Q296" s="1534">
        <f>SUMIF(CF.2!$H$112:$H$118,CF.1!E296,CF.2!$J$112:$J$118)+SUMIF(CF.2!$K$112:$K$118,CF.1!E296,CF.2!$M$112:$M$118)</f>
        <v>0</v>
      </c>
      <c r="R296" s="1534">
        <f>SUMIF(CF.2!$H$123:$H$134,CF.1!E296,CF.2!$J$123:$J$134)+SUMIF(CF.2!$K$123:$K$134,CF.1!E296,CF.2!$M$123:$M$134)</f>
        <v>0</v>
      </c>
      <c r="S296" s="1535">
        <f t="shared" si="38"/>
        <v>0</v>
      </c>
      <c r="U296" s="1537">
        <f t="shared" si="39"/>
        <v>0</v>
      </c>
    </row>
    <row r="297" spans="3:23" ht="18" customHeight="1">
      <c r="C297" s="1364">
        <v>1</v>
      </c>
      <c r="D297" s="1532" t="s">
        <v>1228</v>
      </c>
      <c r="E297" s="1506" t="s">
        <v>1228</v>
      </c>
      <c r="F297" s="1533"/>
      <c r="G297" s="1506" t="s">
        <v>1229</v>
      </c>
      <c r="H297" s="1833">
        <v>0</v>
      </c>
      <c r="I297" s="1834">
        <v>0</v>
      </c>
      <c r="J297" s="1834">
        <v>0</v>
      </c>
      <c r="K297" s="1834">
        <v>0</v>
      </c>
      <c r="L297" s="1535">
        <f t="shared" si="37"/>
        <v>0</v>
      </c>
      <c r="N297" s="1536">
        <f>SUMIF(CF.2!$H$5:$H$25,CF.1!E297,CF.2!$J$5:$J$25)-SUMIF(CF.2!$K$5:$K$25,CF.1!E297,CF.2!$M$5:$M$25)</f>
        <v>0</v>
      </c>
      <c r="O297" s="1534">
        <f>SUMIF(CF.2!$H$31:$H$60,CF.1!E297,CF.2!$J$31:$J$60)+SUMIF(CF.2!$K$31:$K$60,CF.1!E297,CF.2!$M$31:$M$60)</f>
        <v>0</v>
      </c>
      <c r="P297" s="1534">
        <f>SUMIF(CF.2!$H$65:$H$108,CF.1!E297,CF.2!$J$65:$J$108)+SUMIF(CF.2!$K$65:$K$108,CF.1!E297,CF.2!$M$65:$M$108)</f>
        <v>0</v>
      </c>
      <c r="Q297" s="1534">
        <f>SUMIF(CF.2!$H$112:$H$118,CF.1!E297,CF.2!$J$112:$J$118)+SUMIF(CF.2!$K$112:$K$118,CF.1!E297,CF.2!$M$112:$M$118)</f>
        <v>0</v>
      </c>
      <c r="R297" s="1534">
        <f>SUMIF(CF.2!$H$123:$H$134,CF.1!E297,CF.2!$J$123:$J$134)+SUMIF(CF.2!$K$123:$K$134,CF.1!E297,CF.2!$M$123:$M$134)</f>
        <v>0</v>
      </c>
      <c r="S297" s="1535">
        <f t="shared" si="38"/>
        <v>0</v>
      </c>
      <c r="U297" s="1537">
        <f t="shared" si="39"/>
        <v>0</v>
      </c>
    </row>
    <row r="298" spans="3:23" ht="18" customHeight="1">
      <c r="C298" s="1364">
        <v>1</v>
      </c>
      <c r="D298" s="1532" t="s">
        <v>1230</v>
      </c>
      <c r="E298" s="1506" t="s">
        <v>1230</v>
      </c>
      <c r="F298" s="1533"/>
      <c r="G298" s="1506" t="s">
        <v>1231</v>
      </c>
      <c r="H298" s="1833">
        <v>0</v>
      </c>
      <c r="I298" s="1834">
        <v>0</v>
      </c>
      <c r="J298" s="1834">
        <v>0</v>
      </c>
      <c r="K298" s="1834">
        <v>0</v>
      </c>
      <c r="L298" s="1535">
        <f t="shared" si="37"/>
        <v>0</v>
      </c>
      <c r="N298" s="1536">
        <f>SUMIF(CF.2!$H$5:$H$25,CF.1!E298,CF.2!$J$5:$J$25)-SUMIF(CF.2!$K$5:$K$25,CF.1!E298,CF.2!$M$5:$M$25)</f>
        <v>0</v>
      </c>
      <c r="O298" s="1534">
        <f>SUMIF(CF.2!$H$31:$H$60,CF.1!E298,CF.2!$J$31:$J$60)+SUMIF(CF.2!$K$31:$K$60,CF.1!E298,CF.2!$M$31:$M$60)</f>
        <v>0</v>
      </c>
      <c r="P298" s="1534">
        <f>SUMIF(CF.2!$H$65:$H$108,CF.1!E298,CF.2!$J$65:$J$108)+SUMIF(CF.2!$K$65:$K$108,CF.1!E298,CF.2!$M$65:$M$108)</f>
        <v>0</v>
      </c>
      <c r="Q298" s="1534">
        <f>SUMIF(CF.2!$H$112:$H$118,CF.1!E298,CF.2!$J$112:$J$118)+SUMIF(CF.2!$K$112:$K$118,CF.1!E298,CF.2!$M$112:$M$118)</f>
        <v>0</v>
      </c>
      <c r="R298" s="1534">
        <f>SUMIF(CF.2!$H$123:$H$134,CF.1!E298,CF.2!$J$123:$J$134)+SUMIF(CF.2!$K$123:$K$134,CF.1!E298,CF.2!$M$123:$M$134)</f>
        <v>0</v>
      </c>
      <c r="S298" s="1535">
        <f t="shared" si="38"/>
        <v>0</v>
      </c>
      <c r="U298" s="1537">
        <f t="shared" si="39"/>
        <v>0</v>
      </c>
    </row>
    <row r="299" spans="3:23" ht="18" customHeight="1">
      <c r="C299" s="1364">
        <v>1</v>
      </c>
      <c r="D299" s="1532" t="s">
        <v>1232</v>
      </c>
      <c r="E299" s="1506" t="s">
        <v>1232</v>
      </c>
      <c r="F299" s="1533" t="s">
        <v>1473</v>
      </c>
      <c r="G299" s="1506" t="s">
        <v>1233</v>
      </c>
      <c r="H299" s="1833">
        <v>0</v>
      </c>
      <c r="I299" s="1834">
        <v>0</v>
      </c>
      <c r="J299" s="1834">
        <v>0</v>
      </c>
      <c r="K299" s="1834">
        <v>0</v>
      </c>
      <c r="L299" s="1535">
        <f t="shared" si="37"/>
        <v>0</v>
      </c>
      <c r="N299" s="1536">
        <f>SUMIF(CF.2!$H$5:$H$25,CF.1!E299,CF.2!$J$5:$J$25)-SUMIF(CF.2!$K$5:$K$25,CF.1!E299,CF.2!$M$5:$M$25)</f>
        <v>0</v>
      </c>
      <c r="O299" s="1534">
        <f>SUMIF(CF.2!$H$31:$H$60,CF.1!E299,CF.2!$J$31:$J$60)+SUMIF(CF.2!$K$31:$K$60,CF.1!E299,CF.2!$M$31:$M$60)</f>
        <v>0</v>
      </c>
      <c r="P299" s="1534">
        <f>SUMIF(CF.2!$H$65:$H$108,CF.1!E299,CF.2!$J$65:$J$108)+SUMIF(CF.2!$K$65:$K$108,CF.1!E299,CF.2!$M$65:$M$108)</f>
        <v>0</v>
      </c>
      <c r="Q299" s="1534">
        <f>SUMIF(CF.2!$H$112:$H$118,CF.1!E299,CF.2!$J$112:$J$118)+SUMIF(CF.2!$K$112:$K$118,CF.1!E299,CF.2!$M$112:$M$118)</f>
        <v>0</v>
      </c>
      <c r="R299" s="1534">
        <f>SUMIF(CF.2!$H$123:$H$134,CF.1!E299,CF.2!$J$123:$J$134)+SUMIF(CF.2!$K$123:$K$134,CF.1!E299,CF.2!$M$123:$M$134)</f>
        <v>0</v>
      </c>
      <c r="S299" s="1535">
        <f t="shared" si="38"/>
        <v>0</v>
      </c>
      <c r="U299" s="1537">
        <f t="shared" si="39"/>
        <v>0</v>
      </c>
    </row>
    <row r="300" spans="3:23" ht="18" customHeight="1">
      <c r="C300" s="1364">
        <v>1</v>
      </c>
      <c r="D300" s="1525" t="s">
        <v>1234</v>
      </c>
      <c r="E300" s="1526" t="s">
        <v>1234</v>
      </c>
      <c r="F300" s="1527"/>
      <c r="G300" s="1526" t="s">
        <v>1235</v>
      </c>
      <c r="H300" s="1831">
        <f>H301+H323</f>
        <v>-1749635971</v>
      </c>
      <c r="I300" s="1831">
        <f>I301+I323</f>
        <v>359140466</v>
      </c>
      <c r="J300" s="1831">
        <f>J301+J323</f>
        <v>-11628798</v>
      </c>
      <c r="K300" s="1831">
        <f>K301+K323</f>
        <v>-177767642</v>
      </c>
      <c r="L300" s="1529">
        <f>SUM(L301,L323)</f>
        <v>-1579891945</v>
      </c>
      <c r="N300" s="1530">
        <f t="shared" ref="N300:S300" si="40">SUM(N301,N323)</f>
        <v>0</v>
      </c>
      <c r="O300" s="1528">
        <f t="shared" si="40"/>
        <v>0</v>
      </c>
      <c r="P300" s="1528">
        <f t="shared" si="40"/>
        <v>-499950000</v>
      </c>
      <c r="Q300" s="1528">
        <f t="shared" si="40"/>
        <v>0</v>
      </c>
      <c r="R300" s="1528">
        <f t="shared" si="40"/>
        <v>0</v>
      </c>
      <c r="S300" s="1529">
        <f t="shared" si="40"/>
        <v>-499950000</v>
      </c>
      <c r="U300" s="1531">
        <f>SUM(U301,U323)</f>
        <v>-2079841945</v>
      </c>
      <c r="V300" s="1364" t="b">
        <f>U300=U301+U323</f>
        <v>1</v>
      </c>
    </row>
    <row r="301" spans="3:23" ht="18" customHeight="1">
      <c r="C301" s="1364">
        <v>1</v>
      </c>
      <c r="D301" s="1525" t="s">
        <v>1236</v>
      </c>
      <c r="E301" s="1526" t="s">
        <v>1236</v>
      </c>
      <c r="F301" s="1527"/>
      <c r="G301" s="1526" t="s">
        <v>1237</v>
      </c>
      <c r="H301" s="1831">
        <f>SUM(H302:H322)</f>
        <v>2468977</v>
      </c>
      <c r="I301" s="1831">
        <f>SUM(I302:I322)</f>
        <v>1999950000</v>
      </c>
      <c r="J301" s="1831">
        <f>SUM(J302:J322)</f>
        <v>0</v>
      </c>
      <c r="K301" s="1831">
        <f>SUM(K302:K322)</f>
        <v>0</v>
      </c>
      <c r="L301" s="1529">
        <f>SUM(L302:L322)</f>
        <v>2002418977</v>
      </c>
      <c r="N301" s="1530">
        <f t="shared" ref="N301:S301" si="41">SUM(N302:N322)</f>
        <v>0</v>
      </c>
      <c r="O301" s="1528">
        <f t="shared" si="41"/>
        <v>0</v>
      </c>
      <c r="P301" s="1528">
        <f t="shared" si="41"/>
        <v>-1999950000</v>
      </c>
      <c r="Q301" s="1528">
        <f t="shared" si="41"/>
        <v>0</v>
      </c>
      <c r="R301" s="1528">
        <f t="shared" si="41"/>
        <v>0</v>
      </c>
      <c r="S301" s="1529">
        <f t="shared" si="41"/>
        <v>-1999950000</v>
      </c>
      <c r="U301" s="1531">
        <f>SUM(U302:U322)</f>
        <v>2468977</v>
      </c>
    </row>
    <row r="302" spans="3:23" s="1089" customFormat="1" ht="18" customHeight="1">
      <c r="C302" s="1089">
        <v>1</v>
      </c>
      <c r="D302" s="1538" t="s">
        <v>1238</v>
      </c>
      <c r="E302" s="1276" t="s">
        <v>1238</v>
      </c>
      <c r="F302" s="1539" t="s">
        <v>532</v>
      </c>
      <c r="G302" s="1276" t="s">
        <v>1239</v>
      </c>
      <c r="H302" s="1832">
        <v>0</v>
      </c>
      <c r="I302" s="1835">
        <v>1999950000</v>
      </c>
      <c r="J302" s="1835">
        <v>0</v>
      </c>
      <c r="K302" s="1835">
        <v>0</v>
      </c>
      <c r="L302" s="1541">
        <f t="shared" ref="L302:L322" si="42">SUM(H302:K302)</f>
        <v>1999950000</v>
      </c>
      <c r="N302" s="1555">
        <f>SUMIF(CF.2!$H$5:$H$25,CF.1!E302,CF.2!$J$5:$J$25)-SUMIF(CF.2!$K$5:$K$25,CF.1!E302,CF.2!$M$5:$M$25)</f>
        <v>0</v>
      </c>
      <c r="O302" s="1540">
        <f>SUMIF(CF.2!$H$31:$H$60,CF.1!E302,CF.2!$J$31:$J$60)+SUMIF(CF.2!$K$31:$K$60,CF.1!E302,CF.2!$M$31:$M$60)</f>
        <v>0</v>
      </c>
      <c r="P302" s="1540">
        <f>SUMIF(CF.2!$H$65:$H$108,CF.1!E302,CF.2!$J$65:$J$108)+SUMIF(CF.2!$K$65:$K$108,CF.1!E302,CF.2!$M$65:$M$108)</f>
        <v>-1999950000</v>
      </c>
      <c r="Q302" s="1540">
        <f>SUMIF(CF.2!$H$112:$H$118,CF.1!E302,CF.2!$J$112:$J$118)+SUMIF(CF.2!$K$112:$K$118,CF.1!E302,CF.2!$M$112:$M$118)</f>
        <v>0</v>
      </c>
      <c r="R302" s="1540">
        <f>SUMIF(CF.2!$H$123:$H$134,CF.1!E302,CF.2!$J$123:$J$134)+SUMIF(CF.2!$K$123:$K$134,CF.1!E302,CF.2!$M$123:$M$134)</f>
        <v>0</v>
      </c>
      <c r="S302" s="1541">
        <f t="shared" ref="S302:S322" si="43">SUM(N302:R302)</f>
        <v>-1999950000</v>
      </c>
      <c r="U302" s="1542">
        <f t="shared" ref="U302:U322" si="44">ROUND(S302+L302,0)</f>
        <v>0</v>
      </c>
      <c r="V302" s="1364"/>
      <c r="W302" s="1364"/>
    </row>
    <row r="303" spans="3:23" ht="18" customHeight="1">
      <c r="C303" s="1364">
        <v>1</v>
      </c>
      <c r="D303" s="1532" t="s">
        <v>1240</v>
      </c>
      <c r="E303" s="1506" t="s">
        <v>1240</v>
      </c>
      <c r="F303" s="1533" t="s">
        <v>2557</v>
      </c>
      <c r="G303" s="1506" t="s">
        <v>1241</v>
      </c>
      <c r="H303" s="1833">
        <v>0</v>
      </c>
      <c r="I303" s="1834">
        <v>0</v>
      </c>
      <c r="J303" s="1834">
        <v>0</v>
      </c>
      <c r="K303" s="1834">
        <v>0</v>
      </c>
      <c r="L303" s="1535">
        <f t="shared" si="42"/>
        <v>0</v>
      </c>
      <c r="N303" s="1536">
        <f>SUMIF(CF.2!$H$5:$H$25,CF.1!E303,CF.2!$J$5:$J$25)-SUMIF(CF.2!$K$5:$K$25,CF.1!E303,CF.2!$M$5:$M$25)</f>
        <v>0</v>
      </c>
      <c r="O303" s="1534">
        <f>SUMIF(CF.2!$H$31:$H$60,CF.1!E303,CF.2!$J$31:$J$60)+SUMIF(CF.2!$K$31:$K$60,CF.1!E303,CF.2!$M$31:$M$60)</f>
        <v>0</v>
      </c>
      <c r="P303" s="1534">
        <f>SUMIF(CF.2!$H$65:$H$108,CF.1!E303,CF.2!$J$65:$J$108)+SUMIF(CF.2!$K$65:$K$108,CF.1!E303,CF.2!$M$65:$M$108)</f>
        <v>0</v>
      </c>
      <c r="Q303" s="1534">
        <f>SUMIF(CF.2!$H$112:$H$118,CF.1!E303,CF.2!$J$112:$J$118)+SUMIF(CF.2!$K$112:$K$118,CF.1!E303,CF.2!$M$112:$M$118)</f>
        <v>0</v>
      </c>
      <c r="R303" s="1534">
        <f>SUMIF(CF.2!$H$123:$H$134,CF.1!E303,CF.2!$J$123:$J$134)+SUMIF(CF.2!$K$123:$K$134,CF.1!E303,CF.2!$M$123:$M$134)</f>
        <v>0</v>
      </c>
      <c r="S303" s="1535">
        <f t="shared" si="43"/>
        <v>0</v>
      </c>
      <c r="U303" s="1537">
        <f t="shared" si="44"/>
        <v>0</v>
      </c>
    </row>
    <row r="304" spans="3:23" ht="18" customHeight="1">
      <c r="C304" s="1364">
        <v>1</v>
      </c>
      <c r="D304" s="1532" t="s">
        <v>1242</v>
      </c>
      <c r="E304" s="1506" t="s">
        <v>1242</v>
      </c>
      <c r="F304" s="1533" t="s">
        <v>1243</v>
      </c>
      <c r="G304" s="1506" t="s">
        <v>1243</v>
      </c>
      <c r="H304" s="1833">
        <v>0</v>
      </c>
      <c r="I304" s="1834">
        <v>0</v>
      </c>
      <c r="J304" s="1834">
        <v>0</v>
      </c>
      <c r="K304" s="1834">
        <v>0</v>
      </c>
      <c r="L304" s="1535">
        <f t="shared" si="42"/>
        <v>0</v>
      </c>
      <c r="N304" s="1536">
        <f>SUMIF(CF.2!$H$5:$H$25,CF.1!E304,CF.2!$J$5:$J$25)-SUMIF(CF.2!$K$5:$K$25,CF.1!E304,CF.2!$M$5:$M$25)</f>
        <v>0</v>
      </c>
      <c r="O304" s="1534">
        <f>SUMIF(CF.2!$H$31:$H$60,CF.1!E304,CF.2!$J$31:$J$60)+SUMIF(CF.2!$K$31:$K$60,CF.1!E304,CF.2!$M$31:$M$60)</f>
        <v>0</v>
      </c>
      <c r="P304" s="1534">
        <f>SUMIF(CF.2!$H$65:$H$108,CF.1!E304,CF.2!$J$65:$J$108)+SUMIF(CF.2!$K$65:$K$108,CF.1!E304,CF.2!$M$65:$M$108)</f>
        <v>0</v>
      </c>
      <c r="Q304" s="1534">
        <f>SUMIF(CF.2!$H$112:$H$118,CF.1!E304,CF.2!$J$112:$J$118)+SUMIF(CF.2!$K$112:$K$118,CF.1!E304,CF.2!$M$112:$M$118)</f>
        <v>0</v>
      </c>
      <c r="R304" s="1534">
        <f>SUMIF(CF.2!$H$123:$H$134,CF.1!E304,CF.2!$J$123:$J$134)+SUMIF(CF.2!$K$123:$K$134,CF.1!E304,CF.2!$M$123:$M$134)</f>
        <v>0</v>
      </c>
      <c r="S304" s="1535">
        <f t="shared" si="43"/>
        <v>0</v>
      </c>
      <c r="U304" s="1537">
        <f t="shared" si="44"/>
        <v>0</v>
      </c>
      <c r="W304" s="1364" t="b">
        <f>U304=0</f>
        <v>1</v>
      </c>
    </row>
    <row r="305" spans="3:21" ht="18" customHeight="1">
      <c r="C305" s="1364">
        <v>1</v>
      </c>
      <c r="D305" s="1532" t="s">
        <v>1244</v>
      </c>
      <c r="E305" s="1506" t="s">
        <v>1244</v>
      </c>
      <c r="F305" s="1533"/>
      <c r="G305" s="1506" t="s">
        <v>1245</v>
      </c>
      <c r="H305" s="1833">
        <v>0</v>
      </c>
      <c r="I305" s="1834">
        <v>0</v>
      </c>
      <c r="J305" s="1834">
        <v>0</v>
      </c>
      <c r="K305" s="1834">
        <v>0</v>
      </c>
      <c r="L305" s="1535">
        <f t="shared" si="42"/>
        <v>0</v>
      </c>
      <c r="N305" s="1536">
        <f>SUMIF(CF.2!$H$5:$H$25,CF.1!E305,CF.2!$J$5:$J$25)-SUMIF(CF.2!$K$5:$K$25,CF.1!E305,CF.2!$M$5:$M$25)</f>
        <v>0</v>
      </c>
      <c r="O305" s="1534">
        <f>SUMIF(CF.2!$H$31:$H$60,CF.1!E305,CF.2!$J$31:$J$60)+SUMIF(CF.2!$K$31:$K$60,CF.1!E305,CF.2!$M$31:$M$60)</f>
        <v>0</v>
      </c>
      <c r="P305" s="1534">
        <f>SUMIF(CF.2!$H$65:$H$108,CF.1!E305,CF.2!$J$65:$J$108)+SUMIF(CF.2!$K$65:$K$108,CF.1!E305,CF.2!$M$65:$M$108)</f>
        <v>0</v>
      </c>
      <c r="Q305" s="1534">
        <f>SUMIF(CF.2!$H$112:$H$118,CF.1!E305,CF.2!$J$112:$J$118)+SUMIF(CF.2!$K$112:$K$118,CF.1!E305,CF.2!$M$112:$M$118)</f>
        <v>0</v>
      </c>
      <c r="R305" s="1534">
        <f>SUMIF(CF.2!$H$123:$H$134,CF.1!E305,CF.2!$J$123:$J$134)+SUMIF(CF.2!$K$123:$K$134,CF.1!E305,CF.2!$M$123:$M$134)</f>
        <v>0</v>
      </c>
      <c r="S305" s="1535">
        <f t="shared" si="43"/>
        <v>0</v>
      </c>
      <c r="U305" s="1537">
        <f t="shared" si="44"/>
        <v>0</v>
      </c>
    </row>
    <row r="306" spans="3:21" ht="18" customHeight="1">
      <c r="C306" s="1364">
        <v>1</v>
      </c>
      <c r="D306" s="1532" t="s">
        <v>1246</v>
      </c>
      <c r="E306" s="1506" t="s">
        <v>1246</v>
      </c>
      <c r="F306" s="1533"/>
      <c r="G306" s="1506" t="s">
        <v>1247</v>
      </c>
      <c r="H306" s="1833">
        <v>0</v>
      </c>
      <c r="I306" s="1834">
        <v>0</v>
      </c>
      <c r="J306" s="1834">
        <v>0</v>
      </c>
      <c r="K306" s="1834">
        <v>0</v>
      </c>
      <c r="L306" s="1535">
        <f t="shared" si="42"/>
        <v>0</v>
      </c>
      <c r="N306" s="1536">
        <f>SUMIF(CF.2!$H$5:$H$25,CF.1!E306,CF.2!$J$5:$J$25)-SUMIF(CF.2!$K$5:$K$25,CF.1!E306,CF.2!$M$5:$M$25)</f>
        <v>0</v>
      </c>
      <c r="O306" s="1534">
        <f>SUMIF(CF.2!$H$31:$H$60,CF.1!E306,CF.2!$J$31:$J$60)+SUMIF(CF.2!$K$31:$K$60,CF.1!E306,CF.2!$M$31:$M$60)</f>
        <v>0</v>
      </c>
      <c r="P306" s="1534">
        <f>SUMIF(CF.2!$H$65:$H$108,CF.1!E306,CF.2!$J$65:$J$108)+SUMIF(CF.2!$K$65:$K$108,CF.1!E306,CF.2!$M$65:$M$108)</f>
        <v>0</v>
      </c>
      <c r="Q306" s="1534">
        <f>SUMIF(CF.2!$H$112:$H$118,CF.1!E306,CF.2!$J$112:$J$118)+SUMIF(CF.2!$K$112:$K$118,CF.1!E306,CF.2!$M$112:$M$118)</f>
        <v>0</v>
      </c>
      <c r="R306" s="1534">
        <f>SUMIF(CF.2!$H$123:$H$134,CF.1!E306,CF.2!$J$123:$J$134)+SUMIF(CF.2!$K$123:$K$134,CF.1!E306,CF.2!$M$123:$M$134)</f>
        <v>0</v>
      </c>
      <c r="S306" s="1535">
        <f t="shared" si="43"/>
        <v>0</v>
      </c>
      <c r="U306" s="1537">
        <f t="shared" si="44"/>
        <v>0</v>
      </c>
    </row>
    <row r="307" spans="3:21" ht="18" customHeight="1">
      <c r="C307" s="1364">
        <v>1</v>
      </c>
      <c r="D307" s="1532" t="s">
        <v>1248</v>
      </c>
      <c r="E307" s="1506" t="s">
        <v>1248</v>
      </c>
      <c r="F307" s="1533"/>
      <c r="G307" s="1506" t="s">
        <v>1249</v>
      </c>
      <c r="H307" s="1833">
        <v>0</v>
      </c>
      <c r="I307" s="1834">
        <v>0</v>
      </c>
      <c r="J307" s="1834">
        <v>0</v>
      </c>
      <c r="K307" s="1834">
        <v>0</v>
      </c>
      <c r="L307" s="1535">
        <f t="shared" si="42"/>
        <v>0</v>
      </c>
      <c r="N307" s="1536">
        <f>SUMIF(CF.2!$H$5:$H$25,CF.1!E307,CF.2!$J$5:$J$25)-SUMIF(CF.2!$K$5:$K$25,CF.1!E307,CF.2!$M$5:$M$25)</f>
        <v>0</v>
      </c>
      <c r="O307" s="1534">
        <f>SUMIF(CF.2!$H$31:$H$60,CF.1!E307,CF.2!$J$31:$J$60)+SUMIF(CF.2!$K$31:$K$60,CF.1!E307,CF.2!$M$31:$M$60)</f>
        <v>0</v>
      </c>
      <c r="P307" s="1534">
        <f>SUMIF(CF.2!$H$65:$H$108,CF.1!E307,CF.2!$J$65:$J$108)+SUMIF(CF.2!$K$65:$K$108,CF.1!E307,CF.2!$M$65:$M$108)</f>
        <v>0</v>
      </c>
      <c r="Q307" s="1534">
        <f>SUMIF(CF.2!$H$112:$H$118,CF.1!E307,CF.2!$J$112:$J$118)+SUMIF(CF.2!$K$112:$K$118,CF.1!E307,CF.2!$M$112:$M$118)</f>
        <v>0</v>
      </c>
      <c r="R307" s="1534">
        <f>SUMIF(CF.2!$H$123:$H$134,CF.1!E307,CF.2!$J$123:$J$134)+SUMIF(CF.2!$K$123:$K$134,CF.1!E307,CF.2!$M$123:$M$134)</f>
        <v>0</v>
      </c>
      <c r="S307" s="1535">
        <f t="shared" si="43"/>
        <v>0</v>
      </c>
      <c r="U307" s="1537">
        <f t="shared" si="44"/>
        <v>0</v>
      </c>
    </row>
    <row r="308" spans="3:21" ht="18" customHeight="1">
      <c r="C308" s="1364">
        <v>1</v>
      </c>
      <c r="D308" s="1532" t="s">
        <v>1250</v>
      </c>
      <c r="E308" s="1506" t="s">
        <v>1250</v>
      </c>
      <c r="F308" s="1533"/>
      <c r="G308" s="1506" t="s">
        <v>1251</v>
      </c>
      <c r="H308" s="1833">
        <v>0</v>
      </c>
      <c r="I308" s="1834">
        <v>0</v>
      </c>
      <c r="J308" s="1834">
        <v>0</v>
      </c>
      <c r="K308" s="1834">
        <v>0</v>
      </c>
      <c r="L308" s="1535">
        <f t="shared" si="42"/>
        <v>0</v>
      </c>
      <c r="N308" s="1536">
        <f>SUMIF(CF.2!$H$5:$H$25,CF.1!E308,CF.2!$J$5:$J$25)-SUMIF(CF.2!$K$5:$K$25,CF.1!E308,CF.2!$M$5:$M$25)</f>
        <v>0</v>
      </c>
      <c r="O308" s="1534">
        <f>SUMIF(CF.2!$H$31:$H$60,CF.1!E308,CF.2!$J$31:$J$60)+SUMIF(CF.2!$K$31:$K$60,CF.1!E308,CF.2!$M$31:$M$60)</f>
        <v>0</v>
      </c>
      <c r="P308" s="1534">
        <f>SUMIF(CF.2!$H$65:$H$108,CF.1!E308,CF.2!$J$65:$J$108)+SUMIF(CF.2!$K$65:$K$108,CF.1!E308,CF.2!$M$65:$M$108)</f>
        <v>0</v>
      </c>
      <c r="Q308" s="1534">
        <f>SUMIF(CF.2!$H$112:$H$118,CF.1!E308,CF.2!$J$112:$J$118)+SUMIF(CF.2!$K$112:$K$118,CF.1!E308,CF.2!$M$112:$M$118)</f>
        <v>0</v>
      </c>
      <c r="R308" s="1534">
        <f>SUMIF(CF.2!$H$123:$H$134,CF.1!E308,CF.2!$J$123:$J$134)+SUMIF(CF.2!$K$123:$K$134,CF.1!E308,CF.2!$M$123:$M$134)</f>
        <v>0</v>
      </c>
      <c r="S308" s="1535">
        <f t="shared" si="43"/>
        <v>0</v>
      </c>
      <c r="U308" s="1537">
        <f t="shared" si="44"/>
        <v>0</v>
      </c>
    </row>
    <row r="309" spans="3:21" ht="18" customHeight="1">
      <c r="C309" s="1364">
        <v>1</v>
      </c>
      <c r="D309" s="1532" t="s">
        <v>1252</v>
      </c>
      <c r="E309" s="1506" t="s">
        <v>1252</v>
      </c>
      <c r="F309" s="1533"/>
      <c r="G309" s="1506" t="s">
        <v>1253</v>
      </c>
      <c r="H309" s="1833">
        <v>0</v>
      </c>
      <c r="I309" s="1834">
        <v>0</v>
      </c>
      <c r="J309" s="1834">
        <v>0</v>
      </c>
      <c r="K309" s="1834">
        <v>0</v>
      </c>
      <c r="L309" s="1535">
        <f t="shared" si="42"/>
        <v>0</v>
      </c>
      <c r="N309" s="1536">
        <f>SUMIF(CF.2!$H$5:$H$25,CF.1!E309,CF.2!$J$5:$J$25)-SUMIF(CF.2!$K$5:$K$25,CF.1!E309,CF.2!$M$5:$M$25)</f>
        <v>0</v>
      </c>
      <c r="O309" s="1534">
        <f>SUMIF(CF.2!$H$31:$H$60,CF.1!E309,CF.2!$J$31:$J$60)+SUMIF(CF.2!$K$31:$K$60,CF.1!E309,CF.2!$M$31:$M$60)</f>
        <v>0</v>
      </c>
      <c r="P309" s="1534">
        <f>SUMIF(CF.2!$H$65:$H$108,CF.1!E309,CF.2!$J$65:$J$108)+SUMIF(CF.2!$K$65:$K$108,CF.1!E309,CF.2!$M$65:$M$108)</f>
        <v>0</v>
      </c>
      <c r="Q309" s="1534">
        <f>SUMIF(CF.2!$H$112:$H$118,CF.1!E309,CF.2!$J$112:$J$118)+SUMIF(CF.2!$K$112:$K$118,CF.1!E309,CF.2!$M$112:$M$118)</f>
        <v>0</v>
      </c>
      <c r="R309" s="1534">
        <f>SUMIF(CF.2!$H$123:$H$134,CF.1!E309,CF.2!$J$123:$J$134)+SUMIF(CF.2!$K$123:$K$134,CF.1!E309,CF.2!$M$123:$M$134)</f>
        <v>0</v>
      </c>
      <c r="S309" s="1535">
        <f t="shared" si="43"/>
        <v>0</v>
      </c>
      <c r="U309" s="1537">
        <f t="shared" si="44"/>
        <v>0</v>
      </c>
    </row>
    <row r="310" spans="3:21" ht="18" customHeight="1">
      <c r="C310" s="1364">
        <v>1</v>
      </c>
      <c r="D310" s="1532" t="s">
        <v>1254</v>
      </c>
      <c r="E310" s="1506" t="s">
        <v>1254</v>
      </c>
      <c r="F310" s="1533"/>
      <c r="G310" s="1506" t="s">
        <v>1255</v>
      </c>
      <c r="H310" s="1833">
        <v>0</v>
      </c>
      <c r="I310" s="1834">
        <v>0</v>
      </c>
      <c r="J310" s="1834">
        <v>0</v>
      </c>
      <c r="K310" s="1834">
        <v>0</v>
      </c>
      <c r="L310" s="1535">
        <f t="shared" si="42"/>
        <v>0</v>
      </c>
      <c r="N310" s="1536">
        <f>SUMIF(CF.2!$H$5:$H$25,CF.1!E310,CF.2!$J$5:$J$25)-SUMIF(CF.2!$K$5:$K$25,CF.1!E310,CF.2!$M$5:$M$25)</f>
        <v>0</v>
      </c>
      <c r="O310" s="1534">
        <f>SUMIF(CF.2!$H$31:$H$60,CF.1!E310,CF.2!$J$31:$J$60)+SUMIF(CF.2!$K$31:$K$60,CF.1!E310,CF.2!$M$31:$M$60)</f>
        <v>0</v>
      </c>
      <c r="P310" s="1534">
        <f>SUMIF(CF.2!$H$65:$H$108,CF.1!E310,CF.2!$J$65:$J$108)+SUMIF(CF.2!$K$65:$K$108,CF.1!E310,CF.2!$M$65:$M$108)</f>
        <v>0</v>
      </c>
      <c r="Q310" s="1534">
        <f>SUMIF(CF.2!$H$112:$H$118,CF.1!E310,CF.2!$J$112:$J$118)+SUMIF(CF.2!$K$112:$K$118,CF.1!E310,CF.2!$M$112:$M$118)</f>
        <v>0</v>
      </c>
      <c r="R310" s="1534">
        <f>SUMIF(CF.2!$H$123:$H$134,CF.1!E310,CF.2!$J$123:$J$134)+SUMIF(CF.2!$K$123:$K$134,CF.1!E310,CF.2!$M$123:$M$134)</f>
        <v>0</v>
      </c>
      <c r="S310" s="1535">
        <f t="shared" si="43"/>
        <v>0</v>
      </c>
      <c r="U310" s="1537">
        <f t="shared" si="44"/>
        <v>0</v>
      </c>
    </row>
    <row r="311" spans="3:21" ht="18" customHeight="1">
      <c r="C311" s="1364">
        <v>1</v>
      </c>
      <c r="D311" s="1532" t="s">
        <v>1256</v>
      </c>
      <c r="E311" s="1506" t="s">
        <v>1256</v>
      </c>
      <c r="F311" s="1533"/>
      <c r="G311" s="1506" t="s">
        <v>1031</v>
      </c>
      <c r="H311" s="1833">
        <v>0</v>
      </c>
      <c r="I311" s="1834">
        <v>0</v>
      </c>
      <c r="J311" s="1834">
        <v>0</v>
      </c>
      <c r="K311" s="1834">
        <v>0</v>
      </c>
      <c r="L311" s="1535">
        <f t="shared" si="42"/>
        <v>0</v>
      </c>
      <c r="N311" s="1536">
        <f>SUMIF(CF.2!$H$5:$H$25,CF.1!E311,CF.2!$J$5:$J$25)-SUMIF(CF.2!$K$5:$K$25,CF.1!E311,CF.2!$M$5:$M$25)</f>
        <v>0</v>
      </c>
      <c r="O311" s="1534">
        <f>SUMIF(CF.2!$H$31:$H$60,CF.1!E311,CF.2!$J$31:$J$60)+SUMIF(CF.2!$K$31:$K$60,CF.1!E311,CF.2!$M$31:$M$60)</f>
        <v>0</v>
      </c>
      <c r="P311" s="1534">
        <f>SUMIF(CF.2!$H$65:$H$108,CF.1!E311,CF.2!$J$65:$J$108)+SUMIF(CF.2!$K$65:$K$108,CF.1!E311,CF.2!$M$65:$M$108)</f>
        <v>0</v>
      </c>
      <c r="Q311" s="1534">
        <f>SUMIF(CF.2!$H$112:$H$118,CF.1!E311,CF.2!$J$112:$J$118)+SUMIF(CF.2!$K$112:$K$118,CF.1!E311,CF.2!$M$112:$M$118)</f>
        <v>0</v>
      </c>
      <c r="R311" s="1534">
        <f>SUMIF(CF.2!$H$123:$H$134,CF.1!E311,CF.2!$J$123:$J$134)+SUMIF(CF.2!$K$123:$K$134,CF.1!E311,CF.2!$M$123:$M$134)</f>
        <v>0</v>
      </c>
      <c r="S311" s="1535">
        <f t="shared" si="43"/>
        <v>0</v>
      </c>
      <c r="U311" s="1537">
        <f t="shared" si="44"/>
        <v>0</v>
      </c>
    </row>
    <row r="312" spans="3:21" ht="18" customHeight="1">
      <c r="C312" s="1364">
        <v>1</v>
      </c>
      <c r="D312" s="1532" t="s">
        <v>1257</v>
      </c>
      <c r="E312" s="1506" t="s">
        <v>1257</v>
      </c>
      <c r="F312" s="1533"/>
      <c r="G312" s="1506" t="s">
        <v>1033</v>
      </c>
      <c r="H312" s="1833">
        <v>0</v>
      </c>
      <c r="I312" s="1834">
        <v>0</v>
      </c>
      <c r="J312" s="1834">
        <v>0</v>
      </c>
      <c r="K312" s="1834">
        <v>0</v>
      </c>
      <c r="L312" s="1535">
        <f t="shared" si="42"/>
        <v>0</v>
      </c>
      <c r="N312" s="1536">
        <f>SUMIF(CF.2!$H$5:$H$25,CF.1!E312,CF.2!$J$5:$J$25)-SUMIF(CF.2!$K$5:$K$25,CF.1!E312,CF.2!$M$5:$M$25)</f>
        <v>0</v>
      </c>
      <c r="O312" s="1534">
        <f>SUMIF(CF.2!$H$31:$H$60,CF.1!E312,CF.2!$J$31:$J$60)+SUMIF(CF.2!$K$31:$K$60,CF.1!E312,CF.2!$M$31:$M$60)</f>
        <v>0</v>
      </c>
      <c r="P312" s="1534">
        <f>SUMIF(CF.2!$H$65:$H$108,CF.1!E312,CF.2!$J$65:$J$108)+SUMIF(CF.2!$K$65:$K$108,CF.1!E312,CF.2!$M$65:$M$108)</f>
        <v>0</v>
      </c>
      <c r="Q312" s="1534">
        <f>SUMIF(CF.2!$H$112:$H$118,CF.1!E312,CF.2!$J$112:$J$118)+SUMIF(CF.2!$K$112:$K$118,CF.1!E312,CF.2!$M$112:$M$118)</f>
        <v>0</v>
      </c>
      <c r="R312" s="1534">
        <f>SUMIF(CF.2!$H$123:$H$134,CF.1!E312,CF.2!$J$123:$J$134)+SUMIF(CF.2!$K$123:$K$134,CF.1!E312,CF.2!$M$123:$M$134)</f>
        <v>0</v>
      </c>
      <c r="S312" s="1535">
        <f t="shared" si="43"/>
        <v>0</v>
      </c>
      <c r="U312" s="1537">
        <f t="shared" si="44"/>
        <v>0</v>
      </c>
    </row>
    <row r="313" spans="3:21" ht="18" customHeight="1">
      <c r="C313" s="1364">
        <v>1</v>
      </c>
      <c r="D313" s="1532" t="s">
        <v>1258</v>
      </c>
      <c r="E313" s="1506" t="s">
        <v>1258</v>
      </c>
      <c r="F313" s="1533" t="s">
        <v>1259</v>
      </c>
      <c r="G313" s="1506" t="s">
        <v>1259</v>
      </c>
      <c r="H313" s="1833">
        <v>2468977</v>
      </c>
      <c r="I313" s="1834">
        <v>0</v>
      </c>
      <c r="J313" s="1834">
        <v>0</v>
      </c>
      <c r="K313" s="1834">
        <v>0</v>
      </c>
      <c r="L313" s="1535">
        <f t="shared" si="42"/>
        <v>2468977</v>
      </c>
      <c r="N313" s="1536">
        <f>SUMIF(CF.2!$H$5:$H$25,CF.1!E313,CF.2!$J$5:$J$25)-SUMIF(CF.2!$K$5:$K$25,CF.1!E313,CF.2!$M$5:$M$25)</f>
        <v>0</v>
      </c>
      <c r="O313" s="1534">
        <f>SUMIF(CF.2!$H$31:$H$60,CF.1!E313,CF.2!$J$31:$J$60)+SUMIF(CF.2!$K$31:$K$60,CF.1!E313,CF.2!$M$31:$M$60)</f>
        <v>0</v>
      </c>
      <c r="P313" s="1534">
        <f>SUMIF(CF.2!$H$65:$H$108,CF.1!E313,CF.2!$J$65:$J$108)+SUMIF(CF.2!$K$65:$K$108,CF.1!E313,CF.2!$M$65:$M$108)</f>
        <v>0</v>
      </c>
      <c r="Q313" s="1534">
        <f>SUMIF(CF.2!$H$112:$H$118,CF.1!E313,CF.2!$J$112:$J$118)+SUMIF(CF.2!$K$112:$K$118,CF.1!E313,CF.2!$M$112:$M$118)</f>
        <v>0</v>
      </c>
      <c r="R313" s="1534">
        <f>SUMIF(CF.2!$H$123:$H$134,CF.1!E313,CF.2!$J$123:$J$134)+SUMIF(CF.2!$K$123:$K$134,CF.1!E313,CF.2!$M$123:$M$134)</f>
        <v>0</v>
      </c>
      <c r="S313" s="1535">
        <f t="shared" si="43"/>
        <v>0</v>
      </c>
      <c r="U313" s="1537">
        <f t="shared" si="44"/>
        <v>2468977</v>
      </c>
    </row>
    <row r="314" spans="3:21" ht="18" customHeight="1">
      <c r="C314" s="1364">
        <v>1</v>
      </c>
      <c r="D314" s="1532" t="s">
        <v>1260</v>
      </c>
      <c r="E314" s="1506" t="s">
        <v>1260</v>
      </c>
      <c r="F314" s="1533"/>
      <c r="G314" s="1506" t="s">
        <v>1261</v>
      </c>
      <c r="H314" s="1833">
        <v>0</v>
      </c>
      <c r="I314" s="1834">
        <v>0</v>
      </c>
      <c r="J314" s="1834">
        <v>0</v>
      </c>
      <c r="K314" s="1834">
        <v>0</v>
      </c>
      <c r="L314" s="1535">
        <f t="shared" si="42"/>
        <v>0</v>
      </c>
      <c r="N314" s="1536">
        <f>SUMIF(CF.2!$H$5:$H$25,CF.1!E314,CF.2!$J$5:$J$25)-SUMIF(CF.2!$K$5:$K$25,CF.1!E314,CF.2!$M$5:$M$25)</f>
        <v>0</v>
      </c>
      <c r="O314" s="1534">
        <f>SUMIF(CF.2!$H$31:$H$60,CF.1!E314,CF.2!$J$31:$J$60)+SUMIF(CF.2!$K$31:$K$60,CF.1!E314,CF.2!$M$31:$M$60)</f>
        <v>0</v>
      </c>
      <c r="P314" s="1534">
        <f>SUMIF(CF.2!$H$65:$H$108,CF.1!E314,CF.2!$J$65:$J$108)+SUMIF(CF.2!$K$65:$K$108,CF.1!E314,CF.2!$M$65:$M$108)</f>
        <v>0</v>
      </c>
      <c r="Q314" s="1534">
        <f>SUMIF(CF.2!$H$112:$H$118,CF.1!E314,CF.2!$J$112:$J$118)+SUMIF(CF.2!$K$112:$K$118,CF.1!E314,CF.2!$M$112:$M$118)</f>
        <v>0</v>
      </c>
      <c r="R314" s="1534">
        <f>SUMIF(CF.2!$H$123:$H$134,CF.1!E314,CF.2!$J$123:$J$134)+SUMIF(CF.2!$K$123:$K$134,CF.1!E314,CF.2!$M$123:$M$134)</f>
        <v>0</v>
      </c>
      <c r="S314" s="1535">
        <f t="shared" si="43"/>
        <v>0</v>
      </c>
      <c r="U314" s="1537">
        <f t="shared" si="44"/>
        <v>0</v>
      </c>
    </row>
    <row r="315" spans="3:21" ht="18" customHeight="1">
      <c r="C315" s="1364">
        <v>1</v>
      </c>
      <c r="D315" s="1532" t="s">
        <v>1262</v>
      </c>
      <c r="E315" s="1506" t="s">
        <v>1262</v>
      </c>
      <c r="F315" s="1533"/>
      <c r="G315" s="1506" t="s">
        <v>1263</v>
      </c>
      <c r="H315" s="1833">
        <v>0</v>
      </c>
      <c r="I315" s="1834">
        <v>0</v>
      </c>
      <c r="J315" s="1834">
        <v>0</v>
      </c>
      <c r="K315" s="1834">
        <v>0</v>
      </c>
      <c r="L315" s="1535">
        <f t="shared" si="42"/>
        <v>0</v>
      </c>
      <c r="N315" s="1536">
        <f>SUMIF(CF.2!$H$5:$H$25,CF.1!E315,CF.2!$J$5:$J$25)-SUMIF(CF.2!$K$5:$K$25,CF.1!E315,CF.2!$M$5:$M$25)</f>
        <v>0</v>
      </c>
      <c r="O315" s="1534">
        <f>SUMIF(CF.2!$H$31:$H$60,CF.1!E315,CF.2!$J$31:$J$60)+SUMIF(CF.2!$K$31:$K$60,CF.1!E315,CF.2!$M$31:$M$60)</f>
        <v>0</v>
      </c>
      <c r="P315" s="1534">
        <f>SUMIF(CF.2!$H$65:$H$108,CF.1!E315,CF.2!$J$65:$J$108)+SUMIF(CF.2!$K$65:$K$108,CF.1!E315,CF.2!$M$65:$M$108)</f>
        <v>0</v>
      </c>
      <c r="Q315" s="1534">
        <f>SUMIF(CF.2!$H$112:$H$118,CF.1!E315,CF.2!$J$112:$J$118)+SUMIF(CF.2!$K$112:$K$118,CF.1!E315,CF.2!$M$112:$M$118)</f>
        <v>0</v>
      </c>
      <c r="R315" s="1534">
        <f>SUMIF(CF.2!$H$123:$H$134,CF.1!E315,CF.2!$J$123:$J$134)+SUMIF(CF.2!$K$123:$K$134,CF.1!E315,CF.2!$M$123:$M$134)</f>
        <v>0</v>
      </c>
      <c r="S315" s="1535">
        <f t="shared" si="43"/>
        <v>0</v>
      </c>
      <c r="U315" s="1537">
        <f t="shared" si="44"/>
        <v>0</v>
      </c>
    </row>
    <row r="316" spans="3:21" ht="18" customHeight="1">
      <c r="C316" s="1364">
        <v>1</v>
      </c>
      <c r="D316" s="1532" t="s">
        <v>1264</v>
      </c>
      <c r="E316" s="1506" t="s">
        <v>1264</v>
      </c>
      <c r="F316" s="1533"/>
      <c r="G316" s="1506" t="s">
        <v>1265</v>
      </c>
      <c r="H316" s="1833">
        <v>0</v>
      </c>
      <c r="I316" s="1834">
        <v>0</v>
      </c>
      <c r="J316" s="1834">
        <v>0</v>
      </c>
      <c r="K316" s="1834">
        <v>0</v>
      </c>
      <c r="L316" s="1535">
        <f t="shared" si="42"/>
        <v>0</v>
      </c>
      <c r="N316" s="1536">
        <f>SUMIF(CF.2!$H$5:$H$25,CF.1!E316,CF.2!$J$5:$J$25)-SUMIF(CF.2!$K$5:$K$25,CF.1!E316,CF.2!$M$5:$M$25)</f>
        <v>0</v>
      </c>
      <c r="O316" s="1534">
        <f>SUMIF(CF.2!$H$31:$H$60,CF.1!E316,CF.2!$J$31:$J$60)+SUMIF(CF.2!$K$31:$K$60,CF.1!E316,CF.2!$M$31:$M$60)</f>
        <v>0</v>
      </c>
      <c r="P316" s="1534">
        <f>SUMIF(CF.2!$H$65:$H$108,CF.1!E316,CF.2!$J$65:$J$108)+SUMIF(CF.2!$K$65:$K$108,CF.1!E316,CF.2!$M$65:$M$108)</f>
        <v>0</v>
      </c>
      <c r="Q316" s="1534">
        <f>SUMIF(CF.2!$H$112:$H$118,CF.1!E316,CF.2!$J$112:$J$118)+SUMIF(CF.2!$K$112:$K$118,CF.1!E316,CF.2!$M$112:$M$118)</f>
        <v>0</v>
      </c>
      <c r="R316" s="1534">
        <f>SUMIF(CF.2!$H$123:$H$134,CF.1!E316,CF.2!$J$123:$J$134)+SUMIF(CF.2!$K$123:$K$134,CF.1!E316,CF.2!$M$123:$M$134)</f>
        <v>0</v>
      </c>
      <c r="S316" s="1535">
        <f t="shared" si="43"/>
        <v>0</v>
      </c>
      <c r="U316" s="1537">
        <f t="shared" si="44"/>
        <v>0</v>
      </c>
    </row>
    <row r="317" spans="3:21" ht="18" customHeight="1">
      <c r="C317" s="1364">
        <v>1</v>
      </c>
      <c r="D317" s="1532" t="s">
        <v>1266</v>
      </c>
      <c r="E317" s="1506" t="s">
        <v>1266</v>
      </c>
      <c r="F317" s="1533"/>
      <c r="G317" s="1506" t="s">
        <v>1267</v>
      </c>
      <c r="H317" s="1833">
        <v>0</v>
      </c>
      <c r="I317" s="1834">
        <v>0</v>
      </c>
      <c r="J317" s="1834">
        <v>0</v>
      </c>
      <c r="K317" s="1834">
        <v>0</v>
      </c>
      <c r="L317" s="1535">
        <f t="shared" si="42"/>
        <v>0</v>
      </c>
      <c r="N317" s="1536">
        <f>SUMIF(CF.2!$H$5:$H$25,CF.1!E317,CF.2!$J$5:$J$25)-SUMIF(CF.2!$K$5:$K$25,CF.1!E317,CF.2!$M$5:$M$25)</f>
        <v>0</v>
      </c>
      <c r="O317" s="1534">
        <f>SUMIF(CF.2!$H$31:$H$60,CF.1!E317,CF.2!$J$31:$J$60)+SUMIF(CF.2!$K$31:$K$60,CF.1!E317,CF.2!$M$31:$M$60)</f>
        <v>0</v>
      </c>
      <c r="P317" s="1534">
        <f>SUMIF(CF.2!$H$65:$H$108,CF.1!E317,CF.2!$J$65:$J$108)+SUMIF(CF.2!$K$65:$K$108,CF.1!E317,CF.2!$M$65:$M$108)</f>
        <v>0</v>
      </c>
      <c r="Q317" s="1534">
        <f>SUMIF(CF.2!$H$112:$H$118,CF.1!E317,CF.2!$J$112:$J$118)+SUMIF(CF.2!$K$112:$K$118,CF.1!E317,CF.2!$M$112:$M$118)</f>
        <v>0</v>
      </c>
      <c r="R317" s="1534">
        <f>SUMIF(CF.2!$H$123:$H$134,CF.1!E317,CF.2!$J$123:$J$134)+SUMIF(CF.2!$K$123:$K$134,CF.1!E317,CF.2!$M$123:$M$134)</f>
        <v>0</v>
      </c>
      <c r="S317" s="1535">
        <f t="shared" si="43"/>
        <v>0</v>
      </c>
      <c r="U317" s="1537">
        <f t="shared" si="44"/>
        <v>0</v>
      </c>
    </row>
    <row r="318" spans="3:21" ht="18" customHeight="1">
      <c r="C318" s="1364">
        <v>1</v>
      </c>
      <c r="D318" s="1532" t="s">
        <v>1268</v>
      </c>
      <c r="E318" s="1506" t="s">
        <v>1268</v>
      </c>
      <c r="F318" s="1533"/>
      <c r="G318" s="1506" t="s">
        <v>1269</v>
      </c>
      <c r="H318" s="1833">
        <v>0</v>
      </c>
      <c r="I318" s="1834">
        <v>0</v>
      </c>
      <c r="J318" s="1834">
        <v>0</v>
      </c>
      <c r="K318" s="1834">
        <v>0</v>
      </c>
      <c r="L318" s="1535">
        <f t="shared" si="42"/>
        <v>0</v>
      </c>
      <c r="N318" s="1536">
        <f>SUMIF(CF.2!$H$5:$H$25,CF.1!E318,CF.2!$J$5:$J$25)-SUMIF(CF.2!$K$5:$K$25,CF.1!E318,CF.2!$M$5:$M$25)</f>
        <v>0</v>
      </c>
      <c r="O318" s="1534">
        <f>SUMIF(CF.2!$H$31:$H$60,CF.1!E318,CF.2!$J$31:$J$60)+SUMIF(CF.2!$K$31:$K$60,CF.1!E318,CF.2!$M$31:$M$60)</f>
        <v>0</v>
      </c>
      <c r="P318" s="1534">
        <f>SUMIF(CF.2!$H$65:$H$108,CF.1!E318,CF.2!$J$65:$J$108)+SUMIF(CF.2!$K$65:$K$108,CF.1!E318,CF.2!$M$65:$M$108)</f>
        <v>0</v>
      </c>
      <c r="Q318" s="1534">
        <f>SUMIF(CF.2!$H$112:$H$118,CF.1!E318,CF.2!$J$112:$J$118)+SUMIF(CF.2!$K$112:$K$118,CF.1!E318,CF.2!$M$112:$M$118)</f>
        <v>0</v>
      </c>
      <c r="R318" s="1534">
        <f>SUMIF(CF.2!$H$123:$H$134,CF.1!E318,CF.2!$J$123:$J$134)+SUMIF(CF.2!$K$123:$K$134,CF.1!E318,CF.2!$M$123:$M$134)</f>
        <v>0</v>
      </c>
      <c r="S318" s="1535">
        <f t="shared" si="43"/>
        <v>0</v>
      </c>
      <c r="U318" s="1537">
        <f t="shared" si="44"/>
        <v>0</v>
      </c>
    </row>
    <row r="319" spans="3:21" ht="18" customHeight="1">
      <c r="C319" s="1364">
        <v>1</v>
      </c>
      <c r="D319" s="1532" t="s">
        <v>1270</v>
      </c>
      <c r="E319" s="1506" t="s">
        <v>1270</v>
      </c>
      <c r="F319" s="1533"/>
      <c r="G319" s="1506" t="s">
        <v>1271</v>
      </c>
      <c r="H319" s="1833">
        <v>0</v>
      </c>
      <c r="I319" s="1834">
        <v>0</v>
      </c>
      <c r="J319" s="1834">
        <v>0</v>
      </c>
      <c r="K319" s="1834">
        <v>0</v>
      </c>
      <c r="L319" s="1535">
        <f t="shared" si="42"/>
        <v>0</v>
      </c>
      <c r="N319" s="1536">
        <f>SUMIF(CF.2!$H$5:$H$25,CF.1!E319,CF.2!$J$5:$J$25)-SUMIF(CF.2!$K$5:$K$25,CF.1!E319,CF.2!$M$5:$M$25)</f>
        <v>0</v>
      </c>
      <c r="O319" s="1534">
        <f>SUMIF(CF.2!$H$31:$H$60,CF.1!E319,CF.2!$J$31:$J$60)+SUMIF(CF.2!$K$31:$K$60,CF.1!E319,CF.2!$M$31:$M$60)</f>
        <v>0</v>
      </c>
      <c r="P319" s="1534">
        <f>SUMIF(CF.2!$H$65:$H$108,CF.1!E319,CF.2!$J$65:$J$108)+SUMIF(CF.2!$K$65:$K$108,CF.1!E319,CF.2!$M$65:$M$108)</f>
        <v>0</v>
      </c>
      <c r="Q319" s="1534">
        <f>SUMIF(CF.2!$H$112:$H$118,CF.1!E319,CF.2!$J$112:$J$118)+SUMIF(CF.2!$K$112:$K$118,CF.1!E319,CF.2!$M$112:$M$118)</f>
        <v>0</v>
      </c>
      <c r="R319" s="1534">
        <f>SUMIF(CF.2!$H$123:$H$134,CF.1!E319,CF.2!$J$123:$J$134)+SUMIF(CF.2!$K$123:$K$134,CF.1!E319,CF.2!$M$123:$M$134)</f>
        <v>0</v>
      </c>
      <c r="S319" s="1535">
        <f t="shared" si="43"/>
        <v>0</v>
      </c>
      <c r="U319" s="1537">
        <f t="shared" si="44"/>
        <v>0</v>
      </c>
    </row>
    <row r="320" spans="3:21" ht="18" customHeight="1">
      <c r="C320" s="1364">
        <v>1</v>
      </c>
      <c r="D320" s="1532" t="s">
        <v>1272</v>
      </c>
      <c r="E320" s="1506" t="s">
        <v>1272</v>
      </c>
      <c r="F320" s="1533"/>
      <c r="G320" s="1506" t="s">
        <v>1273</v>
      </c>
      <c r="H320" s="1833">
        <v>0</v>
      </c>
      <c r="I320" s="1834">
        <v>0</v>
      </c>
      <c r="J320" s="1834">
        <v>0</v>
      </c>
      <c r="K320" s="1834">
        <v>0</v>
      </c>
      <c r="L320" s="1535">
        <f t="shared" si="42"/>
        <v>0</v>
      </c>
      <c r="N320" s="1536">
        <f>SUMIF(CF.2!$H$5:$H$25,CF.1!E320,CF.2!$J$5:$J$25)-SUMIF(CF.2!$K$5:$K$25,CF.1!E320,CF.2!$M$5:$M$25)</f>
        <v>0</v>
      </c>
      <c r="O320" s="1534">
        <f>SUMIF(CF.2!$H$31:$H$60,CF.1!E320,CF.2!$J$31:$J$60)+SUMIF(CF.2!$K$31:$K$60,CF.1!E320,CF.2!$M$31:$M$60)</f>
        <v>0</v>
      </c>
      <c r="P320" s="1534">
        <f>SUMIF(CF.2!$H$65:$H$108,CF.1!E320,CF.2!$J$65:$J$108)+SUMIF(CF.2!$K$65:$K$108,CF.1!E320,CF.2!$M$65:$M$108)</f>
        <v>0</v>
      </c>
      <c r="Q320" s="1534">
        <f>SUMIF(CF.2!$H$112:$H$118,CF.1!E320,CF.2!$J$112:$J$118)+SUMIF(CF.2!$K$112:$K$118,CF.1!E320,CF.2!$M$112:$M$118)</f>
        <v>0</v>
      </c>
      <c r="R320" s="1534">
        <f>SUMIF(CF.2!$H$123:$H$134,CF.1!E320,CF.2!$J$123:$J$134)+SUMIF(CF.2!$K$123:$K$134,CF.1!E320,CF.2!$M$123:$M$134)</f>
        <v>0</v>
      </c>
      <c r="S320" s="1535">
        <f t="shared" si="43"/>
        <v>0</v>
      </c>
      <c r="U320" s="1537">
        <f t="shared" si="44"/>
        <v>0</v>
      </c>
    </row>
    <row r="321" spans="3:23" ht="18" customHeight="1">
      <c r="C321" s="1364">
        <v>1</v>
      </c>
      <c r="D321" s="1532" t="s">
        <v>1274</v>
      </c>
      <c r="E321" s="1506" t="s">
        <v>1274</v>
      </c>
      <c r="F321" s="1533"/>
      <c r="G321" s="1506" t="s">
        <v>1275</v>
      </c>
      <c r="H321" s="1833">
        <v>0</v>
      </c>
      <c r="I321" s="1834">
        <v>0</v>
      </c>
      <c r="J321" s="1834">
        <v>0</v>
      </c>
      <c r="K321" s="1834">
        <v>0</v>
      </c>
      <c r="L321" s="1535">
        <f t="shared" si="42"/>
        <v>0</v>
      </c>
      <c r="N321" s="1536">
        <f>SUMIF(CF.2!$H$5:$H$25,CF.1!E321,CF.2!$J$5:$J$25)-SUMIF(CF.2!$K$5:$K$25,CF.1!E321,CF.2!$M$5:$M$25)</f>
        <v>0</v>
      </c>
      <c r="O321" s="1534">
        <f>SUMIF(CF.2!$H$31:$H$60,CF.1!E321,CF.2!$J$31:$J$60)+SUMIF(CF.2!$K$31:$K$60,CF.1!E321,CF.2!$M$31:$M$60)</f>
        <v>0</v>
      </c>
      <c r="P321" s="1534">
        <f>SUMIF(CF.2!$H$65:$H$108,CF.1!E321,CF.2!$J$65:$J$108)+SUMIF(CF.2!$K$65:$K$108,CF.1!E321,CF.2!$M$65:$M$108)</f>
        <v>0</v>
      </c>
      <c r="Q321" s="1534">
        <f>SUMIF(CF.2!$H$112:$H$118,CF.1!E321,CF.2!$J$112:$J$118)+SUMIF(CF.2!$K$112:$K$118,CF.1!E321,CF.2!$M$112:$M$118)</f>
        <v>0</v>
      </c>
      <c r="R321" s="1534">
        <f>SUMIF(CF.2!$H$123:$H$134,CF.1!E321,CF.2!$J$123:$J$134)+SUMIF(CF.2!$K$123:$K$134,CF.1!E321,CF.2!$M$123:$M$134)</f>
        <v>0</v>
      </c>
      <c r="S321" s="1535">
        <f t="shared" si="43"/>
        <v>0</v>
      </c>
      <c r="U321" s="1537">
        <f t="shared" si="44"/>
        <v>0</v>
      </c>
    </row>
    <row r="322" spans="3:23" ht="18" customHeight="1">
      <c r="C322" s="1364">
        <v>1</v>
      </c>
      <c r="D322" s="1532" t="s">
        <v>1276</v>
      </c>
      <c r="E322" s="1506" t="s">
        <v>1276</v>
      </c>
      <c r="F322" s="1533"/>
      <c r="G322" s="1506" t="s">
        <v>1277</v>
      </c>
      <c r="H322" s="1833">
        <v>0</v>
      </c>
      <c r="I322" s="1834">
        <v>0</v>
      </c>
      <c r="J322" s="1834">
        <v>0</v>
      </c>
      <c r="K322" s="1834">
        <v>0</v>
      </c>
      <c r="L322" s="1535">
        <f t="shared" si="42"/>
        <v>0</v>
      </c>
      <c r="N322" s="1536">
        <f>SUMIF(CF.2!$H$5:$H$25,CF.1!E322,CF.2!$J$5:$J$25)-SUMIF(CF.2!$K$5:$K$25,CF.1!E322,CF.2!$M$5:$M$25)</f>
        <v>0</v>
      </c>
      <c r="O322" s="1534">
        <f>SUMIF(CF.2!$H$31:$H$60,CF.1!E322,CF.2!$J$31:$J$60)+SUMIF(CF.2!$K$31:$K$60,CF.1!E322,CF.2!$M$31:$M$60)</f>
        <v>0</v>
      </c>
      <c r="P322" s="1534">
        <f>SUMIF(CF.2!$H$65:$H$108,CF.1!E322,CF.2!$J$65:$J$108)+SUMIF(CF.2!$K$65:$K$108,CF.1!E322,CF.2!$M$65:$M$108)</f>
        <v>0</v>
      </c>
      <c r="Q322" s="1534">
        <f>SUMIF(CF.2!$H$112:$H$118,CF.1!E322,CF.2!$J$112:$J$118)+SUMIF(CF.2!$K$112:$K$118,CF.1!E322,CF.2!$M$112:$M$118)</f>
        <v>0</v>
      </c>
      <c r="R322" s="1534">
        <f>SUMIF(CF.2!$H$123:$H$134,CF.1!E322,CF.2!$J$123:$J$134)+SUMIF(CF.2!$K$123:$K$134,CF.1!E322,CF.2!$M$123:$M$134)</f>
        <v>0</v>
      </c>
      <c r="S322" s="1535">
        <f t="shared" si="43"/>
        <v>0</v>
      </c>
      <c r="U322" s="1537">
        <f t="shared" si="44"/>
        <v>0</v>
      </c>
    </row>
    <row r="323" spans="3:23" ht="18" customHeight="1">
      <c r="C323" s="1364">
        <v>1</v>
      </c>
      <c r="D323" s="1525" t="s">
        <v>1278</v>
      </c>
      <c r="E323" s="1526" t="s">
        <v>1278</v>
      </c>
      <c r="F323" s="1527"/>
      <c r="G323" s="1526" t="s">
        <v>1279</v>
      </c>
      <c r="H323" s="1831">
        <f>SUM(H324:H342)</f>
        <v>-1752104948</v>
      </c>
      <c r="I323" s="1831">
        <f>SUM(I324:I342)</f>
        <v>-1640809534</v>
      </c>
      <c r="J323" s="1831">
        <f>SUM(J324:J342)</f>
        <v>-11628798</v>
      </c>
      <c r="K323" s="1831">
        <f>SUM(K324:K342)</f>
        <v>-177767642</v>
      </c>
      <c r="L323" s="1529">
        <f>SUM(L324:L342)</f>
        <v>-3582310922</v>
      </c>
      <c r="N323" s="1530">
        <f t="shared" ref="N323:S323" si="45">SUM(N324:N342)</f>
        <v>0</v>
      </c>
      <c r="O323" s="1528">
        <f t="shared" si="45"/>
        <v>0</v>
      </c>
      <c r="P323" s="1528">
        <f t="shared" si="45"/>
        <v>1500000000</v>
      </c>
      <c r="Q323" s="1528">
        <f t="shared" si="45"/>
        <v>0</v>
      </c>
      <c r="R323" s="1528">
        <f t="shared" si="45"/>
        <v>0</v>
      </c>
      <c r="S323" s="1529">
        <f t="shared" si="45"/>
        <v>1500000000</v>
      </c>
      <c r="U323" s="1531">
        <f>SUM(U324:U342)</f>
        <v>-2082310922</v>
      </c>
      <c r="V323" s="1364" t="b">
        <f>U323=SUM(U324:U342)</f>
        <v>1</v>
      </c>
    </row>
    <row r="324" spans="3:23" ht="18" customHeight="1">
      <c r="C324" s="1364">
        <v>1</v>
      </c>
      <c r="D324" s="1532" t="s">
        <v>1280</v>
      </c>
      <c r="E324" s="1506" t="s">
        <v>1280</v>
      </c>
      <c r="F324" s="1533" t="s">
        <v>1281</v>
      </c>
      <c r="G324" s="1506" t="s">
        <v>1281</v>
      </c>
      <c r="H324" s="1833">
        <v>0</v>
      </c>
      <c r="I324" s="1834">
        <v>-1500000000</v>
      </c>
      <c r="J324" s="1834">
        <v>0</v>
      </c>
      <c r="K324" s="1834">
        <v>0</v>
      </c>
      <c r="L324" s="1535">
        <f t="shared" ref="L324:L342" si="46">SUM(H324:K324)</f>
        <v>-1500000000</v>
      </c>
      <c r="N324" s="1536">
        <f>SUMIF(CF.2!$H$5:$H$25,CF.1!E324,CF.2!$J$5:$J$25)-SUMIF(CF.2!$K$5:$K$25,CF.1!E324,CF.2!$M$5:$M$25)</f>
        <v>0</v>
      </c>
      <c r="O324" s="1534">
        <f>SUMIF(CF.2!$H$31:$H$60,CF.1!E324,CF.2!$J$31:$J$60)+SUMIF(CF.2!$K$31:$K$60,CF.1!E324,CF.2!$M$31:$M$60)</f>
        <v>0</v>
      </c>
      <c r="P324" s="1540">
        <f>SUMIF(CF.2!$H$65:$H$108,CF.1!E324,CF.2!$J$65:$J$108)+SUMIF(CF.2!$K$65:$K$108,CF.1!E324,CF.2!$M$65:$M$108)</f>
        <v>1500000000</v>
      </c>
      <c r="Q324" s="1534">
        <f>SUMIF(CF.2!$H$112:$H$118,CF.1!E324,CF.2!$J$112:$J$118)+SUMIF(CF.2!$K$112:$K$118,CF.1!E324,CF.2!$M$112:$M$118)</f>
        <v>0</v>
      </c>
      <c r="R324" s="1534">
        <f>SUMIF(CF.2!$H$123:$H$134,CF.1!E324,CF.2!$J$123:$J$134)+SUMIF(CF.2!$K$123:$K$134,CF.1!E324,CF.2!$M$123:$M$134)</f>
        <v>0</v>
      </c>
      <c r="S324" s="1535">
        <f t="shared" ref="S324:S342" si="47">SUM(N324:R324)</f>
        <v>1500000000</v>
      </c>
      <c r="U324" s="1537">
        <f t="shared" ref="U324:U342" si="48">ROUND(S324+L324,0)</f>
        <v>0</v>
      </c>
      <c r="V324" s="1089"/>
      <c r="W324" s="925"/>
    </row>
    <row r="325" spans="3:23" ht="18" customHeight="1">
      <c r="C325" s="1364">
        <v>1</v>
      </c>
      <c r="D325" s="1532" t="s">
        <v>1282</v>
      </c>
      <c r="E325" s="1506" t="s">
        <v>1282</v>
      </c>
      <c r="F325" s="1533"/>
      <c r="G325" s="1506" t="s">
        <v>1283</v>
      </c>
      <c r="H325" s="1833">
        <v>0</v>
      </c>
      <c r="I325" s="1834">
        <v>0</v>
      </c>
      <c r="J325" s="1834">
        <v>0</v>
      </c>
      <c r="K325" s="1834">
        <v>0</v>
      </c>
      <c r="L325" s="1535">
        <f t="shared" si="46"/>
        <v>0</v>
      </c>
      <c r="N325" s="1536">
        <f>SUMIF(CF.2!$H$5:$H$25,CF.1!E325,CF.2!$J$5:$J$25)-SUMIF(CF.2!$K$5:$K$25,CF.1!E325,CF.2!$M$5:$M$25)</f>
        <v>0</v>
      </c>
      <c r="O325" s="1534">
        <f>SUMIF(CF.2!$H$31:$H$60,CF.1!E325,CF.2!$J$31:$J$60)+SUMIF(CF.2!$K$31:$K$60,CF.1!E325,CF.2!$M$31:$M$60)</f>
        <v>0</v>
      </c>
      <c r="P325" s="1534">
        <f>SUMIF(CF.2!$H$65:$H$108,CF.1!E325,CF.2!$J$65:$J$108)+SUMIF(CF.2!$K$65:$K$108,CF.1!E325,CF.2!$M$65:$M$108)</f>
        <v>0</v>
      </c>
      <c r="Q325" s="1534">
        <f>SUMIF(CF.2!$H$112:$H$118,CF.1!E325,CF.2!$J$112:$J$118)+SUMIF(CF.2!$K$112:$K$118,CF.1!E325,CF.2!$M$112:$M$118)</f>
        <v>0</v>
      </c>
      <c r="R325" s="1534">
        <f>SUMIF(CF.2!$H$123:$H$134,CF.1!E325,CF.2!$J$123:$J$134)+SUMIF(CF.2!$K$123:$K$134,CF.1!E325,CF.2!$M$123:$M$134)</f>
        <v>0</v>
      </c>
      <c r="S325" s="1535">
        <f t="shared" si="47"/>
        <v>0</v>
      </c>
      <c r="U325" s="1537">
        <f t="shared" si="48"/>
        <v>0</v>
      </c>
    </row>
    <row r="326" spans="3:23" ht="18" customHeight="1">
      <c r="C326" s="1364">
        <v>1</v>
      </c>
      <c r="D326" s="1532" t="s">
        <v>1284</v>
      </c>
      <c r="E326" s="1506" t="s">
        <v>1284</v>
      </c>
      <c r="F326" s="1533"/>
      <c r="G326" s="1506" t="s">
        <v>1285</v>
      </c>
      <c r="H326" s="1833">
        <v>0</v>
      </c>
      <c r="I326" s="1834">
        <v>0</v>
      </c>
      <c r="J326" s="1834">
        <v>0</v>
      </c>
      <c r="K326" s="1834">
        <v>0</v>
      </c>
      <c r="L326" s="1535">
        <f t="shared" si="46"/>
        <v>0</v>
      </c>
      <c r="N326" s="1536">
        <f>SUMIF(CF.2!$H$5:$H$25,CF.1!E326,CF.2!$J$5:$J$25)-SUMIF(CF.2!$K$5:$K$25,CF.1!E326,CF.2!$M$5:$M$25)</f>
        <v>0</v>
      </c>
      <c r="O326" s="1534">
        <f>SUMIF(CF.2!$H$31:$H$60,CF.1!E326,CF.2!$J$31:$J$60)+SUMIF(CF.2!$K$31:$K$60,CF.1!E326,CF.2!$M$31:$M$60)</f>
        <v>0</v>
      </c>
      <c r="P326" s="1534">
        <f>SUMIF(CF.2!$H$65:$H$108,CF.1!E326,CF.2!$J$65:$J$108)+SUMIF(CF.2!$K$65:$K$108,CF.1!E326,CF.2!$M$65:$M$108)</f>
        <v>0</v>
      </c>
      <c r="Q326" s="1534">
        <f>SUMIF(CF.2!$H$112:$H$118,CF.1!E326,CF.2!$J$112:$J$118)+SUMIF(CF.2!$K$112:$K$118,CF.1!E326,CF.2!$M$112:$M$118)</f>
        <v>0</v>
      </c>
      <c r="R326" s="1534">
        <f>SUMIF(CF.2!$H$123:$H$134,CF.1!E326,CF.2!$J$123:$J$134)+SUMIF(CF.2!$K$123:$K$134,CF.1!E326,CF.2!$M$123:$M$134)</f>
        <v>0</v>
      </c>
      <c r="S326" s="1535">
        <f t="shared" si="47"/>
        <v>0</v>
      </c>
      <c r="U326" s="1537">
        <f t="shared" si="48"/>
        <v>0</v>
      </c>
    </row>
    <row r="327" spans="3:23" ht="18" customHeight="1">
      <c r="C327" s="1364">
        <v>1</v>
      </c>
      <c r="D327" s="1532" t="s">
        <v>1286</v>
      </c>
      <c r="E327" s="1506" t="s">
        <v>1286</v>
      </c>
      <c r="F327" s="1533"/>
      <c r="G327" s="1506" t="s">
        <v>1287</v>
      </c>
      <c r="H327" s="1833">
        <v>0</v>
      </c>
      <c r="I327" s="1834">
        <v>0</v>
      </c>
      <c r="J327" s="1834">
        <v>0</v>
      </c>
      <c r="K327" s="1834">
        <v>0</v>
      </c>
      <c r="L327" s="1535">
        <f t="shared" si="46"/>
        <v>0</v>
      </c>
      <c r="N327" s="1536">
        <f>SUMIF(CF.2!$H$5:$H$25,CF.1!E327,CF.2!$J$5:$J$25)-SUMIF(CF.2!$K$5:$K$25,CF.1!E327,CF.2!$M$5:$M$25)</f>
        <v>0</v>
      </c>
      <c r="O327" s="1534">
        <f>SUMIF(CF.2!$H$31:$H$60,CF.1!E327,CF.2!$J$31:$J$60)+SUMIF(CF.2!$K$31:$K$60,CF.1!E327,CF.2!$M$31:$M$60)</f>
        <v>0</v>
      </c>
      <c r="P327" s="1534">
        <f>SUMIF(CF.2!$H$65:$H$108,CF.1!E327,CF.2!$J$65:$J$108)+SUMIF(CF.2!$K$65:$K$108,CF.1!E327,CF.2!$M$65:$M$108)</f>
        <v>0</v>
      </c>
      <c r="Q327" s="1534">
        <f>SUMIF(CF.2!$H$112:$H$118,CF.1!E327,CF.2!$J$112:$J$118)+SUMIF(CF.2!$K$112:$K$118,CF.1!E327,CF.2!$M$112:$M$118)</f>
        <v>0</v>
      </c>
      <c r="R327" s="1534">
        <f>SUMIF(CF.2!$H$123:$H$134,CF.1!E327,CF.2!$J$123:$J$134)+SUMIF(CF.2!$K$123:$K$134,CF.1!E327,CF.2!$M$123:$M$134)</f>
        <v>0</v>
      </c>
      <c r="S327" s="1535">
        <f t="shared" si="47"/>
        <v>0</v>
      </c>
      <c r="U327" s="1537">
        <f t="shared" si="48"/>
        <v>0</v>
      </c>
    </row>
    <row r="328" spans="3:23" ht="18" customHeight="1">
      <c r="C328" s="1364">
        <v>1</v>
      </c>
      <c r="D328" s="1532" t="s">
        <v>1288</v>
      </c>
      <c r="E328" s="1506" t="s">
        <v>1288</v>
      </c>
      <c r="F328" s="1533"/>
      <c r="G328" s="1506" t="s">
        <v>1289</v>
      </c>
      <c r="H328" s="1833">
        <v>0</v>
      </c>
      <c r="I328" s="1834">
        <v>0</v>
      </c>
      <c r="J328" s="1834">
        <v>0</v>
      </c>
      <c r="K328" s="1834">
        <v>0</v>
      </c>
      <c r="L328" s="1535">
        <f t="shared" si="46"/>
        <v>0</v>
      </c>
      <c r="N328" s="1536">
        <f>SUMIF(CF.2!$H$5:$H$25,CF.1!E328,CF.2!$J$5:$J$25)-SUMIF(CF.2!$K$5:$K$25,CF.1!E328,CF.2!$M$5:$M$25)</f>
        <v>0</v>
      </c>
      <c r="O328" s="1534">
        <f>SUMIF(CF.2!$H$31:$H$60,CF.1!E328,CF.2!$J$31:$J$60)+SUMIF(CF.2!$K$31:$K$60,CF.1!E328,CF.2!$M$31:$M$60)</f>
        <v>0</v>
      </c>
      <c r="P328" s="1534">
        <f>SUMIF(CF.2!$H$65:$H$108,CF.1!E328,CF.2!$J$65:$J$108)+SUMIF(CF.2!$K$65:$K$108,CF.1!E328,CF.2!$M$65:$M$108)</f>
        <v>0</v>
      </c>
      <c r="Q328" s="1534">
        <f>SUMIF(CF.2!$H$112:$H$118,CF.1!E328,CF.2!$J$112:$J$118)+SUMIF(CF.2!$K$112:$K$118,CF.1!E328,CF.2!$M$112:$M$118)</f>
        <v>0</v>
      </c>
      <c r="R328" s="1534">
        <f>SUMIF(CF.2!$H$123:$H$134,CF.1!E328,CF.2!$J$123:$J$134)+SUMIF(CF.2!$K$123:$K$134,CF.1!E328,CF.2!$M$123:$M$134)</f>
        <v>0</v>
      </c>
      <c r="S328" s="1535">
        <f t="shared" si="47"/>
        <v>0</v>
      </c>
      <c r="U328" s="1537">
        <f t="shared" si="48"/>
        <v>0</v>
      </c>
    </row>
    <row r="329" spans="3:23" ht="18" customHeight="1">
      <c r="C329" s="1364">
        <v>1</v>
      </c>
      <c r="D329" s="1532" t="s">
        <v>1290</v>
      </c>
      <c r="E329" s="1506" t="s">
        <v>1290</v>
      </c>
      <c r="F329" s="1533"/>
      <c r="G329" s="1506" t="s">
        <v>1291</v>
      </c>
      <c r="H329" s="1833">
        <v>0</v>
      </c>
      <c r="I329" s="1834">
        <v>0</v>
      </c>
      <c r="J329" s="1834">
        <v>0</v>
      </c>
      <c r="K329" s="1834">
        <v>0</v>
      </c>
      <c r="L329" s="1535">
        <f t="shared" si="46"/>
        <v>0</v>
      </c>
      <c r="N329" s="1536">
        <f>SUMIF(CF.2!$H$5:$H$25,CF.1!E329,CF.2!$J$5:$J$25)-SUMIF(CF.2!$K$5:$K$25,CF.1!E329,CF.2!$M$5:$M$25)</f>
        <v>0</v>
      </c>
      <c r="O329" s="1534">
        <f>SUMIF(CF.2!$H$31:$H$60,CF.1!E329,CF.2!$J$31:$J$60)+SUMIF(CF.2!$K$31:$K$60,CF.1!E329,CF.2!$M$31:$M$60)</f>
        <v>0</v>
      </c>
      <c r="P329" s="1534">
        <f>SUMIF(CF.2!$H$65:$H$108,CF.1!E329,CF.2!$J$65:$J$108)+SUMIF(CF.2!$K$65:$K$108,CF.1!E329,CF.2!$M$65:$M$108)</f>
        <v>0</v>
      </c>
      <c r="Q329" s="1534">
        <f>SUMIF(CF.2!$H$112:$H$118,CF.1!E329,CF.2!$J$112:$J$118)+SUMIF(CF.2!$K$112:$K$118,CF.1!E329,CF.2!$M$112:$M$118)</f>
        <v>0</v>
      </c>
      <c r="R329" s="1534">
        <f>SUMIF(CF.2!$H$123:$H$134,CF.1!E329,CF.2!$J$123:$J$134)+SUMIF(CF.2!$K$123:$K$134,CF.1!E329,CF.2!$M$123:$M$134)</f>
        <v>0</v>
      </c>
      <c r="S329" s="1535">
        <f t="shared" si="47"/>
        <v>0</v>
      </c>
      <c r="U329" s="1537">
        <f t="shared" si="48"/>
        <v>0</v>
      </c>
    </row>
    <row r="330" spans="3:23" ht="18" customHeight="1">
      <c r="C330" s="1364">
        <v>1</v>
      </c>
      <c r="D330" s="1532" t="s">
        <v>1292</v>
      </c>
      <c r="E330" s="1506" t="s">
        <v>1292</v>
      </c>
      <c r="F330" s="1533"/>
      <c r="G330" s="1506" t="s">
        <v>1140</v>
      </c>
      <c r="H330" s="1833">
        <v>0</v>
      </c>
      <c r="I330" s="1834">
        <v>0</v>
      </c>
      <c r="J330" s="1834">
        <v>0</v>
      </c>
      <c r="K330" s="1834">
        <v>0</v>
      </c>
      <c r="L330" s="1535">
        <f t="shared" si="46"/>
        <v>0</v>
      </c>
      <c r="N330" s="1536">
        <f>SUMIF(CF.2!$H$5:$H$25,CF.1!E330,CF.2!$J$5:$J$25)-SUMIF(CF.2!$K$5:$K$25,CF.1!E330,CF.2!$M$5:$M$25)</f>
        <v>0</v>
      </c>
      <c r="O330" s="1534">
        <f>SUMIF(CF.2!$H$31:$H$60,CF.1!E330,CF.2!$J$31:$J$60)+SUMIF(CF.2!$K$31:$K$60,CF.1!E330,CF.2!$M$31:$M$60)</f>
        <v>0</v>
      </c>
      <c r="P330" s="1534">
        <f>SUMIF(CF.2!$H$65:$H$108,CF.1!E330,CF.2!$J$65:$J$108)+SUMIF(CF.2!$K$65:$K$108,CF.1!E330,CF.2!$M$65:$M$108)</f>
        <v>0</v>
      </c>
      <c r="Q330" s="1534">
        <f>SUMIF(CF.2!$H$112:$H$118,CF.1!E330,CF.2!$J$112:$J$118)+SUMIF(CF.2!$K$112:$K$118,CF.1!E330,CF.2!$M$112:$M$118)</f>
        <v>0</v>
      </c>
      <c r="R330" s="1534">
        <f>SUMIF(CF.2!$H$123:$H$134,CF.1!E330,CF.2!$J$123:$J$134)+SUMIF(CF.2!$K$123:$K$134,CF.1!E330,CF.2!$M$123:$M$134)</f>
        <v>0</v>
      </c>
      <c r="S330" s="1535">
        <f t="shared" si="47"/>
        <v>0</v>
      </c>
      <c r="U330" s="1537">
        <f t="shared" si="48"/>
        <v>0</v>
      </c>
    </row>
    <row r="331" spans="3:23" ht="18" customHeight="1">
      <c r="C331" s="1364">
        <v>1</v>
      </c>
      <c r="D331" s="1532" t="s">
        <v>1293</v>
      </c>
      <c r="E331" s="1506" t="s">
        <v>1370</v>
      </c>
      <c r="F331" s="1533"/>
      <c r="G331" s="1506" t="s">
        <v>1372</v>
      </c>
      <c r="H331" s="1833">
        <v>0</v>
      </c>
      <c r="I331" s="1834">
        <v>0</v>
      </c>
      <c r="J331" s="1834">
        <v>0</v>
      </c>
      <c r="K331" s="1834">
        <v>0</v>
      </c>
      <c r="L331" s="1535">
        <f t="shared" si="46"/>
        <v>0</v>
      </c>
      <c r="N331" s="1536">
        <f>SUMIF(CF.2!$H$5:$H$25,CF.1!E331,CF.2!$J$5:$J$25)-SUMIF(CF.2!$K$5:$K$25,CF.1!E331,CF.2!$M$5:$M$25)</f>
        <v>0</v>
      </c>
      <c r="O331" s="1534">
        <f>SUMIF(CF.2!$H$31:$H$60,CF.1!E331,CF.2!$J$31:$J$60)+SUMIF(CF.2!$K$31:$K$60,CF.1!E331,CF.2!$M$31:$M$60)</f>
        <v>0</v>
      </c>
      <c r="P331" s="1534">
        <f>SUMIF(CF.2!$H$65:$H$108,CF.1!E331,CF.2!$J$65:$J$108)+SUMIF(CF.2!$K$65:$K$108,CF.1!E331,CF.2!$M$65:$M$108)</f>
        <v>0</v>
      </c>
      <c r="Q331" s="1534">
        <f>SUMIF(CF.2!$H$112:$H$118,CF.1!E331,CF.2!$J$112:$J$118)+SUMIF(CF.2!$K$112:$K$118,CF.1!E331,CF.2!$M$112:$M$118)</f>
        <v>0</v>
      </c>
      <c r="R331" s="1534">
        <f>SUMIF(CF.2!$H$123:$H$134,CF.1!E331,CF.2!$J$123:$J$134)+SUMIF(CF.2!$K$123:$K$134,CF.1!E331,CF.2!$M$123:$M$134)</f>
        <v>0</v>
      </c>
      <c r="S331" s="1535">
        <f t="shared" si="47"/>
        <v>0</v>
      </c>
      <c r="U331" s="1537">
        <f t="shared" si="48"/>
        <v>0</v>
      </c>
    </row>
    <row r="332" spans="3:23" ht="18" customHeight="1">
      <c r="C332" s="1364">
        <v>1</v>
      </c>
      <c r="D332" s="1532" t="s">
        <v>1293</v>
      </c>
      <c r="E332" s="1506" t="s">
        <v>1371</v>
      </c>
      <c r="F332" s="1533"/>
      <c r="G332" s="1506" t="s">
        <v>1373</v>
      </c>
      <c r="H332" s="1833">
        <v>0</v>
      </c>
      <c r="I332" s="1834">
        <v>0</v>
      </c>
      <c r="J332" s="1834">
        <v>0</v>
      </c>
      <c r="K332" s="1834">
        <v>0</v>
      </c>
      <c r="L332" s="1535">
        <f t="shared" si="46"/>
        <v>0</v>
      </c>
      <c r="N332" s="1536">
        <f>SUMIF(CF.2!$H$5:$H$25,CF.1!E332,CF.2!$J$5:$J$25)-SUMIF(CF.2!$K$5:$K$25,CF.1!E332,CF.2!$M$5:$M$25)</f>
        <v>0</v>
      </c>
      <c r="O332" s="1534">
        <f>SUMIF(CF.2!$H$31:$H$60,CF.1!E332,CF.2!$J$31:$J$60)+SUMIF(CF.2!$K$31:$K$60,CF.1!E332,CF.2!$M$31:$M$60)</f>
        <v>0</v>
      </c>
      <c r="P332" s="1534">
        <f>SUMIF(CF.2!$H$65:$H$108,CF.1!E332,CF.2!$J$65:$J$108)+SUMIF(CF.2!$K$65:$K$108,CF.1!E332,CF.2!$M$65:$M$108)</f>
        <v>0</v>
      </c>
      <c r="Q332" s="1534">
        <f>SUMIF(CF.2!$H$112:$H$118,CF.1!E332,CF.2!$J$112:$J$118)+SUMIF(CF.2!$K$112:$K$118,CF.1!E332,CF.2!$M$112:$M$118)</f>
        <v>0</v>
      </c>
      <c r="R332" s="1534">
        <f>SUMIF(CF.2!$H$123:$H$134,CF.1!E332,CF.2!$J$123:$J$134)+SUMIF(CF.2!$K$123:$K$134,CF.1!E332,CF.2!$M$123:$M$134)</f>
        <v>0</v>
      </c>
      <c r="S332" s="1535">
        <f t="shared" si="47"/>
        <v>0</v>
      </c>
      <c r="U332" s="1537">
        <f t="shared" si="48"/>
        <v>0</v>
      </c>
    </row>
    <row r="333" spans="3:23" ht="18" customHeight="1">
      <c r="C333" s="1364">
        <v>1</v>
      </c>
      <c r="D333" s="1532" t="s">
        <v>1294</v>
      </c>
      <c r="E333" s="1506" t="s">
        <v>1294</v>
      </c>
      <c r="F333" s="1533"/>
      <c r="G333" s="1506" t="s">
        <v>1295</v>
      </c>
      <c r="H333" s="1833">
        <v>0</v>
      </c>
      <c r="I333" s="1834">
        <v>0</v>
      </c>
      <c r="J333" s="1834">
        <v>0</v>
      </c>
      <c r="K333" s="1834">
        <v>0</v>
      </c>
      <c r="L333" s="1535">
        <f t="shared" si="46"/>
        <v>0</v>
      </c>
      <c r="N333" s="1536">
        <f>SUMIF(CF.2!$H$5:$H$25,CF.1!E333,CF.2!$J$5:$J$25)-SUMIF(CF.2!$K$5:$K$25,CF.1!E333,CF.2!$M$5:$M$25)</f>
        <v>0</v>
      </c>
      <c r="O333" s="1534">
        <f>SUMIF(CF.2!$H$31:$H$60,CF.1!E333,CF.2!$J$31:$J$60)+SUMIF(CF.2!$K$31:$K$60,CF.1!E333,CF.2!$M$31:$M$60)</f>
        <v>0</v>
      </c>
      <c r="P333" s="1534">
        <f>SUMIF(CF.2!$H$65:$H$108,CF.1!E333,CF.2!$J$65:$J$108)+SUMIF(CF.2!$K$65:$K$108,CF.1!E333,CF.2!$M$65:$M$108)</f>
        <v>0</v>
      </c>
      <c r="Q333" s="1534">
        <f>SUMIF(CF.2!$H$112:$H$118,CF.1!E333,CF.2!$J$112:$J$118)+SUMIF(CF.2!$K$112:$K$118,CF.1!E333,CF.2!$M$112:$M$118)</f>
        <v>0</v>
      </c>
      <c r="R333" s="1534">
        <f>SUMIF(CF.2!$H$123:$H$134,CF.1!E333,CF.2!$J$123:$J$134)+SUMIF(CF.2!$K$123:$K$134,CF.1!E333,CF.2!$M$123:$M$134)</f>
        <v>0</v>
      </c>
      <c r="S333" s="1535">
        <f t="shared" si="47"/>
        <v>0</v>
      </c>
      <c r="U333" s="1537">
        <f t="shared" si="48"/>
        <v>0</v>
      </c>
    </row>
    <row r="334" spans="3:23" ht="18" customHeight="1">
      <c r="C334" s="1364">
        <v>1</v>
      </c>
      <c r="D334" s="1532" t="s">
        <v>1296</v>
      </c>
      <c r="E334" s="1506" t="s">
        <v>1296</v>
      </c>
      <c r="F334" s="1533"/>
      <c r="G334" s="1506" t="s">
        <v>1297</v>
      </c>
      <c r="H334" s="1833">
        <v>0</v>
      </c>
      <c r="I334" s="1834">
        <v>0</v>
      </c>
      <c r="J334" s="1834">
        <v>0</v>
      </c>
      <c r="K334" s="1834">
        <v>0</v>
      </c>
      <c r="L334" s="1535">
        <f t="shared" si="46"/>
        <v>0</v>
      </c>
      <c r="N334" s="1536">
        <f>SUMIF(CF.2!$H$5:$H$25,CF.1!E334,CF.2!$J$5:$J$25)-SUMIF(CF.2!$K$5:$K$25,CF.1!E334,CF.2!$M$5:$M$25)</f>
        <v>0</v>
      </c>
      <c r="O334" s="1534">
        <f>SUMIF(CF.2!$H$31:$H$60,CF.1!E334,CF.2!$J$31:$J$60)+SUMIF(CF.2!$K$31:$K$60,CF.1!E334,CF.2!$M$31:$M$60)</f>
        <v>0</v>
      </c>
      <c r="P334" s="1534">
        <f>SUMIF(CF.2!$H$65:$H$108,CF.1!E334,CF.2!$J$65:$J$108)+SUMIF(CF.2!$K$65:$K$108,CF.1!E334,CF.2!$M$65:$M$108)</f>
        <v>0</v>
      </c>
      <c r="Q334" s="1534">
        <f>SUMIF(CF.2!$H$112:$H$118,CF.1!E334,CF.2!$J$112:$J$118)+SUMIF(CF.2!$K$112:$K$118,CF.1!E334,CF.2!$M$112:$M$118)</f>
        <v>0</v>
      </c>
      <c r="R334" s="1534">
        <f>SUMIF(CF.2!$H$123:$H$134,CF.1!E334,CF.2!$J$123:$J$134)+SUMIF(CF.2!$K$123:$K$134,CF.1!E334,CF.2!$M$123:$M$134)</f>
        <v>0</v>
      </c>
      <c r="S334" s="1535">
        <f t="shared" si="47"/>
        <v>0</v>
      </c>
      <c r="U334" s="1537">
        <f t="shared" si="48"/>
        <v>0</v>
      </c>
    </row>
    <row r="335" spans="3:23" ht="18" customHeight="1">
      <c r="C335" s="1364">
        <v>1</v>
      </c>
      <c r="D335" s="1532" t="s">
        <v>1298</v>
      </c>
      <c r="E335" s="1506" t="s">
        <v>1298</v>
      </c>
      <c r="F335" s="1533"/>
      <c r="G335" s="1506" t="s">
        <v>1299</v>
      </c>
      <c r="H335" s="1833">
        <v>0</v>
      </c>
      <c r="I335" s="1834">
        <v>0</v>
      </c>
      <c r="J335" s="1834">
        <v>0</v>
      </c>
      <c r="K335" s="1834">
        <v>0</v>
      </c>
      <c r="L335" s="1535">
        <f t="shared" si="46"/>
        <v>0</v>
      </c>
      <c r="N335" s="1536">
        <f>SUMIF(CF.2!$H$5:$H$25,CF.1!E335,CF.2!$J$5:$J$25)-SUMIF(CF.2!$K$5:$K$25,CF.1!E335,CF.2!$M$5:$M$25)</f>
        <v>0</v>
      </c>
      <c r="O335" s="1534">
        <f>SUMIF(CF.2!$H$31:$H$60,CF.1!E335,CF.2!$J$31:$J$60)+SUMIF(CF.2!$K$31:$K$60,CF.1!E335,CF.2!$M$31:$M$60)</f>
        <v>0</v>
      </c>
      <c r="P335" s="1534">
        <f>SUMIF(CF.2!$H$65:$H$108,CF.1!E335,CF.2!$J$65:$J$108)+SUMIF(CF.2!$K$65:$K$108,CF.1!E335,CF.2!$M$65:$M$108)</f>
        <v>0</v>
      </c>
      <c r="Q335" s="1534">
        <f>SUMIF(CF.2!$H$112:$H$118,CF.1!E335,CF.2!$J$112:$J$118)+SUMIF(CF.2!$K$112:$K$118,CF.1!E335,CF.2!$M$112:$M$118)</f>
        <v>0</v>
      </c>
      <c r="R335" s="1534">
        <f>SUMIF(CF.2!$H$123:$H$134,CF.1!E335,CF.2!$J$123:$J$134)+SUMIF(CF.2!$K$123:$K$134,CF.1!E335,CF.2!$M$123:$M$134)</f>
        <v>0</v>
      </c>
      <c r="S335" s="1535">
        <f t="shared" si="47"/>
        <v>0</v>
      </c>
      <c r="U335" s="1537">
        <f t="shared" si="48"/>
        <v>0</v>
      </c>
    </row>
    <row r="336" spans="3:23" ht="18" customHeight="1">
      <c r="C336" s="1364">
        <v>1</v>
      </c>
      <c r="D336" s="1532" t="s">
        <v>1300</v>
      </c>
      <c r="E336" s="1506" t="s">
        <v>1300</v>
      </c>
      <c r="F336" s="1533"/>
      <c r="G336" s="1506" t="s">
        <v>1301</v>
      </c>
      <c r="H336" s="1833">
        <v>0</v>
      </c>
      <c r="I336" s="1834">
        <v>0</v>
      </c>
      <c r="J336" s="1834">
        <v>0</v>
      </c>
      <c r="K336" s="1834">
        <v>0</v>
      </c>
      <c r="L336" s="1535">
        <f t="shared" si="46"/>
        <v>0</v>
      </c>
      <c r="N336" s="1536">
        <f>SUMIF(CF.2!$H$5:$H$25,CF.1!E336,CF.2!$J$5:$J$25)-SUMIF(CF.2!$K$5:$K$25,CF.1!E336,CF.2!$M$5:$M$25)</f>
        <v>0</v>
      </c>
      <c r="O336" s="1534">
        <f>SUMIF(CF.2!$H$31:$H$60,CF.1!E336,CF.2!$J$31:$J$60)+SUMIF(CF.2!$K$31:$K$60,CF.1!E336,CF.2!$M$31:$M$60)</f>
        <v>0</v>
      </c>
      <c r="P336" s="1534">
        <f>SUMIF(CF.2!$H$65:$H$108,CF.1!E336,CF.2!$J$65:$J$108)+SUMIF(CF.2!$K$65:$K$108,CF.1!E336,CF.2!$M$65:$M$108)</f>
        <v>0</v>
      </c>
      <c r="Q336" s="1534">
        <f>SUMIF(CF.2!$H$112:$H$118,CF.1!E336,CF.2!$J$112:$J$118)+SUMIF(CF.2!$K$112:$K$118,CF.1!E336,CF.2!$M$112:$M$118)</f>
        <v>0</v>
      </c>
      <c r="R336" s="1534">
        <f>SUMIF(CF.2!$H$123:$H$134,CF.1!E336,CF.2!$J$123:$J$134)+SUMIF(CF.2!$K$123:$K$134,CF.1!E336,CF.2!$M$123:$M$134)</f>
        <v>0</v>
      </c>
      <c r="S336" s="1535">
        <f t="shared" si="47"/>
        <v>0</v>
      </c>
      <c r="U336" s="1537">
        <f t="shared" si="48"/>
        <v>0</v>
      </c>
    </row>
    <row r="337" spans="3:23" ht="18" customHeight="1">
      <c r="C337" s="1364">
        <v>1</v>
      </c>
      <c r="D337" s="1532" t="s">
        <v>1302</v>
      </c>
      <c r="E337" s="1506" t="s">
        <v>1302</v>
      </c>
      <c r="F337" s="1533"/>
      <c r="G337" s="1506" t="s">
        <v>1303</v>
      </c>
      <c r="H337" s="1833">
        <v>0</v>
      </c>
      <c r="I337" s="1834">
        <v>0</v>
      </c>
      <c r="J337" s="1834">
        <v>0</v>
      </c>
      <c r="K337" s="1834">
        <v>0</v>
      </c>
      <c r="L337" s="1535">
        <f t="shared" si="46"/>
        <v>0</v>
      </c>
      <c r="N337" s="1536">
        <f>SUMIF(CF.2!$H$5:$H$25,CF.1!E337,CF.2!$J$5:$J$25)-SUMIF(CF.2!$K$5:$K$25,CF.1!E337,CF.2!$M$5:$M$25)</f>
        <v>0</v>
      </c>
      <c r="O337" s="1534">
        <f>SUMIF(CF.2!$H$31:$H$60,CF.1!E337,CF.2!$J$31:$J$60)+SUMIF(CF.2!$K$31:$K$60,CF.1!E337,CF.2!$M$31:$M$60)</f>
        <v>0</v>
      </c>
      <c r="P337" s="1534">
        <f>SUMIF(CF.2!$H$65:$H$108,CF.1!E337,CF.2!$J$65:$J$108)+SUMIF(CF.2!$K$65:$K$108,CF.1!E337,CF.2!$M$65:$M$108)</f>
        <v>0</v>
      </c>
      <c r="Q337" s="1534">
        <f>SUMIF(CF.2!$H$112:$H$118,CF.1!E337,CF.2!$J$112:$J$118)+SUMIF(CF.2!$K$112:$K$118,CF.1!E337,CF.2!$M$112:$M$118)</f>
        <v>0</v>
      </c>
      <c r="R337" s="1534">
        <f>SUMIF(CF.2!$H$123:$H$134,CF.1!E337,CF.2!$J$123:$J$134)+SUMIF(CF.2!$K$123:$K$134,CF.1!E337,CF.2!$M$123:$M$134)</f>
        <v>0</v>
      </c>
      <c r="S337" s="1535">
        <f t="shared" si="47"/>
        <v>0</v>
      </c>
      <c r="U337" s="1537">
        <f t="shared" si="48"/>
        <v>0</v>
      </c>
    </row>
    <row r="338" spans="3:23" ht="18" customHeight="1">
      <c r="C338" s="1364">
        <v>1</v>
      </c>
      <c r="D338" s="1532" t="s">
        <v>1304</v>
      </c>
      <c r="E338" s="1506" t="s">
        <v>1304</v>
      </c>
      <c r="F338" s="1533"/>
      <c r="G338" s="1506" t="s">
        <v>1305</v>
      </c>
      <c r="H338" s="1833">
        <v>0</v>
      </c>
      <c r="I338" s="1834">
        <v>0</v>
      </c>
      <c r="J338" s="1834">
        <v>0</v>
      </c>
      <c r="K338" s="1834">
        <v>0</v>
      </c>
      <c r="L338" s="1535">
        <f t="shared" si="46"/>
        <v>0</v>
      </c>
      <c r="N338" s="1536">
        <f>SUMIF(CF.2!$H$5:$H$25,CF.1!E338,CF.2!$J$5:$J$25)-SUMIF(CF.2!$K$5:$K$25,CF.1!E338,CF.2!$M$5:$M$25)</f>
        <v>0</v>
      </c>
      <c r="O338" s="1534">
        <f>SUMIF(CF.2!$H$31:$H$60,CF.1!E338,CF.2!$J$31:$J$60)+SUMIF(CF.2!$K$31:$K$60,CF.1!E338,CF.2!$M$31:$M$60)</f>
        <v>0</v>
      </c>
      <c r="P338" s="1534">
        <f>SUMIF(CF.2!$H$65:$H$108,CF.1!E338,CF.2!$J$65:$J$108)+SUMIF(CF.2!$K$65:$K$108,CF.1!E338,CF.2!$M$65:$M$108)</f>
        <v>0</v>
      </c>
      <c r="Q338" s="1534">
        <f>SUMIF(CF.2!$H$112:$H$118,CF.1!E338,CF.2!$J$112:$J$118)+SUMIF(CF.2!$K$112:$K$118,CF.1!E338,CF.2!$M$112:$M$118)</f>
        <v>0</v>
      </c>
      <c r="R338" s="1534">
        <f>SUMIF(CF.2!$H$123:$H$134,CF.1!E338,CF.2!$J$123:$J$134)+SUMIF(CF.2!$K$123:$K$134,CF.1!E338,CF.2!$M$123:$M$134)</f>
        <v>0</v>
      </c>
      <c r="S338" s="1535">
        <f t="shared" si="47"/>
        <v>0</v>
      </c>
      <c r="U338" s="1537">
        <f t="shared" si="48"/>
        <v>0</v>
      </c>
    </row>
    <row r="339" spans="3:23" ht="18" customHeight="1">
      <c r="C339" s="1364">
        <v>1</v>
      </c>
      <c r="D339" s="1532" t="s">
        <v>1306</v>
      </c>
      <c r="E339" s="1506" t="s">
        <v>1306</v>
      </c>
      <c r="F339" s="1533" t="s">
        <v>2554</v>
      </c>
      <c r="G339" s="1506" t="s">
        <v>2553</v>
      </c>
      <c r="H339" s="1833">
        <v>-1752104948</v>
      </c>
      <c r="I339" s="1834">
        <v>-140809534</v>
      </c>
      <c r="J339" s="1834">
        <v>-11628798</v>
      </c>
      <c r="K339" s="1834">
        <v>-177767642</v>
      </c>
      <c r="L339" s="1535">
        <f t="shared" si="46"/>
        <v>-2082310922</v>
      </c>
      <c r="N339" s="1536">
        <f>SUMIF(CF.2!$H$5:$H$25,CF.1!E339,CF.2!$J$5:$J$25)-SUMIF(CF.2!$K$5:$K$25,CF.1!E339,CF.2!$M$5:$M$25)</f>
        <v>0</v>
      </c>
      <c r="O339" s="1534">
        <f>SUMIF(CF.2!$H$31:$H$60,CF.1!E339,CF.2!$J$31:$J$60)+SUMIF(CF.2!$K$31:$K$60,CF.1!E339,CF.2!$M$31:$M$60)</f>
        <v>0</v>
      </c>
      <c r="P339" s="1534">
        <f>SUMIF(CF.2!$H$65:$H$108,CF.1!E339,CF.2!$J$65:$J$108)+SUMIF(CF.2!$K$65:$K$108,CF.1!E339,CF.2!$M$65:$M$108)</f>
        <v>0</v>
      </c>
      <c r="Q339" s="1534">
        <f>SUMIF(CF.2!$H$112:$H$118,CF.1!E339,CF.2!$J$112:$J$118)+SUMIF(CF.2!$K$112:$K$118,CF.1!E339,CF.2!$M$112:$M$118)</f>
        <v>0</v>
      </c>
      <c r="R339" s="1534">
        <f>SUMIF(CF.2!$H$123:$H$134,CF.1!E339,CF.2!$J$123:$J$134)+SUMIF(CF.2!$K$123:$K$134,CF.1!E339,CF.2!$M$123:$M$134)</f>
        <v>0</v>
      </c>
      <c r="S339" s="1535">
        <f t="shared" si="47"/>
        <v>0</v>
      </c>
      <c r="U339" s="1537">
        <f t="shared" si="48"/>
        <v>-2082310922</v>
      </c>
    </row>
    <row r="340" spans="3:23" ht="18" customHeight="1">
      <c r="C340" s="1364">
        <v>1</v>
      </c>
      <c r="D340" s="1532" t="s">
        <v>1308</v>
      </c>
      <c r="E340" s="1506" t="s">
        <v>1308</v>
      </c>
      <c r="F340" s="1533"/>
      <c r="G340" s="1506" t="s">
        <v>1309</v>
      </c>
      <c r="H340" s="1833">
        <v>0</v>
      </c>
      <c r="I340" s="1834">
        <v>0</v>
      </c>
      <c r="J340" s="1834">
        <v>0</v>
      </c>
      <c r="K340" s="1834">
        <v>0</v>
      </c>
      <c r="L340" s="1535">
        <f t="shared" si="46"/>
        <v>0</v>
      </c>
      <c r="N340" s="1536">
        <f>SUMIF(CF.2!$H$5:$H$25,CF.1!E340,CF.2!$J$5:$J$25)-SUMIF(CF.2!$K$5:$K$25,CF.1!E340,CF.2!$M$5:$M$25)</f>
        <v>0</v>
      </c>
      <c r="O340" s="1534">
        <f>SUMIF(CF.2!$H$31:$H$60,CF.1!E340,CF.2!$J$31:$J$60)+SUMIF(CF.2!$K$31:$K$60,CF.1!E340,CF.2!$M$31:$M$60)</f>
        <v>0</v>
      </c>
      <c r="P340" s="1534">
        <f>SUMIF(CF.2!$H$65:$H$108,CF.1!E340,CF.2!$J$65:$J$108)+SUMIF(CF.2!$K$65:$K$108,CF.1!E340,CF.2!$M$65:$M$108)</f>
        <v>0</v>
      </c>
      <c r="Q340" s="1534">
        <f>SUMIF(CF.2!$H$112:$H$118,CF.1!E340,CF.2!$J$112:$J$118)+SUMIF(CF.2!$K$112:$K$118,CF.1!E340,CF.2!$M$112:$M$118)</f>
        <v>0</v>
      </c>
      <c r="R340" s="1534">
        <f>SUMIF(CF.2!$H$123:$H$134,CF.1!E340,CF.2!$J$123:$J$134)+SUMIF(CF.2!$K$123:$K$134,CF.1!E340,CF.2!$M$123:$M$134)</f>
        <v>0</v>
      </c>
      <c r="S340" s="1535">
        <f t="shared" si="47"/>
        <v>0</v>
      </c>
      <c r="U340" s="1537">
        <f t="shared" si="48"/>
        <v>0</v>
      </c>
    </row>
    <row r="341" spans="3:23" ht="18" customHeight="1">
      <c r="C341" s="1364">
        <v>1</v>
      </c>
      <c r="D341" s="1532" t="s">
        <v>1310</v>
      </c>
      <c r="E341" s="1506" t="s">
        <v>1310</v>
      </c>
      <c r="F341" s="1533"/>
      <c r="G341" s="1506" t="s">
        <v>1311</v>
      </c>
      <c r="H341" s="1833">
        <v>0</v>
      </c>
      <c r="I341" s="1834">
        <v>0</v>
      </c>
      <c r="J341" s="1834">
        <v>0</v>
      </c>
      <c r="K341" s="1834">
        <v>0</v>
      </c>
      <c r="L341" s="1535">
        <f t="shared" si="46"/>
        <v>0</v>
      </c>
      <c r="N341" s="1536">
        <f>SUMIF(CF.2!$H$5:$H$25,CF.1!E341,CF.2!$J$5:$J$25)-SUMIF(CF.2!$K$5:$K$25,CF.1!E341,CF.2!$M$5:$M$25)</f>
        <v>0</v>
      </c>
      <c r="O341" s="1534">
        <f>SUMIF(CF.2!$H$31:$H$60,CF.1!E341,CF.2!$J$31:$J$60)+SUMIF(CF.2!$K$31:$K$60,CF.1!E341,CF.2!$M$31:$M$60)</f>
        <v>0</v>
      </c>
      <c r="P341" s="1534">
        <f>SUMIF(CF.2!$H$65:$H$108,CF.1!E341,CF.2!$J$65:$J$108)+SUMIF(CF.2!$K$65:$K$108,CF.1!E341,CF.2!$M$65:$M$108)</f>
        <v>0</v>
      </c>
      <c r="Q341" s="1534">
        <f>SUMIF(CF.2!$H$112:$H$118,CF.1!E341,CF.2!$J$112:$J$118)+SUMIF(CF.2!$K$112:$K$118,CF.1!E341,CF.2!$M$112:$M$118)</f>
        <v>0</v>
      </c>
      <c r="R341" s="1534">
        <f>SUMIF(CF.2!$H$123:$H$134,CF.1!E341,CF.2!$J$123:$J$134)+SUMIF(CF.2!$K$123:$K$134,CF.1!E341,CF.2!$M$123:$M$134)</f>
        <v>0</v>
      </c>
      <c r="S341" s="1535">
        <f t="shared" si="47"/>
        <v>0</v>
      </c>
      <c r="U341" s="1537">
        <f t="shared" si="48"/>
        <v>0</v>
      </c>
    </row>
    <row r="342" spans="3:23" ht="18" customHeight="1">
      <c r="C342" s="1364">
        <v>1</v>
      </c>
      <c r="D342" s="1532" t="s">
        <v>1312</v>
      </c>
      <c r="E342" s="1506" t="s">
        <v>1312</v>
      </c>
      <c r="F342" s="1533" t="s">
        <v>1313</v>
      </c>
      <c r="G342" s="1506" t="s">
        <v>1313</v>
      </c>
      <c r="H342" s="1833">
        <v>0</v>
      </c>
      <c r="I342" s="1834">
        <v>0</v>
      </c>
      <c r="J342" s="1834">
        <v>0</v>
      </c>
      <c r="K342" s="1834">
        <v>0</v>
      </c>
      <c r="L342" s="1535">
        <f t="shared" si="46"/>
        <v>0</v>
      </c>
      <c r="N342" s="1536">
        <f>SUMIF(CF.2!$H$5:$H$25,CF.1!E342,CF.2!$J$5:$J$25)-SUMIF(CF.2!$K$5:$K$25,CF.1!E342,CF.2!$M$5:$M$25)</f>
        <v>0</v>
      </c>
      <c r="O342" s="1534">
        <f>SUMIF(CF.2!$H$31:$H$60,CF.1!E342,CF.2!$J$31:$J$60)+SUMIF(CF.2!$K$31:$K$60,CF.1!E342,CF.2!$M$31:$M$60)</f>
        <v>0</v>
      </c>
      <c r="P342" s="1534">
        <f>SUMIF(CF.2!$H$65:$H$108,CF.1!E342,CF.2!$J$65:$J$108)+SUMIF(CF.2!$K$65:$K$108,CF.1!E342,CF.2!$M$65:$M$108)</f>
        <v>0</v>
      </c>
      <c r="Q342" s="1534">
        <f>SUMIF(CF.2!$H$112:$H$118,CF.1!E342,CF.2!$J$112:$J$118)+SUMIF(CF.2!$K$112:$K$118,CF.1!E342,CF.2!$M$112:$M$118)</f>
        <v>0</v>
      </c>
      <c r="R342" s="1534">
        <f>SUMIF(CF.2!$H$123:$H$134,CF.1!E342,CF.2!$J$123:$J$134)+SUMIF(CF.2!$K$123:$K$134,CF.1!E342,CF.2!$M$123:$M$134)</f>
        <v>0</v>
      </c>
      <c r="S342" s="1535">
        <f t="shared" si="47"/>
        <v>0</v>
      </c>
      <c r="U342" s="1537">
        <f t="shared" si="48"/>
        <v>0</v>
      </c>
      <c r="W342" s="1511" t="s">
        <v>1674</v>
      </c>
    </row>
    <row r="343" spans="3:23" ht="18" customHeight="1">
      <c r="C343" s="1364">
        <v>1</v>
      </c>
      <c r="D343" s="1525" t="s">
        <v>1314</v>
      </c>
      <c r="E343" s="1526" t="s">
        <v>1314</v>
      </c>
      <c r="F343" s="1527"/>
      <c r="G343" s="1526" t="s">
        <v>1315</v>
      </c>
      <c r="H343" s="1831">
        <f>H344</f>
        <v>1406968062</v>
      </c>
      <c r="I343" s="1831">
        <f>I344</f>
        <v>0</v>
      </c>
      <c r="J343" s="1831">
        <f>J344</f>
        <v>30055779</v>
      </c>
      <c r="K343" s="1831">
        <f>K344</f>
        <v>-102723077</v>
      </c>
      <c r="L343" s="1529">
        <f>L344</f>
        <v>1334300764</v>
      </c>
      <c r="N343" s="1530">
        <f t="shared" ref="N343:S344" si="49">N344</f>
        <v>0</v>
      </c>
      <c r="O343" s="1528">
        <f t="shared" si="49"/>
        <v>0</v>
      </c>
      <c r="P343" s="1528">
        <f t="shared" si="49"/>
        <v>0</v>
      </c>
      <c r="Q343" s="1528">
        <f t="shared" si="49"/>
        <v>0</v>
      </c>
      <c r="R343" s="1528">
        <f t="shared" si="49"/>
        <v>0</v>
      </c>
      <c r="S343" s="1529">
        <f t="shared" si="49"/>
        <v>0</v>
      </c>
      <c r="U343" s="1531">
        <f>U344</f>
        <v>1334300764</v>
      </c>
    </row>
    <row r="344" spans="3:23" ht="18" customHeight="1">
      <c r="C344" s="1364">
        <v>1</v>
      </c>
      <c r="D344" s="1525" t="s">
        <v>1316</v>
      </c>
      <c r="E344" s="1526" t="s">
        <v>1316</v>
      </c>
      <c r="F344" s="1527"/>
      <c r="G344" s="1526" t="s">
        <v>1315</v>
      </c>
      <c r="H344" s="1831">
        <f>H345</f>
        <v>1406968062</v>
      </c>
      <c r="I344" s="1831">
        <f>I345</f>
        <v>0</v>
      </c>
      <c r="J344" s="1831">
        <v>30055779</v>
      </c>
      <c r="K344" s="1831">
        <f>K345</f>
        <v>-102723077</v>
      </c>
      <c r="L344" s="1529">
        <f>L345</f>
        <v>1334300764</v>
      </c>
      <c r="N344" s="1530">
        <f t="shared" si="49"/>
        <v>0</v>
      </c>
      <c r="O344" s="1528">
        <f t="shared" si="49"/>
        <v>0</v>
      </c>
      <c r="P344" s="1528">
        <f t="shared" si="49"/>
        <v>0</v>
      </c>
      <c r="Q344" s="1528">
        <f t="shared" si="49"/>
        <v>0</v>
      </c>
      <c r="R344" s="1528">
        <f t="shared" si="49"/>
        <v>0</v>
      </c>
      <c r="S344" s="1529">
        <f t="shared" si="49"/>
        <v>0</v>
      </c>
      <c r="U344" s="1531">
        <f>U345</f>
        <v>1334300764</v>
      </c>
    </row>
    <row r="345" spans="3:23" ht="18" customHeight="1">
      <c r="C345" s="1364">
        <v>1</v>
      </c>
      <c r="D345" s="1532" t="s">
        <v>1317</v>
      </c>
      <c r="E345" s="1506" t="s">
        <v>1317</v>
      </c>
      <c r="F345" s="1533"/>
      <c r="G345" s="1506" t="s">
        <v>1318</v>
      </c>
      <c r="H345" s="1833">
        <v>1406968062</v>
      </c>
      <c r="I345" s="1834">
        <v>0</v>
      </c>
      <c r="J345" s="1834">
        <v>30055779</v>
      </c>
      <c r="K345" s="1834">
        <v>-102723077</v>
      </c>
      <c r="L345" s="1535">
        <f>SUM(H345:K345)</f>
        <v>1334300764</v>
      </c>
      <c r="N345" s="1536">
        <f>SUMIF(CF.2!$H$5:$H$25,CF.1!E345,CF.2!$J$5:$J$25)-SUMIF(CF.2!$K$5:$K$25,CF.1!E345,CF.2!$M$5:$M$25)</f>
        <v>0</v>
      </c>
      <c r="O345" s="1534">
        <f>SUMIF(CF.2!$H$31:$H$60,CF.1!E345,CF.2!$J$31:$J$60)+SUMIF(CF.2!$K$31:$K$60,CF.1!E345,CF.2!$M$31:$M$60)</f>
        <v>0</v>
      </c>
      <c r="P345" s="1534">
        <f>SUMIF(CF.2!$H$65:$H$108,CF.1!E345,CF.2!$J$65:$J$108)+SUMIF(CF.2!$K$65:$K$108,CF.1!E345,CF.2!$M$65:$M$108)</f>
        <v>0</v>
      </c>
      <c r="Q345" s="1534">
        <f>SUMIF(CF.2!$H$112:$H$118,CF.1!E345,CF.2!$J$112:$J$118)+SUMIF(CF.2!$K$112:$K$118,CF.1!E345,CF.2!$M$112:$M$118)</f>
        <v>0</v>
      </c>
      <c r="R345" s="1534">
        <f>SUMIF(CF.2!$H$123:$H$134,CF.1!E345,CF.2!$J$123:$J$134)+SUMIF(CF.2!$K$123:$K$134,CF.1!E345,CF.2!$M$123:$M$134)</f>
        <v>0</v>
      </c>
      <c r="S345" s="1535">
        <f>SUM(N345:R345)</f>
        <v>0</v>
      </c>
      <c r="U345" s="1537">
        <f>ROUND(S345+L345,0)</f>
        <v>1334300764</v>
      </c>
      <c r="W345" s="509"/>
    </row>
    <row r="346" spans="3:23" ht="18" customHeight="1">
      <c r="C346" s="1364">
        <v>1</v>
      </c>
      <c r="D346" s="1525" t="s">
        <v>1319</v>
      </c>
      <c r="E346" s="1526" t="s">
        <v>1319</v>
      </c>
      <c r="F346" s="1527"/>
      <c r="G346" s="1526" t="s">
        <v>1320</v>
      </c>
      <c r="H346" s="1831">
        <v>0</v>
      </c>
      <c r="I346" s="1831">
        <v>0</v>
      </c>
      <c r="J346" s="1831">
        <v>0</v>
      </c>
      <c r="K346" s="1831">
        <v>0</v>
      </c>
      <c r="L346" s="1529">
        <f>L347</f>
        <v>0</v>
      </c>
      <c r="N346" s="1530">
        <f t="shared" ref="N346:S347" si="50">N347</f>
        <v>0</v>
      </c>
      <c r="O346" s="1528">
        <f t="shared" si="50"/>
        <v>0</v>
      </c>
      <c r="P346" s="1528">
        <f t="shared" si="50"/>
        <v>0</v>
      </c>
      <c r="Q346" s="1528">
        <f t="shared" si="50"/>
        <v>0</v>
      </c>
      <c r="R346" s="1528">
        <f t="shared" si="50"/>
        <v>0</v>
      </c>
      <c r="S346" s="1529">
        <f t="shared" si="50"/>
        <v>0</v>
      </c>
      <c r="U346" s="1531">
        <f>U347</f>
        <v>0</v>
      </c>
    </row>
    <row r="347" spans="3:23" ht="18" customHeight="1">
      <c r="C347" s="1364">
        <v>1</v>
      </c>
      <c r="D347" s="1525" t="s">
        <v>1321</v>
      </c>
      <c r="E347" s="1526" t="s">
        <v>1321</v>
      </c>
      <c r="F347" s="1527"/>
      <c r="G347" s="1526" t="s">
        <v>1320</v>
      </c>
      <c r="H347" s="1831">
        <v>0</v>
      </c>
      <c r="I347" s="1831">
        <v>0</v>
      </c>
      <c r="J347" s="1831">
        <v>0</v>
      </c>
      <c r="K347" s="1831">
        <v>0</v>
      </c>
      <c r="L347" s="1529">
        <f>L348</f>
        <v>0</v>
      </c>
      <c r="N347" s="1530">
        <f t="shared" si="50"/>
        <v>0</v>
      </c>
      <c r="O347" s="1528">
        <f t="shared" si="50"/>
        <v>0</v>
      </c>
      <c r="P347" s="1528">
        <f t="shared" si="50"/>
        <v>0</v>
      </c>
      <c r="Q347" s="1528">
        <f t="shared" si="50"/>
        <v>0</v>
      </c>
      <c r="R347" s="1528">
        <f t="shared" si="50"/>
        <v>0</v>
      </c>
      <c r="S347" s="1529">
        <f t="shared" si="50"/>
        <v>0</v>
      </c>
      <c r="U347" s="1531">
        <f>U348</f>
        <v>0</v>
      </c>
    </row>
    <row r="348" spans="3:23" ht="18" customHeight="1">
      <c r="C348" s="1364">
        <v>1</v>
      </c>
      <c r="D348" s="1532" t="s">
        <v>1322</v>
      </c>
      <c r="E348" s="1506" t="s">
        <v>1322</v>
      </c>
      <c r="F348" s="1533"/>
      <c r="G348" s="1506" t="s">
        <v>1323</v>
      </c>
      <c r="H348" s="1833">
        <v>0</v>
      </c>
      <c r="I348" s="1834">
        <v>0</v>
      </c>
      <c r="J348" s="1834">
        <v>0</v>
      </c>
      <c r="K348" s="1834">
        <v>0</v>
      </c>
      <c r="L348" s="1535">
        <f>SUM(H348:K348)</f>
        <v>0</v>
      </c>
      <c r="N348" s="1536">
        <f>SUMIF(CF.2!$H$5:$H$25,CF.1!E348,CF.2!$J$5:$J$25)-SUMIF(CF.2!$K$5:$K$25,CF.1!E348,CF.2!$M$5:$M$25)</f>
        <v>0</v>
      </c>
      <c r="O348" s="1534">
        <f>SUMIF(CF.2!$H$31:$H$60,CF.1!E348,CF.2!$J$31:$J$60)+SUMIF(CF.2!$K$31:$K$60,CF.1!E348,CF.2!$M$31:$M$60)</f>
        <v>0</v>
      </c>
      <c r="P348" s="1534">
        <f>SUMIF(CF.2!$H$65:$H$108,CF.1!E348,CF.2!$J$65:$J$108)+SUMIF(CF.2!$K$65:$K$108,CF.1!E348,CF.2!$M$65:$M$108)</f>
        <v>0</v>
      </c>
      <c r="Q348" s="1534">
        <f>SUMIF(CF.2!$H$112:$H$118,CF.1!E348,CF.2!$J$112:$J$118)+SUMIF(CF.2!$K$112:$K$118,CF.1!E348,CF.2!$M$112:$M$118)</f>
        <v>0</v>
      </c>
      <c r="R348" s="1534">
        <f>SUMIF(CF.2!$H$123:$H$134,CF.1!E348,CF.2!$J$123:$J$134)+SUMIF(CF.2!$K$123:$K$134,CF.1!E348,CF.2!$M$123:$M$134)</f>
        <v>0</v>
      </c>
      <c r="S348" s="1535">
        <f>SUM(N348:R348)</f>
        <v>0</v>
      </c>
      <c r="U348" s="1556">
        <f>ROUND(S348+L348,0)</f>
        <v>0</v>
      </c>
    </row>
    <row r="349" spans="3:23" ht="18" customHeight="1">
      <c r="C349" s="1364">
        <v>1</v>
      </c>
      <c r="D349" s="1525" t="s">
        <v>1324</v>
      </c>
      <c r="E349" s="1526" t="s">
        <v>1324</v>
      </c>
      <c r="F349" s="1527"/>
      <c r="G349" s="1526" t="s">
        <v>1325</v>
      </c>
      <c r="H349" s="1831">
        <f>H7+H183+H300+H343</f>
        <v>6794987104</v>
      </c>
      <c r="I349" s="1831">
        <f>I7+I183+I300+I343</f>
        <v>761894861</v>
      </c>
      <c r="J349" s="1831">
        <f>J7+J183+J300+J343</f>
        <v>228496611</v>
      </c>
      <c r="K349" s="1831">
        <f>K7+K183+K300+K343</f>
        <v>44937200</v>
      </c>
      <c r="L349" s="1529">
        <f>SUM(L346,L343,L300,L183,L7)</f>
        <v>7830315776</v>
      </c>
      <c r="N349" s="1530">
        <f t="shared" ref="N349:S349" si="51">SUM(N346,N343,N300,N183,N7)</f>
        <v>0</v>
      </c>
      <c r="O349" s="1528">
        <f t="shared" si="51"/>
        <v>0</v>
      </c>
      <c r="P349" s="1528">
        <f t="shared" si="51"/>
        <v>281015741</v>
      </c>
      <c r="Q349" s="1528">
        <f t="shared" si="51"/>
        <v>0</v>
      </c>
      <c r="R349" s="1528">
        <f t="shared" si="51"/>
        <v>0</v>
      </c>
      <c r="S349" s="1529">
        <f t="shared" si="51"/>
        <v>281015741</v>
      </c>
      <c r="U349" s="1531">
        <f>SUM(U346,U343,U300,U183,U7)</f>
        <v>8111331517</v>
      </c>
      <c r="V349" s="1364" t="b">
        <f>U349=U300+U183+U7+U345</f>
        <v>1</v>
      </c>
    </row>
    <row r="350" spans="3:23" ht="18" customHeight="1">
      <c r="C350" s="1364">
        <v>1</v>
      </c>
      <c r="D350" s="1525" t="s">
        <v>1326</v>
      </c>
      <c r="E350" s="1526" t="s">
        <v>1326</v>
      </c>
      <c r="F350" s="1527"/>
      <c r="G350" s="1526" t="s">
        <v>1327</v>
      </c>
      <c r="H350" s="1831">
        <v>128867438712</v>
      </c>
      <c r="I350" s="1831">
        <v>258378537</v>
      </c>
      <c r="J350" s="1831">
        <v>22545179</v>
      </c>
      <c r="K350" s="1831">
        <v>2870282092</v>
      </c>
      <c r="L350" s="1529">
        <f>L351</f>
        <v>132018644520</v>
      </c>
      <c r="N350" s="1530">
        <f t="shared" ref="N350:S351" si="52">N351</f>
        <v>0</v>
      </c>
      <c r="O350" s="1528">
        <f t="shared" si="52"/>
        <v>0</v>
      </c>
      <c r="P350" s="1528">
        <f t="shared" si="52"/>
        <v>0</v>
      </c>
      <c r="Q350" s="1528">
        <f t="shared" si="52"/>
        <v>0</v>
      </c>
      <c r="R350" s="1528">
        <f t="shared" si="52"/>
        <v>0</v>
      </c>
      <c r="S350" s="1529">
        <f t="shared" si="52"/>
        <v>0</v>
      </c>
      <c r="U350" s="1531">
        <f>U351</f>
        <v>132018644520</v>
      </c>
    </row>
    <row r="351" spans="3:23" ht="18" customHeight="1">
      <c r="C351" s="1364">
        <v>1</v>
      </c>
      <c r="D351" s="1525" t="s">
        <v>1328</v>
      </c>
      <c r="E351" s="1526" t="s">
        <v>1328</v>
      </c>
      <c r="F351" s="1527"/>
      <c r="G351" s="1526" t="s">
        <v>1327</v>
      </c>
      <c r="H351" s="1831">
        <v>128867438712</v>
      </c>
      <c r="I351" s="1831">
        <v>258378537</v>
      </c>
      <c r="J351" s="1831">
        <v>22545179</v>
      </c>
      <c r="K351" s="1831">
        <v>2870282092</v>
      </c>
      <c r="L351" s="1529">
        <f>L352</f>
        <v>132018644520</v>
      </c>
      <c r="N351" s="1530">
        <f t="shared" si="52"/>
        <v>0</v>
      </c>
      <c r="O351" s="1528">
        <f t="shared" si="52"/>
        <v>0</v>
      </c>
      <c r="P351" s="1528">
        <f t="shared" si="52"/>
        <v>0</v>
      </c>
      <c r="Q351" s="1528">
        <f t="shared" si="52"/>
        <v>0</v>
      </c>
      <c r="R351" s="1528">
        <f t="shared" si="52"/>
        <v>0</v>
      </c>
      <c r="S351" s="1529">
        <f t="shared" si="52"/>
        <v>0</v>
      </c>
      <c r="U351" s="1531">
        <f>U352</f>
        <v>132018644520</v>
      </c>
    </row>
    <row r="352" spans="3:23" ht="18" customHeight="1">
      <c r="C352" s="1364">
        <v>1</v>
      </c>
      <c r="D352" s="1532" t="s">
        <v>1329</v>
      </c>
      <c r="E352" s="1506" t="s">
        <v>1329</v>
      </c>
      <c r="F352" s="1533"/>
      <c r="G352" s="1506" t="s">
        <v>1330</v>
      </c>
      <c r="H352" s="1833">
        <v>128867438712</v>
      </c>
      <c r="I352" s="1834">
        <v>258378537</v>
      </c>
      <c r="J352" s="1834">
        <v>22545179</v>
      </c>
      <c r="K352" s="1834">
        <v>2870282092</v>
      </c>
      <c r="L352" s="1535">
        <f>SUM(H352:K352)</f>
        <v>132018644520</v>
      </c>
      <c r="N352" s="1536">
        <f>SUMIF(CF.2!$H$5:$H$25,CF.1!E352,CF.2!$J$5:$J$25)-SUMIF(CF.2!$K$5:$K$25,CF.1!E352,CF.2!$M$5:$M$25)</f>
        <v>0</v>
      </c>
      <c r="O352" s="1534">
        <f>SUMIF(CF.2!$H$31:$H$60,CF.1!E352,CF.2!$J$31:$J$60)+SUMIF(CF.2!$K$31:$K$60,CF.1!E352,CF.2!$M$31:$M$60)</f>
        <v>0</v>
      </c>
      <c r="P352" s="1534">
        <f>SUMIF(CF.2!$H$65:$H$108,CF.1!E352,CF.2!$J$65:$J$108)+SUMIF(CF.2!$K$65:$K$108,CF.1!E352,CF.2!$M$65:$M$108)</f>
        <v>0</v>
      </c>
      <c r="Q352" s="1534">
        <f>SUMIF(CF.2!$H$112:$H$118,CF.1!E352,CF.2!$J$112:$J$118)+SUMIF(CF.2!$K$112:$K$118,CF.1!E352,CF.2!$M$112:$M$118)</f>
        <v>0</v>
      </c>
      <c r="R352" s="1534">
        <f>SUMIF(CF.2!$H$123:$H$134,CF.1!E352,CF.2!$J$123:$J$134)+SUMIF(CF.2!$K$123:$K$134,CF.1!E352,CF.2!$M$123:$M$134)</f>
        <v>0</v>
      </c>
      <c r="S352" s="1535">
        <f>SUM(N352:R352)</f>
        <v>0</v>
      </c>
      <c r="U352" s="1556">
        <f>S352+L352</f>
        <v>132018644520</v>
      </c>
      <c r="W352" s="1364" t="b">
        <f>'BS(공)'!I8=CF.1!U352</f>
        <v>1</v>
      </c>
    </row>
    <row r="353" spans="3:23" ht="18" customHeight="1">
      <c r="C353" s="1364">
        <v>1</v>
      </c>
      <c r="D353" s="1525" t="s">
        <v>1331</v>
      </c>
      <c r="E353" s="1526" t="s">
        <v>1331</v>
      </c>
      <c r="F353" s="1527"/>
      <c r="G353" s="1526" t="s">
        <v>1332</v>
      </c>
      <c r="H353" s="1831">
        <v>135662425816</v>
      </c>
      <c r="I353" s="1831">
        <v>1020273398</v>
      </c>
      <c r="J353" s="1831">
        <v>251041790</v>
      </c>
      <c r="K353" s="1831">
        <v>2915219292</v>
      </c>
      <c r="L353" s="1529">
        <f>L354</f>
        <v>139848960296</v>
      </c>
      <c r="N353" s="1530">
        <f t="shared" ref="N353:S354" si="53">N354</f>
        <v>10393274001</v>
      </c>
      <c r="O353" s="1528">
        <f t="shared" si="53"/>
        <v>0</v>
      </c>
      <c r="P353" s="1528">
        <f t="shared" si="53"/>
        <v>0</v>
      </c>
      <c r="Q353" s="1528">
        <f t="shared" si="53"/>
        <v>0</v>
      </c>
      <c r="R353" s="1528">
        <f t="shared" si="53"/>
        <v>0</v>
      </c>
      <c r="S353" s="1529">
        <f t="shared" si="53"/>
        <v>10393274001</v>
      </c>
      <c r="U353" s="1531">
        <f>U354</f>
        <v>150242234297</v>
      </c>
    </row>
    <row r="354" spans="3:23" ht="18" customHeight="1">
      <c r="C354" s="1364">
        <v>1</v>
      </c>
      <c r="D354" s="1525" t="s">
        <v>1333</v>
      </c>
      <c r="E354" s="1526" t="s">
        <v>1333</v>
      </c>
      <c r="F354" s="1527"/>
      <c r="G354" s="1526" t="s">
        <v>1332</v>
      </c>
      <c r="H354" s="1831">
        <v>135662425816</v>
      </c>
      <c r="I354" s="1831">
        <v>1020273398</v>
      </c>
      <c r="J354" s="1831">
        <v>251041790</v>
      </c>
      <c r="K354" s="1831">
        <v>2915219292</v>
      </c>
      <c r="L354" s="1529">
        <f>L355</f>
        <v>139848960296</v>
      </c>
      <c r="N354" s="1530">
        <f t="shared" si="53"/>
        <v>10393274001</v>
      </c>
      <c r="O354" s="1528">
        <f t="shared" si="53"/>
        <v>0</v>
      </c>
      <c r="P354" s="1528">
        <f t="shared" si="53"/>
        <v>0</v>
      </c>
      <c r="Q354" s="1528">
        <f t="shared" si="53"/>
        <v>0</v>
      </c>
      <c r="R354" s="1528">
        <f t="shared" si="53"/>
        <v>0</v>
      </c>
      <c r="S354" s="1529">
        <f t="shared" si="53"/>
        <v>10393274001</v>
      </c>
      <c r="U354" s="1531">
        <f>U355</f>
        <v>150242234297</v>
      </c>
    </row>
    <row r="355" spans="3:23" ht="18" customHeight="1">
      <c r="C355" s="1364">
        <v>1</v>
      </c>
      <c r="D355" s="1532" t="s">
        <v>1334</v>
      </c>
      <c r="E355" s="1506" t="s">
        <v>1334</v>
      </c>
      <c r="F355" s="1533"/>
      <c r="G355" s="1506" t="s">
        <v>1335</v>
      </c>
      <c r="H355" s="1833">
        <v>135662425816</v>
      </c>
      <c r="I355" s="1834">
        <v>1020273398</v>
      </c>
      <c r="J355" s="1834">
        <v>251041790</v>
      </c>
      <c r="K355" s="1834">
        <v>2915219292</v>
      </c>
      <c r="L355" s="1535">
        <f>SUM(H355:K355)</f>
        <v>139848960296</v>
      </c>
      <c r="N355" s="1536">
        <f>SUMIF(CF.2!$H$5:$H$25,CF.1!E355,CF.2!$J$5:$J$25)-SUMIF(CF.2!$K$5:$K$25,CF.1!E355,CF.2!$M$5:$M$25)</f>
        <v>10393274001</v>
      </c>
      <c r="O355" s="1534">
        <f>SUMIF(CF.2!$H$31:$H$60,CF.1!E355,CF.2!$J$31:$J$60)+SUMIF(CF.2!$K$31:$K$60,CF.1!E355,CF.2!$M$31:$M$60)</f>
        <v>0</v>
      </c>
      <c r="P355" s="1534">
        <f>SUMIF(CF.2!$H$65:$H$108,CF.1!E355,CF.2!$J$65:$J$108)+SUMIF(CF.2!$K$65:$K$108,CF.1!E355,CF.2!$M$65:$M$108)</f>
        <v>0</v>
      </c>
      <c r="Q355" s="1534">
        <f>SUMIF(CF.2!$H$112:$H$118,CF.1!E355,CF.2!$J$112:$J$118)+SUMIF(CF.2!$K$112:$K$118,CF.1!E355,CF.2!$M$112:$M$118)</f>
        <v>0</v>
      </c>
      <c r="R355" s="1534">
        <f>SUMIF(CF.2!$H$123:$H$134,CF.1!E355,CF.2!$J$123:$J$134)+SUMIF(CF.2!$K$123:$K$134,CF.1!E355,CF.2!$M$123:$M$134)</f>
        <v>0</v>
      </c>
      <c r="S355" s="1535">
        <f>SUM(N355:R355)</f>
        <v>10393274001</v>
      </c>
      <c r="U355" s="1556">
        <f>S355+L355</f>
        <v>150242234297</v>
      </c>
      <c r="W355" s="509" t="b">
        <f>T_BS!X8-U355=0</f>
        <v>0</v>
      </c>
    </row>
    <row r="356" spans="3:23" ht="18" customHeight="1">
      <c r="C356" s="1364">
        <v>1</v>
      </c>
      <c r="D356" s="1525" t="s">
        <v>1336</v>
      </c>
      <c r="E356" s="1526" t="s">
        <v>1336</v>
      </c>
      <c r="F356" s="1527"/>
      <c r="G356" s="1526" t="s">
        <v>1337</v>
      </c>
      <c r="H356" s="1831">
        <v>0</v>
      </c>
      <c r="I356" s="1831">
        <v>0</v>
      </c>
      <c r="J356" s="1831">
        <v>0</v>
      </c>
      <c r="K356" s="1831">
        <v>0</v>
      </c>
      <c r="L356" s="1529">
        <f>L357</f>
        <v>0</v>
      </c>
      <c r="N356" s="1530"/>
      <c r="O356" s="1528"/>
      <c r="P356" s="1528"/>
      <c r="Q356" s="1528"/>
      <c r="R356" s="1528"/>
      <c r="S356" s="1529"/>
      <c r="U356" s="1531"/>
    </row>
    <row r="357" spans="3:23" ht="18" customHeight="1">
      <c r="C357" s="1364">
        <v>1</v>
      </c>
      <c r="D357" s="1525" t="s">
        <v>1338</v>
      </c>
      <c r="E357" s="1526" t="s">
        <v>1338</v>
      </c>
      <c r="F357" s="1527"/>
      <c r="G357" s="1526" t="s">
        <v>1337</v>
      </c>
      <c r="H357" s="1831">
        <v>0</v>
      </c>
      <c r="I357" s="1831">
        <v>0</v>
      </c>
      <c r="J357" s="1831">
        <v>0</v>
      </c>
      <c r="K357" s="1831">
        <v>0</v>
      </c>
      <c r="L357" s="1529">
        <f>L358</f>
        <v>0</v>
      </c>
      <c r="N357" s="1530"/>
      <c r="O357" s="1528"/>
      <c r="P357" s="1528"/>
      <c r="Q357" s="1528"/>
      <c r="R357" s="1528"/>
      <c r="S357" s="1529"/>
      <c r="U357" s="1531"/>
    </row>
    <row r="358" spans="3:23" ht="18" customHeight="1" thickBot="1">
      <c r="C358" s="1364">
        <v>1</v>
      </c>
      <c r="D358" s="1557" t="s">
        <v>1339</v>
      </c>
      <c r="E358" s="1558" t="s">
        <v>1339</v>
      </c>
      <c r="F358" s="1559"/>
      <c r="G358" s="1558" t="s">
        <v>1340</v>
      </c>
      <c r="H358" s="1560">
        <f>H355-H352-H349</f>
        <v>0</v>
      </c>
      <c r="I358" s="1560">
        <f>I355-I352-I349</f>
        <v>0</v>
      </c>
      <c r="J358" s="1560">
        <f>J355-J352-J349</f>
        <v>0</v>
      </c>
      <c r="K358" s="1560">
        <f>K355-K352-K349</f>
        <v>0</v>
      </c>
      <c r="L358" s="1560">
        <f>L355-L352-L349</f>
        <v>0</v>
      </c>
      <c r="M358" s="1561"/>
      <c r="N358" s="1562"/>
      <c r="O358" s="1563"/>
      <c r="P358" s="1563">
        <f>SUMIF(CF.2!$H$65:$H$108,CF.1!E358,CF.2!$J$65:$J$108)+SUMIF(CF.2!$K$65:$K$108,CF.1!E358,CF.2!$M$65:$M$108)</f>
        <v>0</v>
      </c>
      <c r="Q358" s="1563">
        <f>SUMIF(CF.2!$H$112:$H$118,CF.1!E358,CF.2!$J$112:$J$118)+SUMIF(CF.2!$K$112:$K$118,CF.1!E358,CF.2!$M$112:$M$118)</f>
        <v>0</v>
      </c>
      <c r="R358" s="1563">
        <f>SUMIF(CF.2!$H$123:$H$134,CF.1!E358,CF.2!$J$123:$J$134)+SUMIF(CF.2!$K$123:$K$134,CF.1!E358,CF.2!$M$123:$M$134)</f>
        <v>0</v>
      </c>
      <c r="S358" s="1564">
        <f>SUM(N358:R358)</f>
        <v>0</v>
      </c>
      <c r="U358" s="1565">
        <f>S358+L358</f>
        <v>0</v>
      </c>
    </row>
    <row r="359" spans="3:23" ht="18" customHeight="1" thickBot="1"/>
    <row r="360" spans="3:23" ht="18" customHeight="1">
      <c r="D360" s="1566"/>
      <c r="E360" s="1567"/>
      <c r="F360" s="1568"/>
      <c r="G360" s="1567" t="s">
        <v>1387</v>
      </c>
      <c r="H360" s="1569">
        <f t="shared" ref="H360:U360" si="54">H7</f>
        <v>10227486497</v>
      </c>
      <c r="I360" s="1569">
        <f t="shared" si="54"/>
        <v>415982576</v>
      </c>
      <c r="J360" s="1569">
        <f t="shared" si="54"/>
        <v>210069630</v>
      </c>
      <c r="K360" s="1569">
        <f t="shared" si="54"/>
        <v>41575283</v>
      </c>
      <c r="L360" s="1569">
        <f t="shared" si="54"/>
        <v>10895113986</v>
      </c>
      <c r="M360" s="1569">
        <f t="shared" si="54"/>
        <v>0</v>
      </c>
      <c r="N360" s="1569">
        <f t="shared" si="54"/>
        <v>0</v>
      </c>
      <c r="O360" s="1569">
        <f t="shared" si="54"/>
        <v>0</v>
      </c>
      <c r="P360" s="1569">
        <f t="shared" si="54"/>
        <v>281015741</v>
      </c>
      <c r="Q360" s="1569">
        <f t="shared" si="54"/>
        <v>0</v>
      </c>
      <c r="R360" s="1569">
        <f t="shared" si="54"/>
        <v>216671</v>
      </c>
      <c r="S360" s="1569">
        <f t="shared" si="54"/>
        <v>281232412</v>
      </c>
      <c r="T360" s="1569">
        <f t="shared" si="54"/>
        <v>0</v>
      </c>
      <c r="U360" s="1570">
        <f t="shared" si="54"/>
        <v>11176346398</v>
      </c>
    </row>
    <row r="361" spans="3:23" ht="18" customHeight="1">
      <c r="D361" s="1571"/>
      <c r="G361" s="1364" t="s">
        <v>1388</v>
      </c>
      <c r="H361" s="1361">
        <f t="shared" ref="H361:U361" si="55">H183</f>
        <v>-3089831484</v>
      </c>
      <c r="I361" s="1361">
        <f t="shared" si="55"/>
        <v>-13228181</v>
      </c>
      <c r="J361" s="1361">
        <f t="shared" si="55"/>
        <v>0</v>
      </c>
      <c r="K361" s="1361">
        <f t="shared" si="55"/>
        <v>283852636</v>
      </c>
      <c r="L361" s="1361">
        <f t="shared" si="55"/>
        <v>-2819207029</v>
      </c>
      <c r="M361" s="1361">
        <f t="shared" si="55"/>
        <v>0</v>
      </c>
      <c r="N361" s="1361">
        <f t="shared" si="55"/>
        <v>0</v>
      </c>
      <c r="O361" s="1361">
        <f t="shared" si="55"/>
        <v>0</v>
      </c>
      <c r="P361" s="1361">
        <f t="shared" si="55"/>
        <v>499950000</v>
      </c>
      <c r="Q361" s="1361">
        <f t="shared" si="55"/>
        <v>0</v>
      </c>
      <c r="R361" s="1361">
        <f t="shared" si="55"/>
        <v>-216671</v>
      </c>
      <c r="S361" s="1361">
        <f t="shared" si="55"/>
        <v>499733329</v>
      </c>
      <c r="T361" s="1361">
        <f t="shared" si="55"/>
        <v>0</v>
      </c>
      <c r="U361" s="1572">
        <f t="shared" si="55"/>
        <v>-2319473700</v>
      </c>
    </row>
    <row r="362" spans="3:23" ht="18" customHeight="1" thickBot="1">
      <c r="D362" s="1573"/>
      <c r="E362" s="1574"/>
      <c r="F362" s="1575"/>
      <c r="G362" s="1574" t="s">
        <v>1389</v>
      </c>
      <c r="H362" s="1576">
        <f>H300</f>
        <v>-1749635971</v>
      </c>
      <c r="I362" s="1576">
        <f>I300</f>
        <v>359140466</v>
      </c>
      <c r="J362" s="1576">
        <f>J300</f>
        <v>-11628798</v>
      </c>
      <c r="K362" s="1576">
        <f>K300</f>
        <v>-177767642</v>
      </c>
      <c r="L362" s="1576">
        <f>L300</f>
        <v>-1579891945</v>
      </c>
      <c r="M362" s="1576">
        <f t="shared" ref="M362:U362" si="56">M300</f>
        <v>0</v>
      </c>
      <c r="N362" s="1576">
        <f t="shared" si="56"/>
        <v>0</v>
      </c>
      <c r="O362" s="1576">
        <f t="shared" si="56"/>
        <v>0</v>
      </c>
      <c r="P362" s="1576">
        <f t="shared" si="56"/>
        <v>-499950000</v>
      </c>
      <c r="Q362" s="1576">
        <f t="shared" si="56"/>
        <v>0</v>
      </c>
      <c r="R362" s="1576">
        <f t="shared" si="56"/>
        <v>0</v>
      </c>
      <c r="S362" s="1576">
        <f t="shared" si="56"/>
        <v>-499950000</v>
      </c>
      <c r="T362" s="1576">
        <f t="shared" si="56"/>
        <v>0</v>
      </c>
      <c r="U362" s="1577">
        <f t="shared" si="56"/>
        <v>-2079841945</v>
      </c>
    </row>
    <row r="364" spans="3:23" ht="18" customHeight="1" thickBot="1"/>
    <row r="365" spans="3:23" ht="17.25" customHeight="1">
      <c r="D365" s="1566"/>
      <c r="E365" s="1567"/>
      <c r="F365" s="1568"/>
      <c r="G365" s="1567" t="s">
        <v>302</v>
      </c>
      <c r="H365" s="1569">
        <f>H15-SUM(T_IS!H69)</f>
        <v>0</v>
      </c>
      <c r="I365" s="1569">
        <f>I15-SUM(T_IS!I69)</f>
        <v>0</v>
      </c>
      <c r="J365" s="1569">
        <f>J15-SUM(T_IS!J69)</f>
        <v>0</v>
      </c>
      <c r="K365" s="1569">
        <f>K15-SUM(T_IS!K69)</f>
        <v>0</v>
      </c>
      <c r="L365" s="1569">
        <f>L15-SUM(T_IS!L69)</f>
        <v>0</v>
      </c>
      <c r="M365" s="1567"/>
      <c r="N365" s="1569"/>
      <c r="O365" s="1569"/>
      <c r="P365" s="1569"/>
      <c r="Q365" s="1569"/>
      <c r="R365" s="1569"/>
      <c r="S365" s="1569"/>
      <c r="T365" s="1567"/>
      <c r="U365" s="1570">
        <f>U15-T_IS!X69</f>
        <v>0</v>
      </c>
    </row>
    <row r="366" spans="3:23" ht="17.25" customHeight="1">
      <c r="D366" s="1571"/>
      <c r="E366" s="1364" t="s">
        <v>2204</v>
      </c>
      <c r="F366" s="1578">
        <v>480039560</v>
      </c>
      <c r="G366" s="1277" t="s">
        <v>488</v>
      </c>
      <c r="H366" s="1361">
        <f>H11-SUM(T_IS!H47:H52)+H12</f>
        <v>231054997</v>
      </c>
      <c r="I366" s="1361">
        <f>I11-SUM(T_IS!I47:I52)+I12</f>
        <v>-16453479</v>
      </c>
      <c r="J366" s="926">
        <f>J11-SUM(T_IS!J47:J52)+J12</f>
        <v>-1540669</v>
      </c>
      <c r="K366" s="1361">
        <f>K11-SUM(T_IS!K47:K52)+K12</f>
        <v>-30602301</v>
      </c>
      <c r="L366" s="1361">
        <f>L11-SUM(T_IS!L47:L52)-F366+L12</f>
        <v>-297581012</v>
      </c>
      <c r="U366" s="1572"/>
    </row>
    <row r="367" spans="3:23" ht="18" customHeight="1">
      <c r="D367" s="1571"/>
      <c r="G367" s="1259" t="s">
        <v>386</v>
      </c>
      <c r="H367" s="1361">
        <f>H13-T_IS!H53</f>
        <v>-301284176</v>
      </c>
      <c r="I367" s="1361">
        <f>I13-T_IS!I53</f>
        <v>-149726</v>
      </c>
      <c r="J367" s="1361">
        <f>J13-T_IS!J53</f>
        <v>0</v>
      </c>
      <c r="K367" s="926">
        <f>K13-T_IS!K53</f>
        <v>-1210051</v>
      </c>
      <c r="L367" s="926">
        <f>L13-T_IS!L53</f>
        <v>-302643953</v>
      </c>
      <c r="U367" s="1572"/>
    </row>
    <row r="368" spans="3:23" ht="18" customHeight="1">
      <c r="D368" s="1571"/>
      <c r="G368" s="1364" t="s">
        <v>683</v>
      </c>
      <c r="H368" s="1361">
        <f>H16-SUM(T_IS!H95:H96)</f>
        <v>-114619865</v>
      </c>
      <c r="I368" s="1361">
        <f>I16-SUM(T_IS!I95:I96)</f>
        <v>0</v>
      </c>
      <c r="J368" s="1361">
        <f>J16-SUM(T_IS!J95:J96)</f>
        <v>0</v>
      </c>
      <c r="K368" s="1361">
        <f>K16-SUM(T_IS!K95:K96)</f>
        <v>0</v>
      </c>
      <c r="L368" s="1361">
        <f>L16-SUM(T_IS!L95:L96)</f>
        <v>-114619865</v>
      </c>
      <c r="M368" s="1361"/>
      <c r="U368" s="1572">
        <f>U16-SUM(T_IS!X95:X96)</f>
        <v>-114619865</v>
      </c>
    </row>
    <row r="369" spans="4:21" ht="18" customHeight="1">
      <c r="D369" s="1571"/>
      <c r="G369" s="1364" t="s">
        <v>707</v>
      </c>
      <c r="H369" s="1361">
        <f>H18-SUM(T_IS!H97)</f>
        <v>0</v>
      </c>
      <c r="I369" s="1361">
        <f>I18-SUM(T_IS!I97)</f>
        <v>0</v>
      </c>
      <c r="J369" s="1361">
        <f>J18-SUM(T_IS!J97)</f>
        <v>0</v>
      </c>
      <c r="K369" s="1361">
        <f>K18-SUM(T_IS!K97)</f>
        <v>0</v>
      </c>
      <c r="L369" s="1361">
        <f>L18-SUM(T_IS!L97)</f>
        <v>0</v>
      </c>
      <c r="M369" s="1361"/>
      <c r="U369" s="1572">
        <f>U18-T_IS!X97</f>
        <v>0</v>
      </c>
    </row>
    <row r="370" spans="4:21" ht="18" customHeight="1">
      <c r="D370" s="1571"/>
      <c r="G370" s="1364" t="s">
        <v>687</v>
      </c>
      <c r="H370" s="1361">
        <f>H30-SUM(T_IS!H109)</f>
        <v>0</v>
      </c>
      <c r="I370" s="1361">
        <f>I30-SUM(T_IS!I109)</f>
        <v>0</v>
      </c>
      <c r="J370" s="1361">
        <f>J30-SUM(T_IS!J109)</f>
        <v>0</v>
      </c>
      <c r="K370" s="1361">
        <f>K30-SUM(T_IS!K109)</f>
        <v>0</v>
      </c>
      <c r="L370" s="1361">
        <f>L30-SUM(T_IS!L109)</f>
        <v>0</v>
      </c>
      <c r="U370" s="1572">
        <f>U30-T_IS!X109</f>
        <v>0</v>
      </c>
    </row>
    <row r="371" spans="4:21" ht="18" customHeight="1">
      <c r="D371" s="1571"/>
      <c r="G371" s="1364" t="s">
        <v>481</v>
      </c>
      <c r="H371" s="1361">
        <f>H33-T_IS!H116</f>
        <v>0</v>
      </c>
      <c r="I371" s="1361">
        <f>I33-T_IS!I116</f>
        <v>0</v>
      </c>
      <c r="J371" s="1361">
        <f>J33-T_IS!J116</f>
        <v>0</v>
      </c>
      <c r="K371" s="1361">
        <f>K33-T_IS!K116</f>
        <v>0</v>
      </c>
      <c r="L371" s="1361">
        <f>L33-T_IS!L116</f>
        <v>0</v>
      </c>
      <c r="U371" s="1572">
        <f>U33-T_IS!X116</f>
        <v>0</v>
      </c>
    </row>
    <row r="372" spans="4:21" ht="18" customHeight="1">
      <c r="D372" s="1571"/>
      <c r="G372" s="1364" t="s">
        <v>686</v>
      </c>
      <c r="H372" s="1361">
        <f>H34-T_IS!H108</f>
        <v>0</v>
      </c>
      <c r="I372" s="1361">
        <f>I34-T_IS!I108</f>
        <v>0</v>
      </c>
      <c r="J372" s="1361">
        <f>J34-T_IS!J108</f>
        <v>0</v>
      </c>
      <c r="K372" s="1361">
        <f>K34-T_IS!K108</f>
        <v>0</v>
      </c>
      <c r="L372" s="1361">
        <f>L34-T_IS!L108</f>
        <v>0</v>
      </c>
      <c r="U372" s="1572">
        <f>U34-T_IS!X108</f>
        <v>0</v>
      </c>
    </row>
    <row r="373" spans="4:21" ht="18" customHeight="1">
      <c r="D373" s="1571"/>
      <c r="G373" s="1364" t="s">
        <v>681</v>
      </c>
      <c r="H373" s="1361">
        <f>H62-SUM(T_IS!H88:H91)</f>
        <v>-1931775</v>
      </c>
      <c r="I373" s="1361">
        <f>I62-SUM(T_IS!I88:I91)</f>
        <v>-670899</v>
      </c>
      <c r="J373" s="1361">
        <f>J62-SUM(T_IS!J88:J91)</f>
        <v>-11899</v>
      </c>
      <c r="K373" s="1361">
        <f>K62-SUM(T_IS!K88:K91)</f>
        <v>-4191239</v>
      </c>
      <c r="L373" s="1361">
        <f>L62-SUM(T_IS!L88:L91)</f>
        <v>-6805812</v>
      </c>
      <c r="U373" s="1572">
        <f>U62-SUM(T_IS!X88:X91)</f>
        <v>-6805812</v>
      </c>
    </row>
    <row r="374" spans="4:21" ht="18" customHeight="1">
      <c r="D374" s="1571"/>
      <c r="G374" s="1364" t="s">
        <v>380</v>
      </c>
      <c r="H374" s="1361">
        <f>H63-SUM(T_IS!H126)</f>
        <v>0</v>
      </c>
      <c r="I374" s="1361">
        <f>I63-SUM(T_IS!I126)</f>
        <v>0</v>
      </c>
      <c r="J374" s="1361">
        <f>J63-SUM(T_IS!J126)</f>
        <v>0</v>
      </c>
      <c r="K374" s="1361">
        <f>K63-SUM(T_IS!K126)</f>
        <v>5887</v>
      </c>
      <c r="L374" s="1361">
        <f>L63-SUM(T_IS!L126)</f>
        <v>5887</v>
      </c>
      <c r="U374" s="1572">
        <f>U63-SUM(T_IS!X126)</f>
        <v>5887</v>
      </c>
    </row>
    <row r="375" spans="4:21" ht="18" customHeight="1">
      <c r="D375" s="1571"/>
      <c r="G375" s="1364" t="s">
        <v>673</v>
      </c>
      <c r="H375" s="926">
        <f>H111+SUM(T_IS!H77:H78)</f>
        <v>361706619</v>
      </c>
      <c r="I375" s="926">
        <f>I111+SUM(T_IS!I77:I78)</f>
        <v>540541</v>
      </c>
      <c r="J375" s="926">
        <f>J111+SUM(T_IS!J77:J78)</f>
        <v>245037</v>
      </c>
      <c r="K375" s="926">
        <f>K111+SUM(T_IS!K77:K78)</f>
        <v>6964012</v>
      </c>
      <c r="L375" s="926">
        <f>L111+SUM(T_IS!L77:L78)</f>
        <v>369456209</v>
      </c>
      <c r="U375" s="1572">
        <f>U111+SUM(T_IS!X77:X78)</f>
        <v>369456209</v>
      </c>
    </row>
    <row r="376" spans="4:21" ht="18" customHeight="1">
      <c r="D376" s="1571"/>
      <c r="G376" s="1364" t="s">
        <v>675</v>
      </c>
      <c r="H376" s="1361">
        <f>H76+SUM(T_IS!H82:H83)</f>
        <v>-198221154</v>
      </c>
      <c r="I376" s="1361">
        <f>I76+SUM(T_IS!I82:I83)</f>
        <v>0</v>
      </c>
      <c r="J376" s="1361">
        <f>J76+SUM(T_IS!J82:J83)</f>
        <v>0</v>
      </c>
      <c r="K376" s="1361">
        <f>K76+SUM(T_IS!K82:K83)</f>
        <v>0</v>
      </c>
      <c r="L376" s="1361">
        <f>L76+SUM(T_IS!L82:L83)</f>
        <v>-198221154</v>
      </c>
      <c r="U376" s="1572">
        <f>U76+SUM(T_IS!X82:X83)</f>
        <v>-198221154</v>
      </c>
    </row>
    <row r="377" spans="4:21" ht="18" customHeight="1">
      <c r="D377" s="1571"/>
      <c r="G377" s="1364" t="s">
        <v>808</v>
      </c>
      <c r="H377" s="1361">
        <f>H116+SUM(T_IS!H86)</f>
        <v>0</v>
      </c>
      <c r="I377" s="1361">
        <f>I116+SUM(T_IS!I86)</f>
        <v>0</v>
      </c>
      <c r="J377" s="1361">
        <f>J116+SUM(T_IS!J86)</f>
        <v>0</v>
      </c>
      <c r="K377" s="1361">
        <f>K116+SUM(T_IS!K86)</f>
        <v>0</v>
      </c>
      <c r="L377" s="1361">
        <f>L116+SUM(T_IS!L86)</f>
        <v>0</v>
      </c>
      <c r="U377" s="1572">
        <f>U116+SUM(T_IS!X86)</f>
        <v>0</v>
      </c>
    </row>
    <row r="378" spans="4:21" ht="18" customHeight="1">
      <c r="D378" s="1571"/>
      <c r="G378" s="1364" t="s">
        <v>810</v>
      </c>
      <c r="H378" s="1361">
        <f>H115+T_IS!H84</f>
        <v>0</v>
      </c>
      <c r="I378" s="1361">
        <f>I115+T_IS!I84</f>
        <v>0</v>
      </c>
      <c r="J378" s="1361">
        <f>J115+T_IS!J84</f>
        <v>0</v>
      </c>
      <c r="K378" s="1361">
        <f>K115+T_IS!K84</f>
        <v>0</v>
      </c>
      <c r="L378" s="1361">
        <f>L115+T_IS!L84</f>
        <v>0</v>
      </c>
      <c r="U378" s="1572">
        <f>U115+T_IS!X84</f>
        <v>0</v>
      </c>
    </row>
    <row r="379" spans="4:21" ht="18" customHeight="1">
      <c r="D379" s="1571"/>
      <c r="G379" s="1364" t="s">
        <v>816</v>
      </c>
      <c r="H379" s="1361">
        <f>H81+T_IS!H119</f>
        <v>0</v>
      </c>
      <c r="I379" s="1361">
        <f>I81+T_IS!I119</f>
        <v>0</v>
      </c>
      <c r="J379" s="1361">
        <f>J81+T_IS!J119</f>
        <v>0</v>
      </c>
      <c r="K379" s="1361">
        <f>K81+T_IS!K119</f>
        <v>0</v>
      </c>
      <c r="L379" s="1361">
        <f>L81+T_IS!L119</f>
        <v>0</v>
      </c>
      <c r="U379" s="1572">
        <f>U81+T_IS!X119</f>
        <v>0</v>
      </c>
    </row>
    <row r="380" spans="4:21" ht="18" customHeight="1">
      <c r="D380" s="1571"/>
      <c r="G380" s="1364" t="s">
        <v>678</v>
      </c>
      <c r="H380" s="1361">
        <f>H90+T_IS!H102</f>
        <v>1180818</v>
      </c>
      <c r="I380" s="1361">
        <f>I90+T_IS!I102</f>
        <v>0</v>
      </c>
      <c r="J380" s="1361">
        <f>J90+T_IS!J102</f>
        <v>0</v>
      </c>
      <c r="K380" s="1361">
        <f>K90+T_IS!K102</f>
        <v>292187</v>
      </c>
      <c r="L380" s="1361">
        <f>L90+T_IS!L102</f>
        <v>1473005</v>
      </c>
      <c r="U380" s="1572">
        <f>U90+T_IS!X102</f>
        <v>1473005</v>
      </c>
    </row>
    <row r="381" spans="4:21" ht="18" customHeight="1" thickBot="1">
      <c r="D381" s="1573"/>
      <c r="E381" s="1574"/>
      <c r="F381" s="1575"/>
      <c r="G381" s="1574" t="s">
        <v>679</v>
      </c>
      <c r="H381" s="1576">
        <f>H92+T_IS!H103</f>
        <v>0</v>
      </c>
      <c r="I381" s="1576">
        <f>I92+T_IS!I103</f>
        <v>0</v>
      </c>
      <c r="J381" s="1576">
        <f>J92+T_IS!J103</f>
        <v>0</v>
      </c>
      <c r="K381" s="1576">
        <f>K92+T_IS!K103</f>
        <v>0</v>
      </c>
      <c r="L381" s="1576">
        <f>L92+T_IS!L103</f>
        <v>0</v>
      </c>
      <c r="M381" s="1574"/>
      <c r="N381" s="1576"/>
      <c r="O381" s="1576"/>
      <c r="P381" s="1576"/>
      <c r="Q381" s="1576"/>
      <c r="R381" s="1576"/>
      <c r="S381" s="1576"/>
      <c r="T381" s="1574"/>
      <c r="U381" s="1577">
        <f>U92+T_IS!X103</f>
        <v>0</v>
      </c>
    </row>
  </sheetData>
  <autoFilter ref="D6:W358"/>
  <phoneticPr fontId="21" type="noConversion"/>
  <conditionalFormatting sqref="V1:W1048576">
    <cfRule type="containsText" dxfId="0" priority="1" operator="containsText" text="False">
      <formula>NOT(ISERROR(SEARCH("False",V1)))</formula>
    </cfRule>
  </conditionalFormatting>
  <pageMargins left="0.7" right="0.7" top="0.75" bottom="0.75" header="0.3" footer="0.3"/>
  <pageSetup orientation="portrait" r:id="rId1"/>
  <ignoredErrors>
    <ignoredError sqref="V12:V27 I367:W378 M366:W366 I380:W382 I379:T379 V379:W379 H367:H382" formulaRange="1"/>
    <ignoredError sqref="G10 G28 G12 M345:U358 G19:G27 M11:U11 G14:G17 M10:U10 M28:U28" formula="1"/>
    <ignoredError sqref="M13:U20 M22:U27 M21:N21 P21:Q21 S21:U21 M12 T12:U12" formula="1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 tint="0.79998168889431442"/>
  </sheetPr>
  <dimension ref="C3:AA137"/>
  <sheetViews>
    <sheetView showGridLines="0" zoomScale="80" zoomScaleNormal="80" workbookViewId="0">
      <selection activeCell="L136" sqref="L136"/>
    </sheetView>
  </sheetViews>
  <sheetFormatPr defaultColWidth="8.75" defaultRowHeight="20.45" customHeight="1"/>
  <cols>
    <col min="1" max="3" width="2.375" style="498" customWidth="1"/>
    <col min="4" max="11" width="19.875" style="498" customWidth="1"/>
    <col min="12" max="12" width="28.625" style="498" bestFit="1" customWidth="1"/>
    <col min="13" max="13" width="19.875" style="498" customWidth="1"/>
    <col min="14" max="15" width="25" style="498" customWidth="1"/>
    <col min="16" max="19" width="20.375" style="498" customWidth="1"/>
    <col min="20" max="21" width="11.25" style="498" bestFit="1" customWidth="1"/>
    <col min="22" max="23" width="12.125" style="498" bestFit="1" customWidth="1"/>
    <col min="24" max="25" width="12" style="498" bestFit="1" customWidth="1"/>
    <col min="26" max="16384" width="8.75" style="498"/>
  </cols>
  <sheetData>
    <row r="3" spans="3:13" s="494" customFormat="1" ht="20.45" customHeight="1">
      <c r="C3" s="494" t="s">
        <v>1452</v>
      </c>
    </row>
    <row r="4" spans="3:13" s="494" customFormat="1" ht="20.45" customHeight="1" thickBot="1">
      <c r="D4" s="494" t="s">
        <v>1458</v>
      </c>
    </row>
    <row r="5" spans="3:13" s="519" customFormat="1" ht="20.45" customHeight="1">
      <c r="D5" s="1465" t="s">
        <v>499</v>
      </c>
      <c r="E5" s="1466" t="s">
        <v>1453</v>
      </c>
      <c r="F5" s="1466" t="s">
        <v>1455</v>
      </c>
      <c r="G5" s="1467" t="s">
        <v>1454</v>
      </c>
      <c r="H5" s="1465" t="s">
        <v>393</v>
      </c>
      <c r="I5" s="1466" t="s">
        <v>1456</v>
      </c>
      <c r="J5" s="1467" t="s">
        <v>1457</v>
      </c>
      <c r="K5" s="1465" t="s">
        <v>393</v>
      </c>
      <c r="L5" s="1466" t="s">
        <v>1456</v>
      </c>
      <c r="M5" s="1467" t="s">
        <v>1457</v>
      </c>
    </row>
    <row r="6" spans="3:13" ht="20.45" customHeight="1">
      <c r="D6" s="550" t="s">
        <v>15</v>
      </c>
      <c r="E6" s="509">
        <v>128867438712</v>
      </c>
      <c r="F6" s="509">
        <f>CF.1!H352</f>
        <v>128867438712</v>
      </c>
      <c r="G6" s="510">
        <f>F6-E6</f>
        <v>0</v>
      </c>
      <c r="H6" s="550" t="s">
        <v>1329</v>
      </c>
      <c r="I6" s="509" t="s">
        <v>1330</v>
      </c>
      <c r="J6" s="510">
        <f>-G6</f>
        <v>0</v>
      </c>
      <c r="K6" s="550" t="s">
        <v>1329</v>
      </c>
      <c r="L6" s="509" t="s">
        <v>1330</v>
      </c>
      <c r="M6" s="510"/>
    </row>
    <row r="7" spans="3:13" ht="20.45" customHeight="1">
      <c r="D7" s="550" t="s">
        <v>217</v>
      </c>
      <c r="E7" s="509">
        <v>22545179</v>
      </c>
      <c r="F7" s="509">
        <f>CF.1!J352</f>
        <v>22545179</v>
      </c>
      <c r="G7" s="510">
        <f>F7-E7</f>
        <v>0</v>
      </c>
      <c r="H7" s="550" t="s">
        <v>1329</v>
      </c>
      <c r="I7" s="509" t="s">
        <v>1330</v>
      </c>
      <c r="J7" s="510">
        <f t="shared" ref="J7:J13" si="0">-G7</f>
        <v>0</v>
      </c>
      <c r="K7" s="550" t="s">
        <v>1329</v>
      </c>
      <c r="L7" s="509" t="s">
        <v>1330</v>
      </c>
      <c r="M7" s="510"/>
    </row>
    <row r="8" spans="3:13" ht="20.45" customHeight="1">
      <c r="D8" s="550" t="s">
        <v>213</v>
      </c>
      <c r="E8" s="509"/>
      <c r="F8" s="509"/>
      <c r="G8" s="510"/>
      <c r="H8" s="550" t="s">
        <v>1329</v>
      </c>
      <c r="I8" s="509" t="s">
        <v>1330</v>
      </c>
      <c r="J8" s="510">
        <f t="shared" si="0"/>
        <v>0</v>
      </c>
      <c r="K8" s="550" t="s">
        <v>1329</v>
      </c>
      <c r="L8" s="509" t="s">
        <v>1330</v>
      </c>
      <c r="M8" s="510"/>
    </row>
    <row r="9" spans="3:13" ht="20.45" customHeight="1">
      <c r="D9" s="550" t="s">
        <v>214</v>
      </c>
      <c r="E9" s="509"/>
      <c r="F9" s="509"/>
      <c r="G9" s="510"/>
      <c r="H9" s="550" t="s">
        <v>1329</v>
      </c>
      <c r="I9" s="509" t="s">
        <v>1330</v>
      </c>
      <c r="J9" s="510">
        <f t="shared" si="0"/>
        <v>0</v>
      </c>
      <c r="K9" s="550" t="s">
        <v>1329</v>
      </c>
      <c r="L9" s="509" t="s">
        <v>1330</v>
      </c>
      <c r="M9" s="510"/>
    </row>
    <row r="10" spans="3:13" ht="20.45" customHeight="1">
      <c r="D10" s="550" t="s">
        <v>215</v>
      </c>
      <c r="E10" s="509">
        <v>2870282092</v>
      </c>
      <c r="F10" s="509">
        <f>CF.1!K352</f>
        <v>2870282092</v>
      </c>
      <c r="G10" s="510">
        <f>F10-E10</f>
        <v>0</v>
      </c>
      <c r="H10" s="550" t="s">
        <v>1329</v>
      </c>
      <c r="I10" s="509" t="s">
        <v>1330</v>
      </c>
      <c r="J10" s="510">
        <f t="shared" si="0"/>
        <v>0</v>
      </c>
      <c r="K10" s="550" t="s">
        <v>1329</v>
      </c>
      <c r="L10" s="509" t="s">
        <v>1330</v>
      </c>
      <c r="M10" s="510"/>
    </row>
    <row r="11" spans="3:13" ht="20.45" customHeight="1">
      <c r="D11" s="550" t="s">
        <v>530</v>
      </c>
      <c r="E11" s="509"/>
      <c r="F11" s="509"/>
      <c r="G11" s="510"/>
      <c r="H11" s="550" t="s">
        <v>1329</v>
      </c>
      <c r="I11" s="509" t="s">
        <v>1330</v>
      </c>
      <c r="J11" s="510">
        <f t="shared" si="0"/>
        <v>0</v>
      </c>
      <c r="K11" s="550" t="s">
        <v>1329</v>
      </c>
      <c r="L11" s="509" t="s">
        <v>1330</v>
      </c>
      <c r="M11" s="510"/>
    </row>
    <row r="12" spans="3:13" ht="20.45" customHeight="1">
      <c r="D12" s="550" t="s">
        <v>2193</v>
      </c>
      <c r="E12" s="509">
        <v>258378537</v>
      </c>
      <c r="F12" s="509">
        <f>CF.1!I352</f>
        <v>258378537</v>
      </c>
      <c r="G12" s="510">
        <f>F12-E12</f>
        <v>0</v>
      </c>
      <c r="H12" s="550" t="s">
        <v>1329</v>
      </c>
      <c r="I12" s="509" t="s">
        <v>1330</v>
      </c>
      <c r="J12" s="510">
        <f>-G12</f>
        <v>0</v>
      </c>
      <c r="K12" s="550" t="s">
        <v>1157</v>
      </c>
      <c r="L12" s="509" t="s">
        <v>1158</v>
      </c>
      <c r="M12" s="510">
        <f>J12</f>
        <v>0</v>
      </c>
    </row>
    <row r="13" spans="3:13" ht="20.45" customHeight="1" thickBot="1">
      <c r="D13" s="1468" t="s">
        <v>216</v>
      </c>
      <c r="E13" s="513"/>
      <c r="F13" s="513"/>
      <c r="G13" s="514"/>
      <c r="H13" s="1468" t="s">
        <v>1329</v>
      </c>
      <c r="I13" s="513" t="s">
        <v>1330</v>
      </c>
      <c r="J13" s="514">
        <f t="shared" si="0"/>
        <v>0</v>
      </c>
      <c r="K13" s="1468" t="s">
        <v>1157</v>
      </c>
      <c r="L13" s="513" t="s">
        <v>1158</v>
      </c>
      <c r="M13" s="514">
        <f>J13</f>
        <v>0</v>
      </c>
    </row>
    <row r="14" spans="3:13" s="494" customFormat="1" ht="20.45" customHeight="1" thickBot="1">
      <c r="D14" s="1469"/>
      <c r="E14" s="1470">
        <f>SUM(E6:E13)</f>
        <v>132018644520</v>
      </c>
      <c r="F14" s="1470">
        <f>SUM(F6:F13)</f>
        <v>132018644520</v>
      </c>
      <c r="G14" s="1470"/>
      <c r="H14" s="1470"/>
      <c r="I14" s="1470"/>
      <c r="J14" s="1470"/>
      <c r="K14" s="1470"/>
      <c r="L14" s="1470"/>
      <c r="M14" s="561"/>
    </row>
    <row r="16" spans="3:13" s="494" customFormat="1" ht="20.45" customHeight="1" thickBot="1">
      <c r="D16" s="494" t="s">
        <v>1459</v>
      </c>
    </row>
    <row r="17" spans="3:13" ht="20.45" customHeight="1">
      <c r="D17" s="1465" t="s">
        <v>499</v>
      </c>
      <c r="E17" s="1466" t="s">
        <v>1453</v>
      </c>
      <c r="F17" s="1466" t="s">
        <v>1641</v>
      </c>
      <c r="G17" s="1467" t="s">
        <v>1454</v>
      </c>
      <c r="H17" s="1465" t="s">
        <v>393</v>
      </c>
      <c r="I17" s="1466" t="s">
        <v>1456</v>
      </c>
      <c r="J17" s="1467" t="s">
        <v>1457</v>
      </c>
      <c r="K17" s="1465" t="s">
        <v>393</v>
      </c>
      <c r="L17" s="1466" t="s">
        <v>1456</v>
      </c>
      <c r="M17" s="1467" t="s">
        <v>1457</v>
      </c>
    </row>
    <row r="18" spans="3:13" ht="20.45" customHeight="1">
      <c r="D18" s="550" t="s">
        <v>15</v>
      </c>
      <c r="E18" s="509">
        <f>T_BS!H8</f>
        <v>145412136453</v>
      </c>
      <c r="F18" s="509">
        <f>CF.1!H355</f>
        <v>135662425816</v>
      </c>
      <c r="G18" s="510">
        <f t="shared" ref="G18:G25" si="1">F18-E18</f>
        <v>-9749710637</v>
      </c>
      <c r="H18" s="550" t="s">
        <v>1334</v>
      </c>
      <c r="I18" s="509" t="s">
        <v>1335</v>
      </c>
      <c r="J18" s="510">
        <f>-G18</f>
        <v>9749710637</v>
      </c>
      <c r="K18" s="550" t="s">
        <v>1334</v>
      </c>
      <c r="L18" s="509" t="s">
        <v>1335</v>
      </c>
      <c r="M18" s="510"/>
    </row>
    <row r="19" spans="3:13" ht="20.45" customHeight="1">
      <c r="D19" s="550" t="s">
        <v>217</v>
      </c>
      <c r="E19" s="509">
        <f>T_BS!J8</f>
        <v>254884762</v>
      </c>
      <c r="F19" s="509">
        <f>CF.1!J355</f>
        <v>251041790</v>
      </c>
      <c r="G19" s="510">
        <f t="shared" si="1"/>
        <v>-3842972</v>
      </c>
      <c r="H19" s="550" t="s">
        <v>1334</v>
      </c>
      <c r="I19" s="509" t="s">
        <v>1335</v>
      </c>
      <c r="J19" s="510">
        <f t="shared" ref="J19:J25" si="2">-G19</f>
        <v>3842972</v>
      </c>
      <c r="K19" s="550" t="s">
        <v>1334</v>
      </c>
      <c r="L19" s="509" t="s">
        <v>1335</v>
      </c>
      <c r="M19" s="510"/>
    </row>
    <row r="20" spans="3:13" ht="20.45" customHeight="1">
      <c r="D20" s="550" t="s">
        <v>213</v>
      </c>
      <c r="E20" s="509"/>
      <c r="F20" s="509"/>
      <c r="G20" s="510">
        <f t="shared" si="1"/>
        <v>0</v>
      </c>
      <c r="H20" s="550" t="s">
        <v>1334</v>
      </c>
      <c r="I20" s="509" t="s">
        <v>1335</v>
      </c>
      <c r="J20" s="510">
        <f t="shared" si="2"/>
        <v>0</v>
      </c>
      <c r="K20" s="550" t="s">
        <v>1048</v>
      </c>
      <c r="L20" s="509" t="s">
        <v>1049</v>
      </c>
      <c r="M20" s="510">
        <f>-J20</f>
        <v>0</v>
      </c>
    </row>
    <row r="21" spans="3:13" ht="20.45" customHeight="1">
      <c r="D21" s="550" t="s">
        <v>214</v>
      </c>
      <c r="E21" s="509"/>
      <c r="F21" s="509"/>
      <c r="G21" s="510">
        <f t="shared" si="1"/>
        <v>0</v>
      </c>
      <c r="H21" s="550" t="s">
        <v>1334</v>
      </c>
      <c r="I21" s="509" t="s">
        <v>1335</v>
      </c>
      <c r="J21" s="510">
        <f t="shared" si="2"/>
        <v>0</v>
      </c>
      <c r="K21" s="550" t="s">
        <v>1232</v>
      </c>
      <c r="L21" s="509" t="s">
        <v>1233</v>
      </c>
      <c r="M21" s="510">
        <f>-J21</f>
        <v>0</v>
      </c>
    </row>
    <row r="22" spans="3:13" ht="20.45" customHeight="1">
      <c r="D22" s="550"/>
      <c r="E22" s="509"/>
      <c r="F22" s="509"/>
      <c r="G22" s="510"/>
      <c r="H22" s="550" t="s">
        <v>1317</v>
      </c>
      <c r="I22" s="509" t="s">
        <v>1318</v>
      </c>
      <c r="J22" s="510">
        <f>M22</f>
        <v>0</v>
      </c>
      <c r="K22" s="550" t="s">
        <v>1232</v>
      </c>
      <c r="L22" s="509" t="s">
        <v>1233</v>
      </c>
      <c r="M22" s="510"/>
    </row>
    <row r="23" spans="3:13" ht="20.45" customHeight="1">
      <c r="D23" s="550" t="s">
        <v>215</v>
      </c>
      <c r="E23" s="509">
        <f>T_BS!K8</f>
        <v>3554939684</v>
      </c>
      <c r="F23" s="509">
        <f>CF.1!K355</f>
        <v>2915219292</v>
      </c>
      <c r="G23" s="510">
        <f t="shared" si="1"/>
        <v>-639720392</v>
      </c>
      <c r="H23" s="550" t="s">
        <v>1334</v>
      </c>
      <c r="I23" s="509" t="s">
        <v>1335</v>
      </c>
      <c r="J23" s="510">
        <f t="shared" si="2"/>
        <v>639720392</v>
      </c>
      <c r="K23" s="550" t="s">
        <v>1334</v>
      </c>
      <c r="L23" s="509" t="s">
        <v>1335</v>
      </c>
      <c r="M23" s="510"/>
    </row>
    <row r="24" spans="3:13" ht="20.45" customHeight="1">
      <c r="D24" s="550" t="s">
        <v>530</v>
      </c>
      <c r="E24" s="509"/>
      <c r="F24" s="509"/>
      <c r="G24" s="510">
        <f t="shared" si="1"/>
        <v>0</v>
      </c>
      <c r="H24" s="550" t="s">
        <v>1334</v>
      </c>
      <c r="I24" s="509" t="s">
        <v>1335</v>
      </c>
      <c r="J24" s="510">
        <f t="shared" si="2"/>
        <v>0</v>
      </c>
      <c r="K24" s="550" t="s">
        <v>1262</v>
      </c>
      <c r="L24" s="509" t="s">
        <v>1263</v>
      </c>
      <c r="M24" s="510">
        <f>-J24</f>
        <v>0</v>
      </c>
    </row>
    <row r="25" spans="3:13" ht="20.45" customHeight="1" thickBot="1">
      <c r="D25" s="1468" t="s">
        <v>216</v>
      </c>
      <c r="E25" s="513"/>
      <c r="F25" s="513"/>
      <c r="G25" s="514">
        <f t="shared" si="1"/>
        <v>0</v>
      </c>
      <c r="H25" s="1468" t="s">
        <v>1334</v>
      </c>
      <c r="I25" s="513" t="s">
        <v>1335</v>
      </c>
      <c r="J25" s="514">
        <f t="shared" si="2"/>
        <v>0</v>
      </c>
      <c r="K25" s="550" t="s">
        <v>1262</v>
      </c>
      <c r="L25" s="509" t="s">
        <v>1263</v>
      </c>
      <c r="M25" s="510">
        <f>-J25</f>
        <v>0</v>
      </c>
    </row>
    <row r="26" spans="3:13" ht="20.45" customHeight="1" thickBot="1">
      <c r="D26" s="1471"/>
      <c r="E26" s="1472">
        <f>SUM(E18:E25)</f>
        <v>149221960899</v>
      </c>
      <c r="F26" s="1472">
        <f>SUM(F18:F25)</f>
        <v>138828686898</v>
      </c>
      <c r="G26" s="1472"/>
      <c r="H26" s="1472"/>
      <c r="I26" s="1472"/>
      <c r="J26" s="1472"/>
      <c r="K26" s="1472"/>
      <c r="L26" s="1472"/>
      <c r="M26" s="560"/>
    </row>
    <row r="28" spans="3:13" s="494" customFormat="1" ht="20.45" customHeight="1">
      <c r="C28" s="494" t="s">
        <v>1460</v>
      </c>
    </row>
    <row r="29" spans="3:13" s="494" customFormat="1" ht="20.45" customHeight="1" thickBot="1">
      <c r="D29" s="494" t="s">
        <v>1461</v>
      </c>
    </row>
    <row r="30" spans="3:13" ht="20.45" customHeight="1">
      <c r="D30" s="1465" t="s">
        <v>414</v>
      </c>
      <c r="E30" s="1466" t="s">
        <v>1453</v>
      </c>
      <c r="F30" s="1466"/>
      <c r="G30" s="1467" t="s">
        <v>1454</v>
      </c>
      <c r="H30" s="1465" t="s">
        <v>393</v>
      </c>
      <c r="I30" s="1466" t="s">
        <v>1456</v>
      </c>
      <c r="J30" s="1467" t="s">
        <v>1457</v>
      </c>
      <c r="K30" s="1465" t="s">
        <v>393</v>
      </c>
      <c r="L30" s="1466" t="s">
        <v>1456</v>
      </c>
      <c r="M30" s="1467" t="s">
        <v>1457</v>
      </c>
    </row>
    <row r="31" spans="3:13" ht="20.45" customHeight="1">
      <c r="D31" s="550" t="s">
        <v>488</v>
      </c>
      <c r="E31" s="509">
        <v>0</v>
      </c>
      <c r="F31" s="509"/>
      <c r="G31" s="510">
        <f t="shared" ref="G31:G37" si="3">F31-E31</f>
        <v>0</v>
      </c>
      <c r="H31" s="550" t="s">
        <v>695</v>
      </c>
      <c r="I31" s="509" t="s">
        <v>209</v>
      </c>
      <c r="J31" s="510">
        <f>G31</f>
        <v>0</v>
      </c>
      <c r="K31" s="550" t="s">
        <v>699</v>
      </c>
      <c r="L31" s="509" t="s">
        <v>488</v>
      </c>
      <c r="M31" s="510">
        <f>-J31</f>
        <v>0</v>
      </c>
    </row>
    <row r="32" spans="3:13" ht="20.45" customHeight="1">
      <c r="D32" s="550" t="s">
        <v>386</v>
      </c>
      <c r="E32" s="509">
        <f>'5.0'!V9</f>
        <v>0</v>
      </c>
      <c r="F32" s="509"/>
      <c r="G32" s="510">
        <f t="shared" si="3"/>
        <v>0</v>
      </c>
      <c r="H32" s="550" t="s">
        <v>695</v>
      </c>
      <c r="I32" s="509" t="s">
        <v>209</v>
      </c>
      <c r="J32" s="510">
        <f>G32</f>
        <v>0</v>
      </c>
      <c r="K32" s="550" t="s">
        <v>700</v>
      </c>
      <c r="L32" s="509" t="s">
        <v>386</v>
      </c>
      <c r="M32" s="510">
        <f>-J32</f>
        <v>0</v>
      </c>
    </row>
    <row r="33" spans="4:13" ht="20.45" customHeight="1">
      <c r="D33" s="550" t="s">
        <v>380</v>
      </c>
      <c r="E33" s="509">
        <f>'5.0'!V10</f>
        <v>0</v>
      </c>
      <c r="F33" s="509"/>
      <c r="G33" s="510">
        <f t="shared" si="3"/>
        <v>0</v>
      </c>
      <c r="H33" s="550" t="s">
        <v>695</v>
      </c>
      <c r="I33" s="509" t="s">
        <v>209</v>
      </c>
      <c r="J33" s="510">
        <f>G33</f>
        <v>0</v>
      </c>
      <c r="K33" s="550" t="s">
        <v>783</v>
      </c>
      <c r="L33" s="509" t="s">
        <v>380</v>
      </c>
      <c r="M33" s="510">
        <f>-J33</f>
        <v>0</v>
      </c>
    </row>
    <row r="34" spans="4:13" ht="20.45" customHeight="1">
      <c r="D34" s="550" t="s">
        <v>686</v>
      </c>
      <c r="E34" s="710">
        <f>'5.0'!V19</f>
        <v>0</v>
      </c>
      <c r="F34" s="509"/>
      <c r="G34" s="510">
        <f t="shared" si="3"/>
        <v>0</v>
      </c>
      <c r="H34" s="550" t="s">
        <v>695</v>
      </c>
      <c r="I34" s="509" t="s">
        <v>209</v>
      </c>
      <c r="J34" s="510">
        <f>G34</f>
        <v>0</v>
      </c>
      <c r="K34" s="550" t="s">
        <v>736</v>
      </c>
      <c r="L34" s="509" t="s">
        <v>686</v>
      </c>
      <c r="M34" s="510">
        <f>-J34</f>
        <v>0</v>
      </c>
    </row>
    <row r="35" spans="4:13" ht="20.45" customHeight="1">
      <c r="D35" s="550"/>
      <c r="E35" s="509"/>
      <c r="F35" s="509"/>
      <c r="G35" s="510">
        <f t="shared" si="3"/>
        <v>0</v>
      </c>
      <c r="H35" s="550"/>
      <c r="I35" s="509"/>
      <c r="J35" s="510"/>
      <c r="K35" s="550"/>
      <c r="L35" s="509"/>
      <c r="M35" s="510"/>
    </row>
    <row r="36" spans="4:13" ht="20.45" customHeight="1">
      <c r="D36" s="550"/>
      <c r="E36" s="509"/>
      <c r="F36" s="509"/>
      <c r="G36" s="510">
        <f t="shared" si="3"/>
        <v>0</v>
      </c>
      <c r="H36" s="550"/>
      <c r="I36" s="509"/>
      <c r="J36" s="510"/>
      <c r="K36" s="550"/>
      <c r="L36" s="509"/>
      <c r="M36" s="510"/>
    </row>
    <row r="37" spans="4:13" ht="20.45" customHeight="1" thickBot="1">
      <c r="D37" s="1468"/>
      <c r="E37" s="513"/>
      <c r="F37" s="513"/>
      <c r="G37" s="514">
        <f t="shared" si="3"/>
        <v>0</v>
      </c>
      <c r="H37" s="1468"/>
      <c r="I37" s="513"/>
      <c r="J37" s="514"/>
      <c r="K37" s="1468"/>
      <c r="L37" s="513"/>
      <c r="M37" s="514"/>
    </row>
    <row r="38" spans="4:13" ht="20.45" customHeight="1" thickBot="1">
      <c r="D38" s="1471"/>
      <c r="E38" s="1472">
        <f>SUM(E31:E37)</f>
        <v>0</v>
      </c>
      <c r="F38" s="1472">
        <f>SUM(F31:F37)</f>
        <v>0</v>
      </c>
      <c r="G38" s="1472"/>
      <c r="H38" s="1472"/>
      <c r="I38" s="1472"/>
      <c r="J38" s="1472"/>
      <c r="K38" s="1472"/>
      <c r="L38" s="1472"/>
      <c r="M38" s="560"/>
    </row>
    <row r="40" spans="4:13" s="494" customFormat="1" ht="20.45" customHeight="1" thickBot="1">
      <c r="D40" s="494" t="s">
        <v>1467</v>
      </c>
    </row>
    <row r="41" spans="4:13" ht="20.45" customHeight="1">
      <c r="D41" s="1465" t="s">
        <v>414</v>
      </c>
      <c r="E41" s="1466" t="s">
        <v>1453</v>
      </c>
      <c r="F41" s="1466"/>
      <c r="G41" s="1467" t="s">
        <v>1454</v>
      </c>
      <c r="H41" s="1465" t="s">
        <v>393</v>
      </c>
      <c r="I41" s="1466" t="s">
        <v>1456</v>
      </c>
      <c r="J41" s="1467" t="s">
        <v>1457</v>
      </c>
      <c r="K41" s="1465" t="s">
        <v>393</v>
      </c>
      <c r="L41" s="1466" t="s">
        <v>1456</v>
      </c>
      <c r="M41" s="1467" t="s">
        <v>1457</v>
      </c>
    </row>
    <row r="42" spans="4:13" ht="20.45" customHeight="1">
      <c r="D42" s="550" t="s">
        <v>242</v>
      </c>
      <c r="E42" s="509">
        <f>-SUM('4.0'!V66,'4.0'!V64,'4.0'!V46,'4.0'!V44,'4.0'!V25)</f>
        <v>-7121669</v>
      </c>
      <c r="F42" s="509"/>
      <c r="G42" s="510">
        <f t="shared" ref="G42:G48" si="4">F42-E42</f>
        <v>7121669</v>
      </c>
      <c r="H42" s="550" t="s">
        <v>695</v>
      </c>
      <c r="I42" s="509" t="s">
        <v>209</v>
      </c>
      <c r="J42" s="510">
        <f>-G42</f>
        <v>-7121669</v>
      </c>
      <c r="K42" s="550" t="s">
        <v>922</v>
      </c>
      <c r="L42" s="509" t="s">
        <v>923</v>
      </c>
      <c r="M42" s="510">
        <f>-J42</f>
        <v>7121669</v>
      </c>
    </row>
    <row r="43" spans="4:13" ht="20.45" customHeight="1">
      <c r="D43" s="550" t="s">
        <v>296</v>
      </c>
      <c r="E43" s="509">
        <f>'4.0'!V29</f>
        <v>193111111</v>
      </c>
      <c r="F43" s="509"/>
      <c r="G43" s="510">
        <f>-E43</f>
        <v>-193111111</v>
      </c>
      <c r="H43" s="550" t="s">
        <v>695</v>
      </c>
      <c r="I43" s="509" t="s">
        <v>209</v>
      </c>
      <c r="J43" s="510">
        <f>G43</f>
        <v>-193111111</v>
      </c>
      <c r="K43" s="550" t="s">
        <v>910</v>
      </c>
      <c r="L43" s="509" t="s">
        <v>911</v>
      </c>
      <c r="M43" s="510">
        <f>-J43</f>
        <v>193111111</v>
      </c>
    </row>
    <row r="44" spans="4:13" ht="20.45" customHeight="1">
      <c r="D44" s="550" t="s">
        <v>296</v>
      </c>
      <c r="E44" s="509">
        <f>-'4.0'!V81</f>
        <v>0</v>
      </c>
      <c r="F44" s="509"/>
      <c r="G44" s="510">
        <f t="shared" si="4"/>
        <v>0</v>
      </c>
      <c r="H44" s="550" t="s">
        <v>695</v>
      </c>
      <c r="I44" s="509" t="s">
        <v>209</v>
      </c>
      <c r="J44" s="510">
        <f>-G44</f>
        <v>0</v>
      </c>
      <c r="K44" s="550"/>
      <c r="L44" s="509"/>
      <c r="M44" s="510"/>
    </row>
    <row r="45" spans="4:13" ht="20.45" customHeight="1">
      <c r="D45" s="550"/>
      <c r="E45" s="509"/>
      <c r="F45" s="509"/>
      <c r="G45" s="510">
        <f t="shared" si="4"/>
        <v>0</v>
      </c>
      <c r="H45" s="550"/>
      <c r="I45" s="509"/>
      <c r="J45" s="510"/>
      <c r="K45" s="550"/>
      <c r="L45" s="509"/>
      <c r="M45" s="510">
        <f>-J45</f>
        <v>0</v>
      </c>
    </row>
    <row r="46" spans="4:13" ht="20.45" customHeight="1">
      <c r="D46" s="550"/>
      <c r="E46" s="509"/>
      <c r="F46" s="509"/>
      <c r="G46" s="510">
        <f t="shared" si="4"/>
        <v>0</v>
      </c>
      <c r="H46" s="550"/>
      <c r="I46" s="509"/>
      <c r="J46" s="510"/>
      <c r="K46" s="550"/>
      <c r="L46" s="509"/>
      <c r="M46" s="510"/>
    </row>
    <row r="47" spans="4:13" ht="20.45" customHeight="1">
      <c r="D47" s="550"/>
      <c r="E47" s="509"/>
      <c r="F47" s="509"/>
      <c r="G47" s="510">
        <f t="shared" si="4"/>
        <v>0</v>
      </c>
      <c r="H47" s="550"/>
      <c r="I47" s="509"/>
      <c r="J47" s="510"/>
      <c r="K47" s="550"/>
      <c r="L47" s="509"/>
      <c r="M47" s="510"/>
    </row>
    <row r="48" spans="4:13" ht="20.45" customHeight="1" thickBot="1">
      <c r="D48" s="1468"/>
      <c r="E48" s="513"/>
      <c r="F48" s="513"/>
      <c r="G48" s="514">
        <f t="shared" si="4"/>
        <v>0</v>
      </c>
      <c r="H48" s="1468"/>
      <c r="I48" s="513"/>
      <c r="J48" s="514"/>
      <c r="K48" s="1468"/>
      <c r="L48" s="513"/>
      <c r="M48" s="514"/>
    </row>
    <row r="49" spans="3:13" ht="20.45" customHeight="1" thickBot="1">
      <c r="D49" s="1471"/>
      <c r="E49" s="1472">
        <f>SUM(E42:E48)</f>
        <v>185989442</v>
      </c>
      <c r="F49" s="1472">
        <f>SUM(F42:F48)</f>
        <v>0</v>
      </c>
      <c r="G49" s="1472"/>
      <c r="H49" s="1472"/>
      <c r="I49" s="1472"/>
      <c r="J49" s="1472"/>
      <c r="K49" s="1472"/>
      <c r="L49" s="1472"/>
      <c r="M49" s="560"/>
    </row>
    <row r="51" spans="3:13" s="494" customFormat="1" ht="20.45" customHeight="1" thickBot="1">
      <c r="D51" s="494" t="s">
        <v>1728</v>
      </c>
    </row>
    <row r="52" spans="3:13" ht="20.45" customHeight="1">
      <c r="D52" s="1465" t="s">
        <v>414</v>
      </c>
      <c r="E52" s="1466" t="s">
        <v>1453</v>
      </c>
      <c r="F52" s="1466"/>
      <c r="G52" s="1467" t="s">
        <v>1454</v>
      </c>
      <c r="H52" s="1465" t="s">
        <v>393</v>
      </c>
      <c r="I52" s="1466" t="s">
        <v>1456</v>
      </c>
      <c r="J52" s="1467" t="s">
        <v>1457</v>
      </c>
      <c r="K52" s="1465" t="s">
        <v>393</v>
      </c>
      <c r="L52" s="1466" t="s">
        <v>1456</v>
      </c>
      <c r="M52" s="1467" t="s">
        <v>1457</v>
      </c>
    </row>
    <row r="53" spans="3:13" ht="20.45" customHeight="1">
      <c r="D53" s="550" t="s">
        <v>816</v>
      </c>
      <c r="E53" s="509">
        <f>-'7.0'!I7</f>
        <v>0</v>
      </c>
      <c r="F53" s="509"/>
      <c r="G53" s="510">
        <f t="shared" ref="G53:G59" si="5">F53-E53</f>
        <v>0</v>
      </c>
      <c r="H53" s="550" t="s">
        <v>695</v>
      </c>
      <c r="I53" s="509" t="s">
        <v>209</v>
      </c>
      <c r="J53" s="510">
        <f>-G53</f>
        <v>0</v>
      </c>
      <c r="K53" s="550" t="s">
        <v>815</v>
      </c>
      <c r="L53" s="509" t="s">
        <v>816</v>
      </c>
      <c r="M53" s="510">
        <f>-J53</f>
        <v>0</v>
      </c>
    </row>
    <row r="54" spans="3:13" ht="20.45" customHeight="1">
      <c r="D54" s="550" t="s">
        <v>818</v>
      </c>
      <c r="E54" s="509">
        <f>-'3.0'!I294</f>
        <v>0</v>
      </c>
      <c r="F54" s="509"/>
      <c r="G54" s="510">
        <f t="shared" si="5"/>
        <v>0</v>
      </c>
      <c r="H54" s="550" t="s">
        <v>695</v>
      </c>
      <c r="I54" s="509" t="s">
        <v>209</v>
      </c>
      <c r="J54" s="510">
        <f t="shared" ref="J54:J59" si="6">-G54</f>
        <v>0</v>
      </c>
      <c r="K54" s="550" t="s">
        <v>817</v>
      </c>
      <c r="L54" s="509" t="s">
        <v>818</v>
      </c>
      <c r="M54" s="510">
        <f t="shared" ref="M54:M59" si="7">-J54</f>
        <v>0</v>
      </c>
    </row>
    <row r="55" spans="3:13" ht="20.45" customHeight="1">
      <c r="D55" s="550" t="s">
        <v>820</v>
      </c>
      <c r="E55" s="509">
        <f>-'3.0'!I241</f>
        <v>0</v>
      </c>
      <c r="F55" s="509"/>
      <c r="G55" s="510">
        <f t="shared" si="5"/>
        <v>0</v>
      </c>
      <c r="H55" s="550" t="s">
        <v>695</v>
      </c>
      <c r="I55" s="509" t="s">
        <v>209</v>
      </c>
      <c r="J55" s="510">
        <f t="shared" si="6"/>
        <v>0</v>
      </c>
      <c r="K55" s="550" t="s">
        <v>819</v>
      </c>
      <c r="L55" s="509" t="s">
        <v>820</v>
      </c>
      <c r="M55" s="510">
        <f t="shared" si="7"/>
        <v>0</v>
      </c>
    </row>
    <row r="56" spans="3:13" ht="20.45" customHeight="1">
      <c r="D56" s="550" t="s">
        <v>713</v>
      </c>
      <c r="E56" s="509">
        <f>T_IS!X119</f>
        <v>1413694186</v>
      </c>
      <c r="F56" s="509"/>
      <c r="G56" s="510">
        <f t="shared" si="5"/>
        <v>-1413694186</v>
      </c>
      <c r="H56" s="550" t="s">
        <v>695</v>
      </c>
      <c r="I56" s="509" t="s">
        <v>209</v>
      </c>
      <c r="J56" s="510">
        <f t="shared" si="6"/>
        <v>1413694186</v>
      </c>
      <c r="K56" s="550" t="s">
        <v>712</v>
      </c>
      <c r="L56" s="509" t="s">
        <v>713</v>
      </c>
      <c r="M56" s="510">
        <f t="shared" si="7"/>
        <v>-1413694186</v>
      </c>
    </row>
    <row r="57" spans="3:13" ht="20.45" customHeight="1">
      <c r="D57" s="550" t="s">
        <v>715</v>
      </c>
      <c r="E57" s="509"/>
      <c r="F57" s="509"/>
      <c r="G57" s="510">
        <f t="shared" si="5"/>
        <v>0</v>
      </c>
      <c r="H57" s="550" t="s">
        <v>695</v>
      </c>
      <c r="I57" s="509" t="s">
        <v>209</v>
      </c>
      <c r="J57" s="510">
        <f t="shared" si="6"/>
        <v>0</v>
      </c>
      <c r="K57" s="550" t="s">
        <v>714</v>
      </c>
      <c r="L57" s="509" t="s">
        <v>715</v>
      </c>
      <c r="M57" s="510">
        <f t="shared" si="7"/>
        <v>0</v>
      </c>
    </row>
    <row r="58" spans="3:13" ht="20.45" customHeight="1">
      <c r="D58" s="550" t="s">
        <v>717</v>
      </c>
      <c r="E58" s="509">
        <f>-'1.0'!I25</f>
        <v>0</v>
      </c>
      <c r="F58" s="509"/>
      <c r="G58" s="510">
        <f t="shared" si="5"/>
        <v>0</v>
      </c>
      <c r="H58" s="550" t="s">
        <v>695</v>
      </c>
      <c r="I58" s="509" t="s">
        <v>209</v>
      </c>
      <c r="J58" s="510">
        <f t="shared" si="6"/>
        <v>0</v>
      </c>
      <c r="K58" s="550" t="s">
        <v>716</v>
      </c>
      <c r="L58" s="509" t="s">
        <v>717</v>
      </c>
      <c r="M58" s="510">
        <f t="shared" si="7"/>
        <v>0</v>
      </c>
    </row>
    <row r="59" spans="3:13" ht="20.45" customHeight="1" thickBot="1">
      <c r="D59" s="1468"/>
      <c r="E59" s="513"/>
      <c r="F59" s="513"/>
      <c r="G59" s="514">
        <f t="shared" si="5"/>
        <v>0</v>
      </c>
      <c r="H59" s="550" t="s">
        <v>695</v>
      </c>
      <c r="I59" s="509" t="s">
        <v>209</v>
      </c>
      <c r="J59" s="510">
        <f t="shared" si="6"/>
        <v>0</v>
      </c>
      <c r="K59" s="1468"/>
      <c r="L59" s="513"/>
      <c r="M59" s="510">
        <f t="shared" si="7"/>
        <v>0</v>
      </c>
    </row>
    <row r="60" spans="3:13" ht="20.45" customHeight="1" thickBot="1">
      <c r="D60" s="1471"/>
      <c r="E60" s="1472">
        <f>SUM(E53:E59)</f>
        <v>1413694186</v>
      </c>
      <c r="F60" s="1472">
        <f>SUM(F53:F59)</f>
        <v>0</v>
      </c>
      <c r="G60" s="1472"/>
      <c r="H60" s="1472"/>
      <c r="I60" s="1472"/>
      <c r="J60" s="1472"/>
      <c r="K60" s="1472"/>
      <c r="L60" s="1472"/>
      <c r="M60" s="560"/>
    </row>
    <row r="63" spans="3:13" s="494" customFormat="1" ht="20.45" customHeight="1">
      <c r="C63" s="494" t="s">
        <v>1449</v>
      </c>
    </row>
    <row r="64" spans="3:13" s="494" customFormat="1" ht="20.45" customHeight="1" thickBot="1">
      <c r="D64" s="494" t="s">
        <v>1465</v>
      </c>
    </row>
    <row r="65" spans="4:14" ht="20.45" customHeight="1">
      <c r="D65" s="2023" t="s">
        <v>414</v>
      </c>
      <c r="E65" s="2024" t="s">
        <v>393</v>
      </c>
      <c r="F65" s="2024" t="s">
        <v>2884</v>
      </c>
      <c r="G65" s="2024" t="s">
        <v>2885</v>
      </c>
      <c r="H65" s="2023"/>
      <c r="I65" s="2024"/>
      <c r="J65" s="2025"/>
      <c r="K65" s="2024" t="s">
        <v>393</v>
      </c>
      <c r="L65" s="2024" t="s">
        <v>1456</v>
      </c>
      <c r="M65" s="2025" t="s">
        <v>1457</v>
      </c>
      <c r="N65" s="509"/>
    </row>
    <row r="66" spans="4:14" ht="20.45" customHeight="1">
      <c r="D66" s="1473" t="s">
        <v>26</v>
      </c>
      <c r="E66" s="1474">
        <v>111731</v>
      </c>
      <c r="F66" s="1505">
        <v>-145519615</v>
      </c>
      <c r="G66" s="509">
        <f>SUMIF('3.0'!$D:$D,CF.2!E66,'3.0'!$H:$H)</f>
        <v>-657672109</v>
      </c>
      <c r="H66" s="1473"/>
      <c r="I66" s="509"/>
      <c r="J66" s="1475"/>
      <c r="K66" s="509" t="s">
        <v>904</v>
      </c>
      <c r="L66" s="509" t="s">
        <v>905</v>
      </c>
      <c r="M66" s="1476">
        <f>F66-G66</f>
        <v>512152494</v>
      </c>
      <c r="N66" s="509"/>
    </row>
    <row r="67" spans="4:14" ht="20.45" customHeight="1">
      <c r="D67" s="1473" t="s">
        <v>24</v>
      </c>
      <c r="E67" s="1474">
        <v>111711</v>
      </c>
      <c r="F67" s="1505">
        <v>-574786000</v>
      </c>
      <c r="G67" s="509">
        <f>SUMIF('3.0'!$D:$D,CF.2!E67,'3.0'!$H:$H)</f>
        <v>-198945300</v>
      </c>
      <c r="H67" s="1473"/>
      <c r="I67" s="509"/>
      <c r="J67" s="1475"/>
      <c r="K67" s="509" t="s">
        <v>904</v>
      </c>
      <c r="L67" s="509" t="s">
        <v>905</v>
      </c>
      <c r="M67" s="1476">
        <f>F67-G67</f>
        <v>-375840700</v>
      </c>
      <c r="N67" s="509"/>
    </row>
    <row r="68" spans="4:14" ht="20.45" customHeight="1">
      <c r="D68" s="1473" t="s">
        <v>33</v>
      </c>
      <c r="E68" s="1474">
        <v>112113</v>
      </c>
      <c r="F68" s="1505">
        <v>0</v>
      </c>
      <c r="G68" s="509">
        <f>SUMIF('3.0'!$D:$D,CF.2!E68,'3.0'!$H:$H)</f>
        <v>0</v>
      </c>
      <c r="H68" s="1473"/>
      <c r="I68" s="509"/>
      <c r="J68" s="1475"/>
      <c r="K68" s="509" t="s">
        <v>906</v>
      </c>
      <c r="L68" s="509" t="s">
        <v>907</v>
      </c>
      <c r="M68" s="1476">
        <f t="shared" ref="M68:M81" si="8">F68-G68</f>
        <v>0</v>
      </c>
      <c r="N68" s="509"/>
    </row>
    <row r="69" spans="4:14" ht="20.45" customHeight="1">
      <c r="D69" s="1473" t="s">
        <v>36</v>
      </c>
      <c r="E69" s="1474">
        <v>112300</v>
      </c>
      <c r="F69" s="1505">
        <v>-43857535</v>
      </c>
      <c r="G69" s="509">
        <f>SUMIF('3.0'!$D:$D,CF.2!E69,'3.0'!$H:$H)</f>
        <v>0</v>
      </c>
      <c r="H69" s="1473"/>
      <c r="I69" s="509"/>
      <c r="J69" s="1475"/>
      <c r="K69" s="509" t="s">
        <v>908</v>
      </c>
      <c r="L69" s="509" t="s">
        <v>909</v>
      </c>
      <c r="M69" s="1476">
        <f t="shared" si="8"/>
        <v>-43857535</v>
      </c>
      <c r="N69" s="509">
        <f>-M69</f>
        <v>43857535</v>
      </c>
    </row>
    <row r="70" spans="4:14" ht="20.45" customHeight="1">
      <c r="D70" s="1473" t="s">
        <v>1865</v>
      </c>
      <c r="E70" s="1474">
        <v>112302</v>
      </c>
      <c r="F70" s="1505">
        <v>0</v>
      </c>
      <c r="G70" s="509">
        <f>SUMIF('3.0'!$D:$D,CF.2!E70,'3.0'!$H:$H)</f>
        <v>0</v>
      </c>
      <c r="H70" s="1473"/>
      <c r="I70" s="509"/>
      <c r="J70" s="1475"/>
      <c r="K70" s="509" t="s">
        <v>908</v>
      </c>
      <c r="L70" s="509" t="s">
        <v>909</v>
      </c>
      <c r="M70" s="1476">
        <f t="shared" si="8"/>
        <v>0</v>
      </c>
      <c r="N70" s="509">
        <f>-M70</f>
        <v>0</v>
      </c>
    </row>
    <row r="71" spans="4:14" ht="20.45" customHeight="1">
      <c r="D71" s="1473" t="s">
        <v>60</v>
      </c>
      <c r="E71" s="1474">
        <v>112511</v>
      </c>
      <c r="F71" s="1505">
        <v>0</v>
      </c>
      <c r="G71" s="509">
        <f>-'3.0'!M39</f>
        <v>-281934919</v>
      </c>
      <c r="H71" s="1473"/>
      <c r="I71" s="509"/>
      <c r="J71" s="1475"/>
      <c r="K71" s="509" t="s">
        <v>910</v>
      </c>
      <c r="L71" s="509" t="s">
        <v>911</v>
      </c>
      <c r="M71" s="1476">
        <f t="shared" si="8"/>
        <v>281934919</v>
      </c>
      <c r="N71" s="509"/>
    </row>
    <row r="72" spans="4:14" s="575" customFormat="1" ht="20.45" customHeight="1">
      <c r="D72" s="1477" t="s">
        <v>138</v>
      </c>
      <c r="E72" s="1677">
        <v>211111</v>
      </c>
      <c r="F72" s="1505">
        <v>0</v>
      </c>
      <c r="G72" s="925">
        <f>SUMIF('3.0'!$D:$D,CF.2!E72,'3.0'!$H:$H)</f>
        <v>657672109</v>
      </c>
      <c r="H72" s="1477"/>
      <c r="I72" s="925"/>
      <c r="J72" s="1476"/>
      <c r="K72" s="925" t="s">
        <v>940</v>
      </c>
      <c r="L72" s="925" t="s">
        <v>941</v>
      </c>
      <c r="M72" s="1476">
        <f t="shared" si="8"/>
        <v>-657672109</v>
      </c>
      <c r="N72" s="925"/>
    </row>
    <row r="73" spans="4:14" ht="20.45" customHeight="1">
      <c r="D73" s="1473" t="s">
        <v>139</v>
      </c>
      <c r="E73" s="1474">
        <v>211121</v>
      </c>
      <c r="F73" s="1505">
        <v>138406615</v>
      </c>
      <c r="G73" s="509">
        <f>SUMIF('3.0'!$D:$D,CF.2!E73,'3.0'!$H:$H)</f>
        <v>0</v>
      </c>
      <c r="H73" s="1473"/>
      <c r="I73" s="509"/>
      <c r="J73" s="1475"/>
      <c r="K73" s="509" t="s">
        <v>940</v>
      </c>
      <c r="L73" s="509" t="s">
        <v>941</v>
      </c>
      <c r="M73" s="1476">
        <f t="shared" si="8"/>
        <v>138406615</v>
      </c>
      <c r="N73" s="509"/>
    </row>
    <row r="74" spans="4:14" ht="20.45" customHeight="1">
      <c r="D74" s="1473" t="s">
        <v>145</v>
      </c>
      <c r="E74" s="1474">
        <v>213150</v>
      </c>
      <c r="F74" s="1505">
        <v>64613000</v>
      </c>
      <c r="G74" s="509">
        <f>SUMIF('3.0'!$D:$D,CF.2!E74,'3.0'!$H:$H)</f>
        <v>8515800</v>
      </c>
      <c r="H74" s="1473"/>
      <c r="I74" s="509"/>
      <c r="J74" s="1475"/>
      <c r="K74" s="509" t="s">
        <v>948</v>
      </c>
      <c r="L74" s="509" t="s">
        <v>949</v>
      </c>
      <c r="M74" s="1476">
        <f t="shared" si="8"/>
        <v>56097200</v>
      </c>
      <c r="N74" s="509"/>
    </row>
    <row r="75" spans="4:14" ht="20.45" customHeight="1">
      <c r="D75" s="1477" t="s">
        <v>144</v>
      </c>
      <c r="E75" s="1478">
        <v>213100</v>
      </c>
      <c r="F75" s="1505">
        <v>517286000</v>
      </c>
      <c r="G75" s="925">
        <f>SUMIF('3.0'!$D:$D,CF.2!E75,'3.0'!$H:$H)</f>
        <v>190429500</v>
      </c>
      <c r="H75" s="1477"/>
      <c r="I75" s="925"/>
      <c r="J75" s="1476"/>
      <c r="K75" s="925" t="s">
        <v>948</v>
      </c>
      <c r="L75" s="925" t="s">
        <v>949</v>
      </c>
      <c r="M75" s="1476">
        <f t="shared" si="8"/>
        <v>326856500</v>
      </c>
      <c r="N75" s="509"/>
    </row>
    <row r="76" spans="4:14" ht="20.45" customHeight="1">
      <c r="D76" s="1477" t="s">
        <v>151</v>
      </c>
      <c r="E76" s="1478">
        <v>217200</v>
      </c>
      <c r="F76" s="1505">
        <v>0</v>
      </c>
      <c r="G76" s="925">
        <f>SUMIF('3.0'!$D:$D,CF.2!E76,'3.0'!$H:$H)</f>
        <v>0</v>
      </c>
      <c r="H76" s="1477"/>
      <c r="I76" s="925"/>
      <c r="J76" s="1476"/>
      <c r="K76" s="925" t="s">
        <v>950</v>
      </c>
      <c r="L76" s="925" t="s">
        <v>951</v>
      </c>
      <c r="M76" s="1476">
        <f t="shared" si="8"/>
        <v>0</v>
      </c>
      <c r="N76" s="509">
        <f>-M76</f>
        <v>0</v>
      </c>
    </row>
    <row r="77" spans="4:14" ht="20.45" customHeight="1">
      <c r="D77" s="1477" t="s">
        <v>2295</v>
      </c>
      <c r="E77" s="1478">
        <v>217100</v>
      </c>
      <c r="F77" s="1505">
        <v>43857535</v>
      </c>
      <c r="G77" s="925">
        <f>SUMIF('3.0'!$D:$D,CF.2!E77,'3.0'!$H:$H)</f>
        <v>0</v>
      </c>
      <c r="H77" s="1477"/>
      <c r="I77" s="925"/>
      <c r="J77" s="1476"/>
      <c r="K77" s="925" t="s">
        <v>950</v>
      </c>
      <c r="L77" s="925" t="s">
        <v>951</v>
      </c>
      <c r="M77" s="1476">
        <f t="shared" si="8"/>
        <v>43857535</v>
      </c>
      <c r="N77" s="509">
        <f>-M77</f>
        <v>-43857535</v>
      </c>
    </row>
    <row r="78" spans="4:14" ht="20.45" customHeight="1">
      <c r="D78" s="1477" t="s">
        <v>150</v>
      </c>
      <c r="E78" s="1478">
        <v>217900</v>
      </c>
      <c r="F78" s="1505">
        <v>0</v>
      </c>
      <c r="G78" s="925">
        <f>SUMIF('3.0'!$D:$D,CF.2!E78,'3.0'!$H:$H)</f>
        <v>0</v>
      </c>
      <c r="H78" s="1477"/>
      <c r="I78" s="925"/>
      <c r="J78" s="1476"/>
      <c r="K78" s="925" t="s">
        <v>950</v>
      </c>
      <c r="L78" s="925" t="s">
        <v>951</v>
      </c>
      <c r="M78" s="1476">
        <f t="shared" si="8"/>
        <v>0</v>
      </c>
      <c r="N78" s="509"/>
    </row>
    <row r="79" spans="4:14" ht="20.45" customHeight="1">
      <c r="D79" s="1477" t="s">
        <v>164</v>
      </c>
      <c r="E79" s="1478">
        <v>214200</v>
      </c>
      <c r="F79" s="1505">
        <v>0</v>
      </c>
      <c r="G79" s="925">
        <f>SUMIF('3.0'!$D:$D,CF.2!E79,'3.0'!$H:$H)</f>
        <v>0</v>
      </c>
      <c r="H79" s="1477"/>
      <c r="I79" s="925"/>
      <c r="J79" s="1476"/>
      <c r="K79" s="925" t="s">
        <v>942</v>
      </c>
      <c r="L79" s="925" t="s">
        <v>943</v>
      </c>
      <c r="M79" s="1476">
        <f t="shared" si="8"/>
        <v>0</v>
      </c>
      <c r="N79" s="509"/>
    </row>
    <row r="80" spans="4:14" ht="20.45" customHeight="1">
      <c r="D80" s="1477" t="s">
        <v>1829</v>
      </c>
      <c r="E80" s="1478">
        <v>214250</v>
      </c>
      <c r="F80" s="1505">
        <v>0</v>
      </c>
      <c r="G80" s="925">
        <f>SUMIF('3.0'!$D:$D,CF.2!E80,'3.0'!$H:$H)</f>
        <v>0</v>
      </c>
      <c r="H80" s="1477"/>
      <c r="I80" s="925"/>
      <c r="J80" s="1476"/>
      <c r="K80" s="925" t="s">
        <v>942</v>
      </c>
      <c r="L80" s="925" t="s">
        <v>943</v>
      </c>
      <c r="M80" s="1476">
        <f t="shared" si="8"/>
        <v>0</v>
      </c>
      <c r="N80" s="509"/>
    </row>
    <row r="81" spans="4:14" ht="20.45" customHeight="1">
      <c r="D81" s="1477" t="s">
        <v>168</v>
      </c>
      <c r="E81" s="1478">
        <v>214400</v>
      </c>
      <c r="F81" s="1505">
        <v>0</v>
      </c>
      <c r="G81" s="925">
        <f>SUMIF('3.0'!$D:$D,CF.2!E81,'3.0'!$H:$H)</f>
        <v>919178</v>
      </c>
      <c r="H81" s="1477"/>
      <c r="I81" s="925"/>
      <c r="J81" s="1476"/>
      <c r="K81" s="925" t="s">
        <v>998</v>
      </c>
      <c r="L81" s="925" t="s">
        <v>947</v>
      </c>
      <c r="M81" s="1476">
        <f t="shared" si="8"/>
        <v>-919178</v>
      </c>
      <c r="N81" s="509"/>
    </row>
    <row r="82" spans="4:14" ht="20.45" customHeight="1">
      <c r="D82" s="1477" t="s">
        <v>209</v>
      </c>
      <c r="E82" s="1478" t="s">
        <v>1355</v>
      </c>
      <c r="F82" s="1505"/>
      <c r="G82" s="925"/>
      <c r="H82" s="1477"/>
      <c r="I82" s="925"/>
      <c r="J82" s="1476"/>
      <c r="K82" s="925" t="s">
        <v>695</v>
      </c>
      <c r="L82" s="925" t="s">
        <v>209</v>
      </c>
      <c r="M82" s="1476"/>
      <c r="N82" s="509"/>
    </row>
    <row r="83" spans="4:14" ht="20.45" customHeight="1">
      <c r="D83" s="1477" t="s">
        <v>762</v>
      </c>
      <c r="E83" s="1677">
        <v>712900</v>
      </c>
      <c r="F83" s="1505"/>
      <c r="G83" s="925">
        <v>-1543857535</v>
      </c>
      <c r="H83" s="1477">
        <v>111912</v>
      </c>
      <c r="I83" s="925" t="s">
        <v>2395</v>
      </c>
      <c r="J83" s="925">
        <f>'3.0'!M53</f>
        <v>1500000000</v>
      </c>
      <c r="K83" s="1479" t="s">
        <v>843</v>
      </c>
      <c r="L83" s="925" t="s">
        <v>844</v>
      </c>
      <c r="M83" s="1476">
        <f>-G83</f>
        <v>1543857535</v>
      </c>
      <c r="N83" s="509"/>
    </row>
    <row r="84" spans="4:14" ht="20.45" customHeight="1" thickBot="1">
      <c r="D84" s="1874" t="s">
        <v>209</v>
      </c>
      <c r="E84" s="1875" t="s">
        <v>1355</v>
      </c>
      <c r="F84" s="2029"/>
      <c r="G84" s="1876">
        <f>'3.0'!P39</f>
        <v>0</v>
      </c>
      <c r="H84" s="1874">
        <v>112301</v>
      </c>
      <c r="I84" s="1876" t="s">
        <v>2396</v>
      </c>
      <c r="J84" s="1876">
        <f>'3.0'!M54</f>
        <v>43857535</v>
      </c>
      <c r="K84" s="1874" t="s">
        <v>695</v>
      </c>
      <c r="L84" s="1876" t="s">
        <v>209</v>
      </c>
      <c r="M84" s="1877">
        <f>-G84</f>
        <v>0</v>
      </c>
    </row>
    <row r="85" spans="4:14" ht="20.45" customHeight="1">
      <c r="D85" s="509"/>
      <c r="E85" s="1474"/>
      <c r="F85" s="509"/>
      <c r="G85" s="509"/>
      <c r="H85" s="509"/>
      <c r="I85" s="509"/>
      <c r="J85" s="509"/>
      <c r="K85" s="509"/>
      <c r="L85" s="509"/>
      <c r="M85" s="509"/>
      <c r="N85" s="509"/>
    </row>
    <row r="86" spans="4:14" s="494" customFormat="1" ht="20.45" customHeight="1" thickBot="1">
      <c r="D86" s="952" t="s">
        <v>1466</v>
      </c>
      <c r="E86" s="1480"/>
      <c r="F86" s="952"/>
      <c r="G86" s="952"/>
      <c r="H86" s="952"/>
      <c r="I86" s="952"/>
      <c r="J86" s="952"/>
      <c r="K86" s="952"/>
      <c r="L86" s="952"/>
      <c r="M86" s="952"/>
      <c r="N86" s="952"/>
    </row>
    <row r="87" spans="4:14" ht="20.45" customHeight="1">
      <c r="D87" s="1465" t="s">
        <v>414</v>
      </c>
      <c r="E87" s="1466" t="s">
        <v>1453</v>
      </c>
      <c r="F87" s="1466"/>
      <c r="G87" s="1467" t="s">
        <v>1454</v>
      </c>
      <c r="H87" s="1465" t="s">
        <v>393</v>
      </c>
      <c r="I87" s="1466" t="s">
        <v>1456</v>
      </c>
      <c r="J87" s="1467" t="s">
        <v>1457</v>
      </c>
      <c r="K87" s="1465" t="s">
        <v>393</v>
      </c>
      <c r="L87" s="1466" t="s">
        <v>1456</v>
      </c>
      <c r="M87" s="1467" t="s">
        <v>1457</v>
      </c>
      <c r="N87" s="509"/>
    </row>
    <row r="88" spans="4:14" ht="20.45" customHeight="1">
      <c r="D88" s="550" t="s">
        <v>673</v>
      </c>
      <c r="E88" s="509">
        <f>-'3.0'!H275</f>
        <v>-46841095</v>
      </c>
      <c r="F88" s="509"/>
      <c r="G88" s="510">
        <f t="shared" ref="G88:G94" si="9">F88-E88</f>
        <v>46841095</v>
      </c>
      <c r="H88" s="550" t="s">
        <v>695</v>
      </c>
      <c r="I88" s="509" t="s">
        <v>209</v>
      </c>
      <c r="J88" s="510">
        <f>-G88</f>
        <v>-46841095</v>
      </c>
      <c r="K88" s="550" t="s">
        <v>873</v>
      </c>
      <c r="L88" s="509" t="s">
        <v>673</v>
      </c>
      <c r="M88" s="510">
        <f>-J88</f>
        <v>46841095</v>
      </c>
      <c r="N88" s="509"/>
    </row>
    <row r="89" spans="4:14" ht="20.45" customHeight="1">
      <c r="D89" s="550" t="s">
        <v>681</v>
      </c>
      <c r="E89" s="509">
        <f>-'3.0'!H285</f>
        <v>46841095</v>
      </c>
      <c r="F89" s="509"/>
      <c r="G89" s="510">
        <f t="shared" si="9"/>
        <v>-46841095</v>
      </c>
      <c r="H89" s="550" t="s">
        <v>695</v>
      </c>
      <c r="I89" s="509" t="s">
        <v>209</v>
      </c>
      <c r="J89" s="510">
        <f>-G89</f>
        <v>46841095</v>
      </c>
      <c r="K89" s="550" t="s">
        <v>782</v>
      </c>
      <c r="L89" s="509" t="s">
        <v>681</v>
      </c>
      <c r="M89" s="510">
        <f>-J89</f>
        <v>-46841095</v>
      </c>
      <c r="N89" s="509"/>
    </row>
    <row r="90" spans="4:14" ht="20.45" customHeight="1">
      <c r="D90" s="550" t="s">
        <v>2601</v>
      </c>
      <c r="E90" s="509">
        <f>-'3.0'!L52</f>
        <v>-1543857535</v>
      </c>
      <c r="F90" s="509"/>
      <c r="G90" s="510">
        <f t="shared" si="9"/>
        <v>1543857535</v>
      </c>
      <c r="H90" s="550" t="s">
        <v>695</v>
      </c>
      <c r="I90" s="509" t="s">
        <v>209</v>
      </c>
      <c r="J90" s="510">
        <f>-G90</f>
        <v>-1543857535</v>
      </c>
      <c r="K90" s="550"/>
      <c r="L90" s="509"/>
      <c r="M90" s="510">
        <f>-J90</f>
        <v>1543857535</v>
      </c>
      <c r="N90" s="509"/>
    </row>
    <row r="91" spans="4:14" ht="20.45" customHeight="1">
      <c r="D91" s="550"/>
      <c r="E91" s="509"/>
      <c r="F91" s="509"/>
      <c r="G91" s="510"/>
      <c r="H91" s="550"/>
      <c r="I91" s="509"/>
      <c r="J91" s="510"/>
      <c r="K91" s="550"/>
      <c r="L91" s="509"/>
      <c r="M91" s="510"/>
      <c r="N91" s="509"/>
    </row>
    <row r="92" spans="4:14" ht="20.45" customHeight="1">
      <c r="D92" s="550"/>
      <c r="E92" s="509"/>
      <c r="F92" s="509"/>
      <c r="G92" s="510"/>
      <c r="H92" s="550"/>
      <c r="I92" s="509"/>
      <c r="J92" s="510"/>
      <c r="K92" s="550"/>
      <c r="L92" s="509"/>
      <c r="M92" s="510"/>
      <c r="N92" s="509"/>
    </row>
    <row r="93" spans="4:14" ht="20.45" customHeight="1">
      <c r="D93" s="550"/>
      <c r="E93" s="509"/>
      <c r="F93" s="509"/>
      <c r="G93" s="510">
        <f t="shared" si="9"/>
        <v>0</v>
      </c>
      <c r="H93" s="550"/>
      <c r="I93" s="509"/>
      <c r="J93" s="510"/>
      <c r="K93" s="550"/>
      <c r="L93" s="509"/>
      <c r="M93" s="510"/>
      <c r="N93" s="509"/>
    </row>
    <row r="94" spans="4:14" ht="20.45" customHeight="1" thickBot="1">
      <c r="D94" s="1468"/>
      <c r="E94" s="513"/>
      <c r="F94" s="513"/>
      <c r="G94" s="514">
        <f t="shared" si="9"/>
        <v>0</v>
      </c>
      <c r="H94" s="1468"/>
      <c r="I94" s="513"/>
      <c r="J94" s="514"/>
      <c r="K94" s="1468"/>
      <c r="L94" s="513"/>
      <c r="M94" s="514"/>
      <c r="N94" s="509"/>
    </row>
    <row r="95" spans="4:14" ht="20.45" customHeight="1" thickBot="1">
      <c r="D95" s="1471"/>
      <c r="E95" s="1472">
        <f>SUM(E88:E94)</f>
        <v>-1543857535</v>
      </c>
      <c r="F95" s="1472">
        <f>SUM(F88:F94)</f>
        <v>0</v>
      </c>
      <c r="G95" s="1472"/>
      <c r="H95" s="1472"/>
      <c r="I95" s="1472"/>
      <c r="J95" s="1472"/>
      <c r="K95" s="1472"/>
      <c r="L95" s="1472"/>
      <c r="M95" s="560"/>
      <c r="N95" s="509"/>
    </row>
    <row r="96" spans="4:14" ht="20.45" customHeight="1">
      <c r="D96" s="509"/>
      <c r="E96" s="1474"/>
      <c r="F96" s="509"/>
      <c r="G96" s="509">
        <f>SUM(G66:G94)</f>
        <v>-281015741</v>
      </c>
      <c r="H96" s="509"/>
      <c r="I96" s="509"/>
      <c r="J96" s="509"/>
      <c r="K96" s="509"/>
      <c r="L96" s="509"/>
      <c r="M96" s="498" t="b">
        <f>SUM(J88:J94)+SUM(M88:M94)=0</f>
        <v>1</v>
      </c>
      <c r="N96" s="509"/>
    </row>
    <row r="97" spans="3:27" s="494" customFormat="1" ht="20.45" customHeight="1" thickBot="1">
      <c r="D97" s="952" t="s">
        <v>1468</v>
      </c>
      <c r="E97" s="1480"/>
      <c r="F97" s="952"/>
      <c r="G97" s="952"/>
      <c r="H97" s="952"/>
      <c r="I97" s="952"/>
      <c r="J97" s="952"/>
      <c r="K97" s="952"/>
      <c r="L97" s="952"/>
      <c r="M97" s="952"/>
      <c r="N97" s="952"/>
      <c r="O97" s="1119"/>
      <c r="P97" s="1119"/>
      <c r="Q97" s="1119"/>
      <c r="R97" s="1119"/>
      <c r="S97" s="1119"/>
      <c r="T97" s="1119"/>
      <c r="U97" s="1119"/>
      <c r="V97" s="1119"/>
      <c r="W97" s="1119"/>
      <c r="X97" s="1119"/>
      <c r="Y97" s="1119"/>
      <c r="Z97" s="1119"/>
      <c r="AA97" s="1119"/>
    </row>
    <row r="98" spans="3:27" ht="20.45" customHeight="1">
      <c r="D98" s="1465" t="s">
        <v>1469</v>
      </c>
      <c r="E98" s="1466" t="s">
        <v>1470</v>
      </c>
      <c r="F98" s="1466" t="s">
        <v>1457</v>
      </c>
      <c r="G98" s="1467" t="s">
        <v>1454</v>
      </c>
      <c r="H98" s="1465" t="s">
        <v>393</v>
      </c>
      <c r="I98" s="1466" t="s">
        <v>1456</v>
      </c>
      <c r="J98" s="1467" t="s">
        <v>1457</v>
      </c>
      <c r="K98" s="1465" t="s">
        <v>393</v>
      </c>
      <c r="L98" s="1466" t="s">
        <v>1456</v>
      </c>
      <c r="M98" s="1467" t="s">
        <v>1457</v>
      </c>
      <c r="N98" s="509"/>
      <c r="O98" s="1481"/>
      <c r="P98" s="1482"/>
      <c r="Q98" s="1482"/>
      <c r="R98" s="1483"/>
      <c r="S98" s="1481"/>
      <c r="T98" s="1484"/>
      <c r="U98" s="1482"/>
      <c r="V98" s="1484"/>
      <c r="W98" s="1482"/>
      <c r="X98" s="1485"/>
      <c r="Y98" s="1486"/>
      <c r="Z98" s="925"/>
      <c r="AA98" s="925"/>
    </row>
    <row r="99" spans="3:27" ht="20.45" customHeight="1">
      <c r="D99" s="550" t="s">
        <v>15</v>
      </c>
      <c r="E99" s="509" t="s">
        <v>2079</v>
      </c>
      <c r="F99" s="509">
        <v>-1500000000</v>
      </c>
      <c r="G99" s="510">
        <f>Q102</f>
        <v>0</v>
      </c>
      <c r="H99" s="550" t="s">
        <v>1280</v>
      </c>
      <c r="I99" s="509" t="s">
        <v>1281</v>
      </c>
      <c r="J99" s="510">
        <f>-F99</f>
        <v>1500000000</v>
      </c>
      <c r="K99" s="550" t="s">
        <v>1018</v>
      </c>
      <c r="L99" s="509" t="s">
        <v>1019</v>
      </c>
      <c r="M99" s="510">
        <f>-J99</f>
        <v>-1500000000</v>
      </c>
      <c r="N99" s="509"/>
      <c r="O99" s="1481"/>
      <c r="P99" s="1481"/>
      <c r="Q99" s="1481"/>
      <c r="R99" s="1481"/>
      <c r="S99" s="1481"/>
      <c r="T99" s="1481"/>
      <c r="U99" s="1481"/>
      <c r="V99" s="1481"/>
      <c r="W99" s="1481"/>
      <c r="X99" s="1481"/>
      <c r="Y99" s="1481"/>
      <c r="Z99" s="925"/>
      <c r="AA99" s="925"/>
    </row>
    <row r="100" spans="3:27" ht="20.45" customHeight="1">
      <c r="D100" s="550" t="s">
        <v>15</v>
      </c>
      <c r="E100" s="509" t="s">
        <v>2189</v>
      </c>
      <c r="F100" s="509">
        <v>90698630.1369863</v>
      </c>
      <c r="G100" s="510">
        <f>Q103+Q104</f>
        <v>0</v>
      </c>
      <c r="H100" s="550" t="s">
        <v>1006</v>
      </c>
      <c r="I100" s="509" t="s">
        <v>1007</v>
      </c>
      <c r="J100" s="510">
        <f>-F100</f>
        <v>-90698630.1369863</v>
      </c>
      <c r="K100" s="550" t="s">
        <v>1008</v>
      </c>
      <c r="L100" s="509" t="s">
        <v>1009</v>
      </c>
      <c r="M100" s="510">
        <f>-J100</f>
        <v>90698630.1369863</v>
      </c>
      <c r="N100" s="509"/>
      <c r="O100" s="1486"/>
      <c r="P100" s="1487"/>
      <c r="Q100" s="1488"/>
      <c r="R100" s="1489"/>
      <c r="S100" s="1486"/>
      <c r="T100" s="1490"/>
      <c r="U100" s="1487"/>
      <c r="V100" s="1490"/>
      <c r="W100" s="1490"/>
      <c r="X100" s="1489"/>
      <c r="Y100" s="1491"/>
      <c r="Z100" s="1492"/>
      <c r="AA100" s="1492"/>
    </row>
    <row r="101" spans="3:27" ht="20.45" customHeight="1">
      <c r="D101" s="550" t="s">
        <v>15</v>
      </c>
      <c r="E101" s="509" t="s">
        <v>2189</v>
      </c>
      <c r="F101" s="509">
        <v>43857535</v>
      </c>
      <c r="G101" s="510"/>
      <c r="H101" s="550" t="s">
        <v>908</v>
      </c>
      <c r="I101" s="509" t="s">
        <v>909</v>
      </c>
      <c r="J101" s="510">
        <f>-F101</f>
        <v>-43857535</v>
      </c>
      <c r="K101" s="550" t="s">
        <v>950</v>
      </c>
      <c r="L101" s="509" t="s">
        <v>951</v>
      </c>
      <c r="M101" s="510">
        <f>-J101</f>
        <v>43857535</v>
      </c>
      <c r="N101" s="509"/>
      <c r="O101" s="1486"/>
      <c r="P101" s="1487"/>
      <c r="Q101" s="1488"/>
      <c r="R101" s="1489"/>
      <c r="S101" s="1486"/>
      <c r="T101" s="1490"/>
      <c r="U101" s="1487"/>
      <c r="V101" s="1490"/>
      <c r="W101" s="1490"/>
      <c r="X101" s="1489"/>
      <c r="Y101" s="1491"/>
      <c r="Z101" s="1492"/>
      <c r="AA101" s="1492"/>
    </row>
    <row r="102" spans="3:27" s="575" customFormat="1" ht="20.45" customHeight="1">
      <c r="D102" s="1642" t="s">
        <v>15</v>
      </c>
      <c r="E102" s="925" t="s">
        <v>2189</v>
      </c>
      <c r="F102" s="925">
        <v>-1999950000</v>
      </c>
      <c r="G102" s="1646"/>
      <c r="H102" s="1642" t="s">
        <v>1155</v>
      </c>
      <c r="I102" s="925" t="s">
        <v>1156</v>
      </c>
      <c r="J102" s="1646">
        <f>-F102</f>
        <v>1999950000</v>
      </c>
      <c r="K102" s="1642" t="s">
        <v>1238</v>
      </c>
      <c r="L102" s="925" t="s">
        <v>1239</v>
      </c>
      <c r="M102" s="1646">
        <f>-J102</f>
        <v>-1999950000</v>
      </c>
      <c r="N102" s="925"/>
      <c r="O102" s="1486"/>
      <c r="P102" s="1488"/>
      <c r="Q102" s="1487"/>
      <c r="R102" s="1488"/>
      <c r="S102" s="1486"/>
      <c r="T102" s="1490"/>
      <c r="U102" s="1488"/>
      <c r="V102" s="1490"/>
      <c r="W102" s="1490"/>
      <c r="X102" s="1488"/>
      <c r="Y102" s="1491"/>
      <c r="Z102" s="1492"/>
      <c r="AA102" s="1492"/>
    </row>
    <row r="103" spans="3:27" ht="20.45" customHeight="1">
      <c r="D103" s="550"/>
      <c r="E103" s="509"/>
      <c r="F103" s="509"/>
      <c r="G103" s="510">
        <f t="shared" ref="G103:G107" si="10">-F103</f>
        <v>0</v>
      </c>
      <c r="H103" s="550"/>
      <c r="I103" s="509"/>
      <c r="J103" s="510"/>
      <c r="K103" s="550"/>
      <c r="L103" s="509"/>
      <c r="M103" s="510"/>
      <c r="N103" s="509"/>
      <c r="O103" s="1486"/>
      <c r="P103" s="1488"/>
      <c r="Q103" s="1493"/>
      <c r="R103" s="1488"/>
      <c r="S103" s="1486"/>
      <c r="T103" s="1490"/>
      <c r="U103" s="1488"/>
      <c r="V103" s="1490"/>
      <c r="W103" s="1490"/>
      <c r="X103" s="1488"/>
      <c r="Y103" s="1491"/>
      <c r="Z103" s="1492"/>
      <c r="AA103" s="1492"/>
    </row>
    <row r="104" spans="3:27" ht="20.45" customHeight="1">
      <c r="D104" s="550"/>
      <c r="E104" s="509"/>
      <c r="F104" s="509">
        <f>-CF.1!K243</f>
        <v>0</v>
      </c>
      <c r="G104" s="510">
        <f t="shared" si="10"/>
        <v>0</v>
      </c>
      <c r="H104" s="550"/>
      <c r="I104" s="509"/>
      <c r="J104" s="510"/>
      <c r="K104" s="550"/>
      <c r="L104" s="509"/>
      <c r="M104" s="510"/>
      <c r="N104" s="509"/>
      <c r="O104" s="1486"/>
      <c r="P104" s="1488"/>
      <c r="Q104" s="1493"/>
      <c r="R104" s="1488"/>
      <c r="S104" s="1486"/>
      <c r="T104" s="1490"/>
      <c r="U104" s="1488"/>
      <c r="V104" s="1490"/>
      <c r="W104" s="1490"/>
      <c r="X104" s="1488"/>
      <c r="Y104" s="1491"/>
      <c r="Z104" s="1492"/>
      <c r="AA104" s="1492"/>
    </row>
    <row r="105" spans="3:27" ht="20.45" customHeight="1">
      <c r="D105" s="550"/>
      <c r="E105" s="509"/>
      <c r="F105" s="509"/>
      <c r="G105" s="510"/>
      <c r="H105" s="550"/>
      <c r="I105" s="509"/>
      <c r="J105" s="510"/>
      <c r="K105" s="550"/>
      <c r="L105" s="509"/>
      <c r="M105" s="510"/>
      <c r="N105" s="509"/>
      <c r="O105" s="1486"/>
      <c r="P105" s="1487"/>
      <c r="Q105" s="1488"/>
      <c r="R105" s="1488"/>
      <c r="S105" s="1486"/>
      <c r="T105" s="1490"/>
      <c r="U105" s="1487"/>
      <c r="V105" s="1490"/>
      <c r="W105" s="1490"/>
      <c r="X105" s="1488"/>
      <c r="Y105" s="1491"/>
      <c r="Z105" s="1492"/>
      <c r="AA105" s="1492"/>
    </row>
    <row r="106" spans="3:27" ht="20.45" customHeight="1">
      <c r="D106" s="550"/>
      <c r="E106" s="509"/>
      <c r="F106" s="509"/>
      <c r="G106" s="510"/>
      <c r="H106" s="550"/>
      <c r="I106" s="509"/>
      <c r="J106" s="510"/>
      <c r="K106" s="550"/>
      <c r="L106" s="509"/>
      <c r="M106" s="510"/>
      <c r="N106" s="509"/>
      <c r="O106" s="1486"/>
      <c r="P106" s="1488"/>
      <c r="Q106" s="1487"/>
      <c r="R106" s="1488"/>
      <c r="S106" s="1488"/>
      <c r="T106" s="1490"/>
      <c r="U106" s="1493"/>
      <c r="V106" s="1488"/>
      <c r="W106" s="1488"/>
      <c r="X106" s="1488"/>
      <c r="Y106" s="1491"/>
      <c r="Z106" s="925"/>
      <c r="AA106" s="925"/>
    </row>
    <row r="107" spans="3:27" ht="20.45" customHeight="1" thickBot="1">
      <c r="D107" s="1468"/>
      <c r="E107" s="513"/>
      <c r="F107" s="513"/>
      <c r="G107" s="510">
        <f t="shared" si="10"/>
        <v>0</v>
      </c>
      <c r="H107" s="1468"/>
      <c r="I107" s="513"/>
      <c r="J107" s="514"/>
      <c r="K107" s="1468"/>
      <c r="L107" s="513"/>
      <c r="M107" s="510"/>
      <c r="N107" s="509" t="s">
        <v>1732</v>
      </c>
      <c r="O107" s="1494"/>
      <c r="P107" s="1494"/>
      <c r="Q107" s="1494"/>
      <c r="R107" s="1494"/>
      <c r="S107" s="1494"/>
      <c r="T107" s="1494"/>
      <c r="U107" s="1494"/>
      <c r="V107" s="1494"/>
      <c r="W107" s="1494"/>
      <c r="X107" s="1494"/>
      <c r="Y107" s="1494"/>
      <c r="Z107" s="925"/>
      <c r="AA107" s="925"/>
    </row>
    <row r="108" spans="3:27" ht="20.45" customHeight="1" thickBot="1">
      <c r="D108" s="1471"/>
      <c r="E108" s="1472">
        <f>SUM(E99:E107)</f>
        <v>0</v>
      </c>
      <c r="F108" s="1472">
        <f>SUM(F99:F107)</f>
        <v>-3365393834.8630137</v>
      </c>
      <c r="G108" s="1472"/>
      <c r="H108" s="1472"/>
      <c r="I108" s="1472"/>
      <c r="J108" s="1472"/>
      <c r="K108" s="1472"/>
      <c r="L108" s="1472"/>
      <c r="M108" s="560"/>
      <c r="N108" s="509"/>
      <c r="O108" s="1491"/>
      <c r="P108" s="1495"/>
      <c r="Q108" s="1495"/>
      <c r="R108" s="1489"/>
      <c r="S108" s="1489"/>
      <c r="T108" s="1489"/>
      <c r="U108" s="1489"/>
      <c r="V108" s="1489"/>
      <c r="W108" s="1489"/>
      <c r="X108" s="1489"/>
      <c r="Y108" s="1489"/>
      <c r="Z108" s="925"/>
      <c r="AA108" s="925"/>
    </row>
    <row r="109" spans="3:27" ht="20.45" customHeight="1">
      <c r="D109" s="509"/>
      <c r="E109" s="1474"/>
      <c r="F109" s="509"/>
      <c r="G109" s="509"/>
      <c r="H109" s="509"/>
      <c r="I109" s="509"/>
      <c r="J109" s="509"/>
      <c r="K109" s="509"/>
      <c r="L109" s="509"/>
      <c r="M109" s="498" t="b">
        <f>SUM(J99:J107)+SUM(M99:M107)=0</f>
        <v>1</v>
      </c>
      <c r="N109" s="509"/>
      <c r="O109" s="1488"/>
      <c r="P109" s="1495"/>
      <c r="Q109" s="1496"/>
      <c r="R109" s="1488"/>
      <c r="S109" s="1489"/>
      <c r="T109" s="1489"/>
      <c r="U109" s="1489"/>
      <c r="V109" s="1489"/>
      <c r="W109" s="1489"/>
      <c r="X109" s="1489"/>
      <c r="Y109" s="1489"/>
      <c r="Z109" s="1119"/>
      <c r="AA109" s="925"/>
    </row>
    <row r="110" spans="3:27" s="494" customFormat="1" ht="20.45" customHeight="1" thickBot="1">
      <c r="C110" s="494" t="s">
        <v>1464</v>
      </c>
      <c r="O110" s="1495"/>
      <c r="P110" s="1497"/>
      <c r="Q110" s="1495"/>
      <c r="R110" s="1488"/>
      <c r="S110" s="1489"/>
      <c r="T110" s="1489"/>
      <c r="U110" s="1489"/>
      <c r="V110" s="1489"/>
      <c r="W110" s="1489"/>
      <c r="X110" s="1489"/>
      <c r="Y110" s="1489"/>
      <c r="Z110" s="925"/>
      <c r="AA110" s="1119"/>
    </row>
    <row r="111" spans="3:27" ht="20.45" customHeight="1" thickBot="1">
      <c r="D111" s="1465" t="s">
        <v>499</v>
      </c>
      <c r="E111" s="1466" t="s">
        <v>1453</v>
      </c>
      <c r="F111" s="1466"/>
      <c r="G111" s="1467" t="s">
        <v>1454</v>
      </c>
      <c r="H111" s="1465" t="s">
        <v>393</v>
      </c>
      <c r="I111" s="1466" t="s">
        <v>1456</v>
      </c>
      <c r="J111" s="1467" t="s">
        <v>1457</v>
      </c>
      <c r="K111" s="1465" t="s">
        <v>393</v>
      </c>
      <c r="L111" s="1466" t="s">
        <v>1456</v>
      </c>
      <c r="M111" s="1467" t="s">
        <v>1457</v>
      </c>
      <c r="O111" s="1488"/>
      <c r="P111" s="1495"/>
      <c r="Q111" s="1497"/>
      <c r="R111" s="1489"/>
      <c r="S111" s="1489"/>
      <c r="T111" s="1489"/>
      <c r="U111" s="1489"/>
      <c r="V111" s="1489"/>
      <c r="W111" s="1489"/>
      <c r="X111" s="1489"/>
      <c r="Y111" s="1489"/>
      <c r="Z111" s="925"/>
      <c r="AA111" s="925"/>
    </row>
    <row r="112" spans="3:27" ht="20.45" customHeight="1">
      <c r="D112" s="550" t="s">
        <v>216</v>
      </c>
      <c r="E112" s="509">
        <f>-'7.0'!F42</f>
        <v>0</v>
      </c>
      <c r="F112" s="509"/>
      <c r="G112" s="509">
        <v>0</v>
      </c>
      <c r="H112" s="1498" t="s">
        <v>1153</v>
      </c>
      <c r="I112" s="1499" t="s">
        <v>1154</v>
      </c>
      <c r="J112" s="1500">
        <f>-G112</f>
        <v>0</v>
      </c>
      <c r="K112" s="1498" t="s">
        <v>1157</v>
      </c>
      <c r="L112" s="1499" t="s">
        <v>1158</v>
      </c>
      <c r="M112" s="1500">
        <f>-J112</f>
        <v>0</v>
      </c>
      <c r="O112" s="1488"/>
      <c r="P112" s="1497"/>
      <c r="Q112" s="1495"/>
      <c r="R112" s="1488"/>
      <c r="S112" s="1489"/>
      <c r="T112" s="1489"/>
      <c r="U112" s="1489"/>
      <c r="V112" s="1489"/>
      <c r="W112" s="1489"/>
      <c r="X112" s="1489"/>
      <c r="Y112" s="1489"/>
      <c r="Z112" s="925"/>
      <c r="AA112" s="925"/>
    </row>
    <row r="113" spans="3:27" ht="20.45" customHeight="1">
      <c r="D113" s="550" t="s">
        <v>216</v>
      </c>
      <c r="E113" s="509">
        <f>-'3.0'!H328</f>
        <v>0</v>
      </c>
      <c r="F113" s="509"/>
      <c r="G113" s="509">
        <v>0</v>
      </c>
      <c r="H113" s="1473" t="s">
        <v>1153</v>
      </c>
      <c r="I113" s="509" t="s">
        <v>1154</v>
      </c>
      <c r="J113" s="1475">
        <f>-G113</f>
        <v>0</v>
      </c>
      <c r="K113" s="1473" t="s">
        <v>1262</v>
      </c>
      <c r="L113" s="509" t="s">
        <v>1263</v>
      </c>
      <c r="M113" s="1475">
        <f t="shared" ref="M113:M118" si="11">-J113</f>
        <v>0</v>
      </c>
      <c r="O113" s="1488"/>
      <c r="P113" s="1497"/>
      <c r="Q113" s="1495"/>
      <c r="R113" s="1489"/>
      <c r="S113" s="1489"/>
      <c r="T113" s="1489"/>
      <c r="U113" s="1489"/>
      <c r="V113" s="1489"/>
      <c r="W113" s="1489"/>
      <c r="X113" s="1489"/>
      <c r="Y113" s="1489"/>
      <c r="Z113" s="925"/>
      <c r="AA113" s="925"/>
    </row>
    <row r="114" spans="3:27" ht="20.45" customHeight="1">
      <c r="D114" s="550" t="s">
        <v>216</v>
      </c>
      <c r="E114" s="509">
        <f>-CF.1!H241</f>
        <v>0</v>
      </c>
      <c r="F114" s="509"/>
      <c r="G114" s="509">
        <f>F114-E114</f>
        <v>0</v>
      </c>
      <c r="H114" s="1473" t="s">
        <v>1123</v>
      </c>
      <c r="I114" s="509" t="s">
        <v>1124</v>
      </c>
      <c r="J114" s="1475">
        <f>-G114</f>
        <v>0</v>
      </c>
      <c r="K114" s="1473" t="s">
        <v>1262</v>
      </c>
      <c r="L114" s="509" t="s">
        <v>1263</v>
      </c>
      <c r="M114" s="1475">
        <f t="shared" si="11"/>
        <v>0</v>
      </c>
      <c r="O114" s="1495"/>
      <c r="P114" s="1501"/>
      <c r="Q114" s="1501"/>
      <c r="R114" s="1489"/>
      <c r="S114" s="1489"/>
      <c r="T114" s="1489"/>
      <c r="U114" s="1489"/>
      <c r="V114" s="1489"/>
      <c r="W114" s="1489"/>
      <c r="X114" s="1489"/>
      <c r="Y114" s="1489"/>
      <c r="Z114" s="925"/>
      <c r="AA114" s="925"/>
    </row>
    <row r="115" spans="3:27" ht="20.45" customHeight="1">
      <c r="D115" s="550" t="s">
        <v>213</v>
      </c>
      <c r="E115" s="509"/>
      <c r="F115" s="509"/>
      <c r="G115" s="509">
        <f>F115-E115</f>
        <v>0</v>
      </c>
      <c r="H115" s="1473" t="s">
        <v>853</v>
      </c>
      <c r="I115" s="509" t="s">
        <v>854</v>
      </c>
      <c r="J115" s="1475"/>
      <c r="K115" s="1473" t="s">
        <v>702</v>
      </c>
      <c r="L115" s="509" t="s">
        <v>1416</v>
      </c>
      <c r="M115" s="1475"/>
      <c r="O115" s="925"/>
      <c r="P115" s="925"/>
      <c r="Q115" s="925"/>
      <c r="R115" s="925"/>
      <c r="S115" s="925"/>
      <c r="T115" s="925"/>
      <c r="U115" s="925"/>
      <c r="V115" s="925"/>
      <c r="W115" s="925"/>
      <c r="X115" s="925"/>
      <c r="Y115" s="925"/>
      <c r="Z115" s="925"/>
      <c r="AA115" s="925"/>
    </row>
    <row r="116" spans="3:27" ht="20.45" customHeight="1">
      <c r="D116" s="550"/>
      <c r="E116" s="509"/>
      <c r="F116" s="509"/>
      <c r="G116" s="509">
        <f>F116-E116</f>
        <v>0</v>
      </c>
      <c r="H116" s="1473" t="s">
        <v>815</v>
      </c>
      <c r="I116" s="509" t="s">
        <v>816</v>
      </c>
      <c r="J116" s="1475">
        <f>T_IS!H119</f>
        <v>0</v>
      </c>
      <c r="K116" s="1473" t="s">
        <v>695</v>
      </c>
      <c r="L116" s="509" t="s">
        <v>209</v>
      </c>
      <c r="M116" s="1475">
        <f>-J115-M115-J116-J117</f>
        <v>0</v>
      </c>
    </row>
    <row r="117" spans="3:27" ht="20.45" customHeight="1">
      <c r="D117" s="550"/>
      <c r="E117" s="509">
        <f>-'1.0'!F35</f>
        <v>0</v>
      </c>
      <c r="F117" s="509"/>
      <c r="G117" s="509">
        <f>F117-E117</f>
        <v>0</v>
      </c>
      <c r="H117" s="1473" t="s">
        <v>904</v>
      </c>
      <c r="I117" s="509" t="s">
        <v>905</v>
      </c>
      <c r="J117" s="1475"/>
      <c r="K117" s="1473"/>
      <c r="L117" s="509"/>
      <c r="M117" s="1475"/>
    </row>
    <row r="118" spans="3:27" ht="20.45" customHeight="1" thickBot="1">
      <c r="D118" s="1468"/>
      <c r="E118" s="513"/>
      <c r="F118" s="513"/>
      <c r="G118" s="513">
        <f>F118-E118</f>
        <v>0</v>
      </c>
      <c r="H118" s="1502"/>
      <c r="I118" s="1503"/>
      <c r="J118" s="1504"/>
      <c r="K118" s="1502"/>
      <c r="L118" s="1503"/>
      <c r="M118" s="1504">
        <f t="shared" si="11"/>
        <v>0</v>
      </c>
    </row>
    <row r="119" spans="3:27" ht="20.45" customHeight="1" thickBot="1">
      <c r="D119" s="1471"/>
      <c r="E119" s="1472">
        <f>SUM(E112:E118)</f>
        <v>0</v>
      </c>
      <c r="F119" s="1472">
        <f>SUM(F112:F118)</f>
        <v>0</v>
      </c>
      <c r="G119" s="1472"/>
      <c r="H119" s="513"/>
      <c r="I119" s="513"/>
      <c r="J119" s="513"/>
      <c r="K119" s="513"/>
      <c r="L119" s="513"/>
      <c r="M119" s="514"/>
    </row>
    <row r="120" spans="3:27" ht="20.45" customHeight="1">
      <c r="M120" s="498" t="b">
        <f>SUM(J112:J118)+SUM(M112:M118)=0</f>
        <v>1</v>
      </c>
    </row>
    <row r="122" spans="3:27" s="494" customFormat="1" ht="20.45" customHeight="1" thickBot="1">
      <c r="C122" s="494" t="s">
        <v>537</v>
      </c>
    </row>
    <row r="123" spans="3:27" ht="20.45" customHeight="1">
      <c r="D123" s="1465" t="s">
        <v>414</v>
      </c>
      <c r="E123" s="1466" t="s">
        <v>1453</v>
      </c>
      <c r="F123" s="1466"/>
      <c r="G123" s="1467" t="s">
        <v>1454</v>
      </c>
      <c r="H123" s="1465" t="s">
        <v>393</v>
      </c>
      <c r="I123" s="1466" t="s">
        <v>1456</v>
      </c>
      <c r="J123" s="1467" t="s">
        <v>1457</v>
      </c>
      <c r="K123" s="1465" t="s">
        <v>393</v>
      </c>
      <c r="L123" s="1466" t="s">
        <v>1456</v>
      </c>
      <c r="M123" s="1467" t="s">
        <v>1457</v>
      </c>
    </row>
    <row r="124" spans="3:27" s="575" customFormat="1" ht="20.45" customHeight="1">
      <c r="D124" s="1642" t="s">
        <v>302</v>
      </c>
      <c r="E124" s="925">
        <f>'6.0'!V14</f>
        <v>0</v>
      </c>
      <c r="F124" s="925"/>
      <c r="G124" s="1646">
        <f>-E124</f>
        <v>0</v>
      </c>
      <c r="H124" s="1642" t="s">
        <v>702</v>
      </c>
      <c r="I124" s="925" t="s">
        <v>1416</v>
      </c>
      <c r="J124" s="1646">
        <f>-G124</f>
        <v>0</v>
      </c>
      <c r="K124" s="1642" t="s">
        <v>904</v>
      </c>
      <c r="L124" s="925" t="s">
        <v>1422</v>
      </c>
      <c r="M124" s="1646">
        <f>-J124</f>
        <v>0</v>
      </c>
    </row>
    <row r="125" spans="3:27" s="575" customFormat="1" ht="20.45" customHeight="1">
      <c r="D125" s="1642" t="s">
        <v>713</v>
      </c>
      <c r="E125" s="925">
        <f>-('7.0'!V8+'7.0'!V10+'7.0'!V12)</f>
        <v>1413694186</v>
      </c>
      <c r="F125" s="925"/>
      <c r="G125" s="1646">
        <f>-E125</f>
        <v>-1413694186</v>
      </c>
      <c r="H125" s="1642" t="s">
        <v>695</v>
      </c>
      <c r="I125" s="925" t="s">
        <v>209</v>
      </c>
      <c r="J125" s="1646">
        <f>-G125</f>
        <v>1413694186</v>
      </c>
      <c r="K125" s="1642" t="s">
        <v>815</v>
      </c>
      <c r="L125" s="925" t="s">
        <v>816</v>
      </c>
      <c r="M125" s="1646">
        <f t="shared" ref="M125:M133" si="12">-J125</f>
        <v>-1413694186</v>
      </c>
    </row>
    <row r="126" spans="3:27" s="575" customFormat="1" ht="20.45" customHeight="1">
      <c r="D126" s="1642" t="s">
        <v>1766</v>
      </c>
      <c r="E126" s="925">
        <f>'5.0'!N30</f>
        <v>0</v>
      </c>
      <c r="F126" s="925"/>
      <c r="G126" s="1646">
        <f>F126-E126</f>
        <v>0</v>
      </c>
      <c r="H126" s="1642" t="s">
        <v>1767</v>
      </c>
      <c r="I126" s="925" t="s">
        <v>1766</v>
      </c>
      <c r="J126" s="1646">
        <f>-G126</f>
        <v>0</v>
      </c>
      <c r="K126" s="1642" t="s">
        <v>695</v>
      </c>
      <c r="L126" s="925" t="s">
        <v>209</v>
      </c>
      <c r="M126" s="1646">
        <f t="shared" si="12"/>
        <v>0</v>
      </c>
    </row>
    <row r="127" spans="3:27" s="575" customFormat="1" ht="20.45" customHeight="1">
      <c r="D127" s="1642" t="s">
        <v>83</v>
      </c>
      <c r="E127" s="925"/>
      <c r="F127" s="925"/>
      <c r="G127" s="1646"/>
      <c r="H127" s="1642" t="s">
        <v>817</v>
      </c>
      <c r="I127" s="925" t="s">
        <v>818</v>
      </c>
      <c r="J127" s="1646"/>
      <c r="K127" s="1642" t="s">
        <v>904</v>
      </c>
      <c r="L127" s="925" t="s">
        <v>83</v>
      </c>
      <c r="M127" s="1646"/>
    </row>
    <row r="128" spans="3:27" s="575" customFormat="1" ht="20.45" customHeight="1">
      <c r="D128" s="1642" t="s">
        <v>372</v>
      </c>
      <c r="E128" s="925">
        <f>-'7.0'!V7-'7.0'!V9-'7.0'!V11</f>
        <v>-766553853</v>
      </c>
      <c r="F128" s="925"/>
      <c r="G128" s="1646">
        <f>F128-E128</f>
        <v>766553853</v>
      </c>
      <c r="H128" s="1642" t="s">
        <v>695</v>
      </c>
      <c r="I128" s="925" t="s">
        <v>209</v>
      </c>
      <c r="J128" s="1646">
        <f>-G128</f>
        <v>-766553853</v>
      </c>
      <c r="K128" s="1642" t="s">
        <v>714</v>
      </c>
      <c r="L128" s="925" t="s">
        <v>715</v>
      </c>
      <c r="M128" s="1646">
        <f>-J128</f>
        <v>766553853</v>
      </c>
    </row>
    <row r="129" spans="4:13" s="575" customFormat="1" ht="20.45" customHeight="1">
      <c r="D129" s="1642" t="s">
        <v>2199</v>
      </c>
      <c r="E129" s="925">
        <f>'6.0'!V35</f>
        <v>-1128563830</v>
      </c>
      <c r="F129" s="925"/>
      <c r="G129" s="1646">
        <f>F129-E129</f>
        <v>1128563830</v>
      </c>
      <c r="H129" s="1270" t="s">
        <v>920</v>
      </c>
      <c r="I129" s="1270" t="s">
        <v>921</v>
      </c>
      <c r="J129" s="1646">
        <f>G129</f>
        <v>1128563830</v>
      </c>
      <c r="K129" s="1270" t="s">
        <v>952</v>
      </c>
      <c r="L129" s="1270" t="s">
        <v>953</v>
      </c>
      <c r="M129" s="1646">
        <f>-J129</f>
        <v>-1128563830</v>
      </c>
    </row>
    <row r="130" spans="4:13" s="575" customFormat="1" ht="20.45" customHeight="1">
      <c r="D130" s="1642" t="s">
        <v>2202</v>
      </c>
      <c r="E130" s="925">
        <f>'6.0'!V45</f>
        <v>-56374</v>
      </c>
      <c r="F130" s="925"/>
      <c r="G130" s="1646">
        <f>-E130</f>
        <v>56374</v>
      </c>
      <c r="H130" s="1270" t="s">
        <v>1010</v>
      </c>
      <c r="I130" s="1270" t="s">
        <v>1011</v>
      </c>
      <c r="J130" s="1646">
        <f>G130</f>
        <v>56374</v>
      </c>
      <c r="K130" s="1270" t="s">
        <v>1012</v>
      </c>
      <c r="L130" s="1270" t="s">
        <v>1013</v>
      </c>
      <c r="M130" s="1646">
        <f>-J130</f>
        <v>-56374</v>
      </c>
    </row>
    <row r="131" spans="4:13" s="575" customFormat="1" ht="20.45" customHeight="1">
      <c r="D131" s="1642" t="s">
        <v>2194</v>
      </c>
      <c r="E131" s="925"/>
      <c r="F131" s="925"/>
      <c r="G131" s="1646">
        <f>F131-E131</f>
        <v>0</v>
      </c>
      <c r="H131" s="1642" t="s">
        <v>695</v>
      </c>
      <c r="I131" s="925" t="s">
        <v>209</v>
      </c>
      <c r="J131" s="1646">
        <f>G131</f>
        <v>0</v>
      </c>
      <c r="K131" s="1642" t="s">
        <v>2195</v>
      </c>
      <c r="L131" s="1276" t="s">
        <v>1156</v>
      </c>
      <c r="M131" s="1646">
        <f t="shared" si="12"/>
        <v>0</v>
      </c>
    </row>
    <row r="132" spans="4:13" s="575" customFormat="1" ht="20.45" customHeight="1">
      <c r="D132" s="2030" t="s">
        <v>2887</v>
      </c>
      <c r="E132" s="2031">
        <f>'4.0'!V33</f>
        <v>-216671</v>
      </c>
      <c r="F132" s="2031"/>
      <c r="G132" s="2032">
        <f>F132-E132</f>
        <v>216671</v>
      </c>
      <c r="H132" s="1878" t="s">
        <v>1381</v>
      </c>
      <c r="I132" s="1879" t="s">
        <v>1434</v>
      </c>
      <c r="J132" s="2032">
        <f>-G132</f>
        <v>-216671</v>
      </c>
      <c r="K132" s="1878" t="s">
        <v>733</v>
      </c>
      <c r="L132" s="1879" t="s">
        <v>734</v>
      </c>
      <c r="M132" s="2032">
        <f>-J132</f>
        <v>216671</v>
      </c>
    </row>
    <row r="133" spans="4:13" s="575" customFormat="1" ht="20.45" customHeight="1" thickBot="1">
      <c r="D133" s="2026"/>
      <c r="E133" s="2027"/>
      <c r="F133" s="2027"/>
      <c r="G133" s="2028">
        <f>F133-E133</f>
        <v>0</v>
      </c>
      <c r="H133" s="1642"/>
      <c r="I133" s="925"/>
      <c r="J133" s="1646"/>
      <c r="K133" s="2026"/>
      <c r="L133" s="2027"/>
      <c r="M133" s="1646">
        <f t="shared" si="12"/>
        <v>0</v>
      </c>
    </row>
    <row r="134" spans="4:13" ht="20.45" customHeight="1" thickBot="1">
      <c r="D134" s="1471"/>
      <c r="E134" s="1472">
        <f>SUM(E124:E133)</f>
        <v>-481696542</v>
      </c>
      <c r="F134" s="1472">
        <f>SUM(F124:F133)</f>
        <v>0</v>
      </c>
      <c r="G134" s="1472"/>
      <c r="H134" s="1472"/>
      <c r="I134" s="1472"/>
      <c r="J134" s="1472"/>
      <c r="K134" s="1472"/>
      <c r="L134" s="1472"/>
      <c r="M134" s="560"/>
    </row>
    <row r="137" spans="4:13" ht="20.45" customHeight="1">
      <c r="I137" s="770" t="s">
        <v>758</v>
      </c>
      <c r="J137" s="1432">
        <v>-55642267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2060"/>
  </sheetPr>
  <dimension ref="D3:AG64"/>
  <sheetViews>
    <sheetView showGridLines="0" zoomScale="80" zoomScaleNormal="80" workbookViewId="0">
      <pane xSplit="6" ySplit="5" topLeftCell="G6" activePane="bottomRight" state="frozen"/>
      <selection activeCell="F26" sqref="F26"/>
      <selection pane="topRight" activeCell="F26" sqref="F26"/>
      <selection pane="bottomLeft" activeCell="F26" sqref="F26"/>
      <selection pane="bottomRight" activeCell="H16" sqref="H16"/>
    </sheetView>
  </sheetViews>
  <sheetFormatPr defaultColWidth="9" defaultRowHeight="18" customHeight="1"/>
  <cols>
    <col min="1" max="3" width="2.375" style="770" customWidth="1"/>
    <col min="4" max="4" width="23.125" style="770" customWidth="1"/>
    <col min="5" max="5" width="25.625" style="770" customWidth="1"/>
    <col min="6" max="6" width="12.375" style="770" bestFit="1" customWidth="1"/>
    <col min="7" max="14" width="15.625" style="770" customWidth="1"/>
    <col min="15" max="15" width="2.625" style="770" customWidth="1"/>
    <col min="16" max="16" width="10.625" style="836" customWidth="1"/>
    <col min="17" max="17" width="2.625" style="836" customWidth="1"/>
    <col min="18" max="18" width="30.125" style="770" customWidth="1"/>
    <col min="19" max="19" width="12.375" style="770" customWidth="1"/>
    <col min="20" max="23" width="15.625" style="770" customWidth="1"/>
    <col min="24" max="24" width="8.625" style="836" customWidth="1"/>
    <col min="25" max="25" width="8.625" style="1417" customWidth="1"/>
    <col min="26" max="26" width="2.625" style="770" customWidth="1"/>
    <col min="27" max="27" width="30.625" style="770" customWidth="1"/>
    <col min="28" max="28" width="12.375" style="770" bestFit="1" customWidth="1"/>
    <col min="29" max="32" width="15.625" style="770" customWidth="1"/>
    <col min="33" max="16384" width="9" style="770"/>
  </cols>
  <sheetData>
    <row r="3" spans="4:33" ht="18" customHeight="1" thickBot="1">
      <c r="AA3" s="1418" t="s">
        <v>2506</v>
      </c>
    </row>
    <row r="4" spans="4:33" s="772" customFormat="1" ht="18" customHeight="1">
      <c r="D4" s="1810"/>
      <c r="E4" s="1812"/>
      <c r="F4" s="1811"/>
      <c r="G4" s="1419" t="str">
        <f>T_BS!X5</f>
        <v>FY2022.10</v>
      </c>
      <c r="H4" s="1419"/>
      <c r="I4" s="1420" t="s">
        <v>2614</v>
      </c>
      <c r="J4" s="1420"/>
      <c r="K4" s="1420" t="s">
        <v>2302</v>
      </c>
      <c r="L4" s="1420"/>
      <c r="M4" s="2070" t="s">
        <v>2303</v>
      </c>
      <c r="N4" s="2071"/>
      <c r="P4" s="778"/>
      <c r="Q4" s="778"/>
      <c r="R4" s="1421"/>
      <c r="S4" s="1421"/>
      <c r="T4" s="1421"/>
      <c r="U4" s="1421"/>
      <c r="V4" s="1421"/>
      <c r="W4" s="1421"/>
      <c r="X4" s="778"/>
      <c r="Y4" s="1417"/>
      <c r="AA4" s="1418" t="s">
        <v>2507</v>
      </c>
      <c r="AB4" s="770"/>
      <c r="AC4" s="770"/>
      <c r="AD4" s="770"/>
      <c r="AE4" s="770"/>
      <c r="AF4" s="770"/>
      <c r="AG4" s="770"/>
    </row>
    <row r="5" spans="4:33" ht="18" customHeight="1">
      <c r="D5" s="1422" t="s">
        <v>1649</v>
      </c>
      <c r="E5" s="1423" t="s">
        <v>2647</v>
      </c>
      <c r="F5" s="1423" t="s">
        <v>2649</v>
      </c>
      <c r="G5" s="1424" t="s">
        <v>2840</v>
      </c>
      <c r="H5" s="1424"/>
      <c r="I5" s="1425" t="s">
        <v>2672</v>
      </c>
      <c r="J5" s="1425"/>
      <c r="K5" s="1425" t="s">
        <v>2673</v>
      </c>
      <c r="L5" s="1425"/>
      <c r="M5" s="1425" t="s">
        <v>2674</v>
      </c>
      <c r="N5" s="1426"/>
      <c r="R5" s="1953" t="s">
        <v>2656</v>
      </c>
      <c r="S5" s="1954" t="s">
        <v>1662</v>
      </c>
      <c r="T5" s="2065" t="s">
        <v>2839</v>
      </c>
      <c r="U5" s="2065"/>
      <c r="V5" s="2065" t="s">
        <v>2505</v>
      </c>
      <c r="W5" s="2066"/>
      <c r="AA5" s="1427" t="s">
        <v>2656</v>
      </c>
      <c r="AB5" s="1428" t="s">
        <v>2668</v>
      </c>
      <c r="AC5" s="2067" t="s">
        <v>2537</v>
      </c>
      <c r="AD5" s="2068"/>
      <c r="AE5" s="2067" t="s">
        <v>2538</v>
      </c>
      <c r="AF5" s="2069"/>
    </row>
    <row r="6" spans="4:33" ht="18" customHeight="1">
      <c r="D6" s="1862"/>
      <c r="E6" s="1429" t="s">
        <v>2648</v>
      </c>
      <c r="F6" s="1430"/>
      <c r="G6" s="1430"/>
      <c r="H6" s="1430"/>
      <c r="I6" s="1430"/>
      <c r="J6" s="1430"/>
      <c r="K6" s="1430"/>
      <c r="L6" s="1430"/>
      <c r="M6" s="1430"/>
      <c r="N6" s="1431"/>
      <c r="O6" s="1432"/>
      <c r="P6" s="1433" t="s">
        <v>1957</v>
      </c>
      <c r="Q6" s="1434"/>
      <c r="R6" s="1955" t="s">
        <v>2809</v>
      </c>
      <c r="S6" s="1956"/>
      <c r="T6" s="1957"/>
      <c r="U6" s="1957"/>
      <c r="V6" s="1957"/>
      <c r="W6" s="1958"/>
      <c r="X6" s="1434"/>
      <c r="AA6" s="1435" t="s">
        <v>0</v>
      </c>
      <c r="AB6" s="1436"/>
      <c r="AC6" s="1437"/>
      <c r="AD6" s="1437"/>
      <c r="AE6" s="1437"/>
      <c r="AF6" s="1438"/>
    </row>
    <row r="7" spans="4:33" ht="18" customHeight="1">
      <c r="D7" s="1863"/>
      <c r="E7" s="1439" t="s">
        <v>1650</v>
      </c>
      <c r="F7" s="1440"/>
      <c r="G7" s="1440"/>
      <c r="H7" s="1440">
        <f>SUM(G8:G13)</f>
        <v>219012054269</v>
      </c>
      <c r="I7" s="1440"/>
      <c r="J7" s="1440">
        <f>SUM(I8:I13)</f>
        <v>199080198796</v>
      </c>
      <c r="K7" s="1440"/>
      <c r="L7" s="1440">
        <f>SUM(K8:K13)</f>
        <v>146277936324</v>
      </c>
      <c r="M7" s="1440"/>
      <c r="N7" s="1441">
        <f>SUM(M8:M13)</f>
        <v>136268490827</v>
      </c>
      <c r="O7" s="1432"/>
      <c r="P7" s="1442" t="b">
        <f>AD7=J7</f>
        <v>1</v>
      </c>
      <c r="Q7" s="1442"/>
      <c r="R7" s="1959" t="s">
        <v>1650</v>
      </c>
      <c r="S7" s="1960"/>
      <c r="T7" s="1961"/>
      <c r="U7" s="1961">
        <f>H7</f>
        <v>219012054269</v>
      </c>
      <c r="V7" s="1961"/>
      <c r="W7" s="1962">
        <v>199080198796</v>
      </c>
      <c r="X7" s="1442" t="b">
        <f>U7=SUM(T8:T13)</f>
        <v>1</v>
      </c>
      <c r="Y7" s="1417" t="b">
        <f>W7=SUM(V8:V13)</f>
        <v>1</v>
      </c>
      <c r="AA7" s="1435" t="s">
        <v>2508</v>
      </c>
      <c r="AB7" s="1436"/>
      <c r="AC7" s="1437"/>
      <c r="AD7" s="1443">
        <v>199080198796</v>
      </c>
      <c r="AE7" s="1437"/>
      <c r="AF7" s="1444">
        <v>146277936324</v>
      </c>
    </row>
    <row r="8" spans="4:33" ht="18" customHeight="1">
      <c r="D8" s="1864" t="s">
        <v>1</v>
      </c>
      <c r="E8" s="1860" t="s">
        <v>1</v>
      </c>
      <c r="F8" s="1446">
        <v>5</v>
      </c>
      <c r="G8" s="1447">
        <f>SUMIF(T_BS!$E:$E,'BS(공)'!D8,T_BS!$X:$X)</f>
        <v>150101047291</v>
      </c>
      <c r="H8" s="1447"/>
      <c r="I8" s="1447">
        <f>SUMIF(T_BS!$E:$E,'BS(공)'!$D8,T_BS!$AG:$AG)</f>
        <v>132018644520</v>
      </c>
      <c r="J8" s="1447"/>
      <c r="K8" s="1447">
        <f>SUMIF(T_BS!$E:$E,'BS(공)'!$D8,T_BS!$AL:$AL)</f>
        <v>97271207132</v>
      </c>
      <c r="L8" s="1447"/>
      <c r="M8" s="1447">
        <v>88901392676</v>
      </c>
      <c r="N8" s="1448"/>
      <c r="O8" s="1432"/>
      <c r="P8" s="1442" t="b">
        <f t="shared" ref="P8:P13" si="0">AC8=I8</f>
        <v>1</v>
      </c>
      <c r="Q8" s="1442"/>
      <c r="R8" s="1963" t="s">
        <v>2641</v>
      </c>
      <c r="S8" s="1964">
        <v>5</v>
      </c>
      <c r="T8" s="1965">
        <f t="shared" ref="T8:T13" si="1">G8</f>
        <v>150101047291</v>
      </c>
      <c r="U8" s="1965"/>
      <c r="V8" s="1965">
        <v>132018644520</v>
      </c>
      <c r="W8" s="1966"/>
      <c r="X8" s="1442"/>
      <c r="AA8" s="1435" t="s">
        <v>2509</v>
      </c>
      <c r="AB8" s="1436" t="s">
        <v>2430</v>
      </c>
      <c r="AC8" s="1443">
        <v>132018644520</v>
      </c>
      <c r="AD8" s="1437"/>
      <c r="AE8" s="1443">
        <v>97271207132</v>
      </c>
      <c r="AF8" s="1438"/>
    </row>
    <row r="9" spans="4:33" ht="18" customHeight="1">
      <c r="D9" s="1865" t="s">
        <v>2393</v>
      </c>
      <c r="E9" s="1861" t="s">
        <v>635</v>
      </c>
      <c r="F9" s="1449">
        <v>5</v>
      </c>
      <c r="G9" s="1450">
        <f>SUMIF(T_BS!$E:$E,'BS(공)'!D9,T_BS!$X:$X)</f>
        <v>0</v>
      </c>
      <c r="H9" s="1450"/>
      <c r="I9" s="1447">
        <f>SUMIF(T_BS!$E:$E,'BS(공)'!$D9,T_BS!$AG:$AG)</f>
        <v>309072000</v>
      </c>
      <c r="J9" s="1450"/>
      <c r="K9" s="1447">
        <f>SUMIF(T_BS!$E:$E,'BS(공)'!$D9,T_BS!$AL:$AL)</f>
        <v>0</v>
      </c>
      <c r="L9" s="1450"/>
      <c r="M9" s="1450">
        <v>0</v>
      </c>
      <c r="N9" s="1448"/>
      <c r="O9" s="1432"/>
      <c r="P9" s="1442" t="b">
        <f t="shared" si="0"/>
        <v>1</v>
      </c>
      <c r="Q9" s="1442"/>
      <c r="R9" s="1963" t="s">
        <v>2642</v>
      </c>
      <c r="S9" s="1964">
        <v>5</v>
      </c>
      <c r="T9" s="1965">
        <f t="shared" si="1"/>
        <v>0</v>
      </c>
      <c r="U9" s="1965"/>
      <c r="V9" s="1965">
        <v>309072000</v>
      </c>
      <c r="W9" s="1966"/>
      <c r="X9" s="1442"/>
      <c r="AA9" s="1435" t="s">
        <v>2510</v>
      </c>
      <c r="AB9" s="1436" t="s">
        <v>2429</v>
      </c>
      <c r="AC9" s="1443">
        <v>309072000</v>
      </c>
      <c r="AD9" s="1437"/>
      <c r="AE9" s="1437" t="s">
        <v>611</v>
      </c>
      <c r="AF9" s="1438"/>
    </row>
    <row r="10" spans="4:33" ht="18" customHeight="1">
      <c r="D10" s="1865" t="s">
        <v>1651</v>
      </c>
      <c r="E10" s="1861" t="s">
        <v>23</v>
      </c>
      <c r="F10" s="1449" t="s">
        <v>2855</v>
      </c>
      <c r="G10" s="1450">
        <f>SUMIF(T_BS!$E:$E,'BS(공)'!D10,T_BS!$X:$X)</f>
        <v>46943734719</v>
      </c>
      <c r="H10" s="1450"/>
      <c r="I10" s="1447">
        <f>SUMIF(T_BS!$E:$E,'BS(공)'!$D10,T_BS!$AG:$AG)</f>
        <v>43834727379</v>
      </c>
      <c r="J10" s="1450"/>
      <c r="K10" s="1447">
        <f>SUMIF(T_BS!$E:$E,'BS(공)'!$D10,T_BS!$AL:$AL)</f>
        <v>40957768351</v>
      </c>
      <c r="L10" s="1450"/>
      <c r="M10" s="1450">
        <v>37314849276</v>
      </c>
      <c r="N10" s="1448"/>
      <c r="O10" s="1432"/>
      <c r="P10" s="1442" t="b">
        <f t="shared" si="0"/>
        <v>1</v>
      </c>
      <c r="Q10" s="1442"/>
      <c r="R10" s="1963" t="s">
        <v>2643</v>
      </c>
      <c r="S10" s="1964" t="s">
        <v>2854</v>
      </c>
      <c r="T10" s="1965">
        <f t="shared" si="1"/>
        <v>46943734719</v>
      </c>
      <c r="U10" s="1965"/>
      <c r="V10" s="1965">
        <v>43834727379</v>
      </c>
      <c r="W10" s="1966"/>
      <c r="X10" s="1442"/>
      <c r="AA10" s="1435" t="s">
        <v>2511</v>
      </c>
      <c r="AB10" s="1436" t="s">
        <v>2431</v>
      </c>
      <c r="AC10" s="1443">
        <v>43834727379</v>
      </c>
      <c r="AD10" s="1437"/>
      <c r="AE10" s="1443">
        <v>40957768351</v>
      </c>
      <c r="AF10" s="1438"/>
    </row>
    <row r="11" spans="4:33" ht="18" customHeight="1">
      <c r="D11" s="1865" t="s">
        <v>2</v>
      </c>
      <c r="E11" s="1861" t="s">
        <v>2</v>
      </c>
      <c r="F11" s="1449">
        <v>7</v>
      </c>
      <c r="G11" s="1450">
        <f>SUMIF(T_BS!$E:$E,'BS(공)'!D11,T_BS!$X:$X)</f>
        <v>14376601355</v>
      </c>
      <c r="H11" s="1450"/>
      <c r="I11" s="1447">
        <f>SUMIF(T_BS!$E:$E,'BS(공)'!$D11,T_BS!$AG:$AG)</f>
        <v>7658442824</v>
      </c>
      <c r="J11" s="1450"/>
      <c r="K11" s="1447">
        <f>SUMIF(T_BS!$E:$E,'BS(공)'!$D11,T_BS!$AL:$AL)</f>
        <v>4636197058</v>
      </c>
      <c r="L11" s="1450"/>
      <c r="M11" s="1450">
        <v>7130214686</v>
      </c>
      <c r="N11" s="1448"/>
      <c r="O11" s="1432"/>
      <c r="P11" s="1442" t="b">
        <f t="shared" si="0"/>
        <v>1</v>
      </c>
      <c r="Q11" s="1442"/>
      <c r="R11" s="1963" t="s">
        <v>2644</v>
      </c>
      <c r="S11" s="1964">
        <v>7</v>
      </c>
      <c r="T11" s="1965">
        <f t="shared" si="1"/>
        <v>14376601355</v>
      </c>
      <c r="U11" s="1965"/>
      <c r="V11" s="1965">
        <v>7658442824</v>
      </c>
      <c r="W11" s="1966"/>
      <c r="X11" s="1442"/>
      <c r="AA11" s="1435" t="s">
        <v>2512</v>
      </c>
      <c r="AB11" s="1436">
        <v>9</v>
      </c>
      <c r="AC11" s="1443">
        <v>7658442824</v>
      </c>
      <c r="AD11" s="1437"/>
      <c r="AE11" s="1443">
        <v>4636197058</v>
      </c>
      <c r="AF11" s="1438"/>
    </row>
    <row r="12" spans="4:33" ht="18" customHeight="1">
      <c r="D12" s="1865" t="s">
        <v>3</v>
      </c>
      <c r="E12" s="1861" t="s">
        <v>3</v>
      </c>
      <c r="F12" s="1449"/>
      <c r="G12" s="1450">
        <f>SUMIF(T_BS!$E:$E,'BS(공)'!D12,T_BS!$X:$X)</f>
        <v>124271330</v>
      </c>
      <c r="H12" s="1450"/>
      <c r="I12" s="1447">
        <f>SUMIF(T_BS!$E:$E,'BS(공)'!$D12,T_BS!$AG:$AG)</f>
        <v>0</v>
      </c>
      <c r="J12" s="1450"/>
      <c r="K12" s="1447">
        <f>SUMIF(T_BS!$E:$E,'BS(공)'!$D12,T_BS!$AL:$AL)</f>
        <v>226315893</v>
      </c>
      <c r="L12" s="1450"/>
      <c r="M12" s="1450">
        <v>324941593</v>
      </c>
      <c r="N12" s="1448"/>
      <c r="O12" s="1432"/>
      <c r="P12" s="1442" t="b">
        <f t="shared" si="0"/>
        <v>1</v>
      </c>
      <c r="Q12" s="1442"/>
      <c r="R12" s="1963" t="s">
        <v>2645</v>
      </c>
      <c r="S12" s="1964"/>
      <c r="T12" s="1965">
        <f t="shared" si="1"/>
        <v>124271330</v>
      </c>
      <c r="U12" s="1965"/>
      <c r="V12" s="1965">
        <v>0</v>
      </c>
      <c r="W12" s="1966"/>
      <c r="X12" s="1442"/>
      <c r="AA12" s="1435" t="s">
        <v>2513</v>
      </c>
      <c r="AB12" s="1436"/>
      <c r="AC12" s="1437">
        <v>0</v>
      </c>
      <c r="AD12" s="1437"/>
      <c r="AE12" s="1443">
        <v>226315893</v>
      </c>
      <c r="AF12" s="1438"/>
    </row>
    <row r="13" spans="4:33" ht="18" customHeight="1">
      <c r="D13" s="1865" t="s">
        <v>4</v>
      </c>
      <c r="E13" s="1861" t="s">
        <v>4</v>
      </c>
      <c r="F13" s="1449">
        <v>8</v>
      </c>
      <c r="G13" s="1450">
        <f>SUMIF(T_BS!$E:$E,'BS(공)'!D13,T_BS!$X:$X)</f>
        <v>7466399574</v>
      </c>
      <c r="H13" s="1450"/>
      <c r="I13" s="1447">
        <f>SUMIF(T_BS!$E:$E,'BS(공)'!$D13,T_BS!$AG:$AG)</f>
        <v>15259312073</v>
      </c>
      <c r="J13" s="1450"/>
      <c r="K13" s="1447">
        <f>SUMIF(T_BS!$E:$E,'BS(공)'!$D13,T_BS!$AL:$AL)</f>
        <v>3186447890</v>
      </c>
      <c r="L13" s="1450"/>
      <c r="M13" s="1450">
        <v>2597092596</v>
      </c>
      <c r="N13" s="1448"/>
      <c r="O13" s="1432"/>
      <c r="P13" s="1442" t="b">
        <f t="shared" si="0"/>
        <v>1</v>
      </c>
      <c r="Q13" s="1442"/>
      <c r="R13" s="1963" t="s">
        <v>2646</v>
      </c>
      <c r="S13" s="1964">
        <v>8</v>
      </c>
      <c r="T13" s="1965">
        <f t="shared" si="1"/>
        <v>7466399574</v>
      </c>
      <c r="U13" s="1965"/>
      <c r="V13" s="1965">
        <v>15259312073</v>
      </c>
      <c r="W13" s="1966"/>
      <c r="X13" s="1442"/>
      <c r="AA13" s="1435" t="s">
        <v>2514</v>
      </c>
      <c r="AB13" s="1436">
        <v>10</v>
      </c>
      <c r="AC13" s="1443">
        <v>15259312073</v>
      </c>
      <c r="AD13" s="1437"/>
      <c r="AE13" s="1443">
        <v>3186447890</v>
      </c>
      <c r="AF13" s="1438"/>
    </row>
    <row r="14" spans="4:33" ht="18" customHeight="1">
      <c r="D14" s="1863"/>
      <c r="E14" s="1439" t="s">
        <v>1652</v>
      </c>
      <c r="F14" s="1440"/>
      <c r="G14" s="1440"/>
      <c r="H14" s="1440">
        <f>SUM(G15:G20)</f>
        <v>54568341501</v>
      </c>
      <c r="I14" s="1440"/>
      <c r="J14" s="1440">
        <f>SUM(I15:I20)</f>
        <v>55824370383</v>
      </c>
      <c r="K14" s="1440"/>
      <c r="L14" s="1440">
        <f>SUM(K15:K20)</f>
        <v>26165503033</v>
      </c>
      <c r="M14" s="1440"/>
      <c r="N14" s="1441">
        <f>SUM(M15:M20)</f>
        <v>35317064027</v>
      </c>
      <c r="O14" s="1432"/>
      <c r="P14" s="1442" t="b">
        <f>AD14=J14</f>
        <v>1</v>
      </c>
      <c r="Q14" s="1442"/>
      <c r="R14" s="1959" t="s">
        <v>1652</v>
      </c>
      <c r="S14" s="1960"/>
      <c r="T14" s="1961"/>
      <c r="U14" s="1961">
        <f>H14</f>
        <v>54568341501</v>
      </c>
      <c r="V14" s="1961"/>
      <c r="W14" s="1962">
        <v>55824370383</v>
      </c>
      <c r="X14" s="1442" t="b">
        <f>U14=SUM(T15:T20)</f>
        <v>1</v>
      </c>
      <c r="Y14" s="1417" t="b">
        <f>W14=SUM(V15:V20)</f>
        <v>1</v>
      </c>
      <c r="AA14" s="1435" t="s">
        <v>2515</v>
      </c>
      <c r="AB14" s="1436"/>
      <c r="AC14" s="1437"/>
      <c r="AD14" s="1443">
        <v>55824370383</v>
      </c>
      <c r="AE14" s="1437"/>
      <c r="AF14" s="1444">
        <v>26165503033</v>
      </c>
    </row>
    <row r="15" spans="4:33" ht="18" customHeight="1">
      <c r="D15" s="1864" t="s">
        <v>1653</v>
      </c>
      <c r="E15" s="1860" t="s">
        <v>23</v>
      </c>
      <c r="F15" s="1446" t="s">
        <v>2856</v>
      </c>
      <c r="G15" s="1447">
        <f>SUMIF(T_BS!$E:$E,'BS(공)'!D15,T_BS!$X:$X)</f>
        <v>1415587558</v>
      </c>
      <c r="H15" s="1447"/>
      <c r="I15" s="1447">
        <f>SUMIF(T_BS!$E:$E,'BS(공)'!$D15,T_BS!$AG:$AG)</f>
        <v>2257318882</v>
      </c>
      <c r="J15" s="1447"/>
      <c r="K15" s="1447">
        <f>SUMIF(T_BS!$E:$E,'BS(공)'!$D15,T_BS!$AL:$AL)</f>
        <v>1650396445</v>
      </c>
      <c r="L15" s="1447"/>
      <c r="M15" s="1447">
        <v>2143158640</v>
      </c>
      <c r="N15" s="1448"/>
      <c r="O15" s="1432"/>
      <c r="P15" s="1442" t="b">
        <f>AC15=I15</f>
        <v>1</v>
      </c>
      <c r="Q15" s="1442"/>
      <c r="R15" s="1963" t="s">
        <v>2630</v>
      </c>
      <c r="S15" s="1964" t="s">
        <v>2854</v>
      </c>
      <c r="T15" s="1965">
        <f t="shared" ref="T15:T20" si="2">G15</f>
        <v>1415587558</v>
      </c>
      <c r="U15" s="1965"/>
      <c r="V15" s="1965">
        <v>2257318882</v>
      </c>
      <c r="W15" s="1967"/>
      <c r="X15" s="1442"/>
      <c r="AA15" s="1435" t="s">
        <v>2511</v>
      </c>
      <c r="AB15" s="1436" t="s">
        <v>2431</v>
      </c>
      <c r="AC15" s="1443">
        <v>2257318882</v>
      </c>
      <c r="AD15" s="1437"/>
      <c r="AE15" s="1443">
        <v>1650396445</v>
      </c>
      <c r="AF15" s="1438"/>
    </row>
    <row r="16" spans="4:33" ht="18" customHeight="1">
      <c r="D16" s="1864" t="s">
        <v>76</v>
      </c>
      <c r="E16" s="1860" t="s">
        <v>76</v>
      </c>
      <c r="F16" s="1446">
        <v>5</v>
      </c>
      <c r="G16" s="1447">
        <f>SUMIF(T_BS!$E:$E,'BS(공)'!D16,T_BS!$X:$X)</f>
        <v>26244925537</v>
      </c>
      <c r="H16" s="1447"/>
      <c r="I16" s="1447">
        <f>SUMIF(T_BS!$E:$E,'BS(공)'!$D16,T_BS!$AG:$AG)</f>
        <v>30772109819</v>
      </c>
      <c r="J16" s="1447"/>
      <c r="K16" s="1447">
        <f>SUMIF(T_BS!$E:$E,'BS(공)'!$D16,T_BS!$AL:$AL)</f>
        <v>0</v>
      </c>
      <c r="L16" s="1447"/>
      <c r="M16" s="1447">
        <v>996359683</v>
      </c>
      <c r="N16" s="1448"/>
      <c r="O16" s="1432"/>
      <c r="P16" s="1442" t="b">
        <f>AC16=I16</f>
        <v>1</v>
      </c>
      <c r="Q16" s="1442"/>
      <c r="R16" s="1963" t="s">
        <v>2629</v>
      </c>
      <c r="S16" s="1964">
        <v>5</v>
      </c>
      <c r="T16" s="1965">
        <f t="shared" si="2"/>
        <v>26244925537</v>
      </c>
      <c r="U16" s="1965"/>
      <c r="V16" s="1965">
        <v>30772109819</v>
      </c>
      <c r="W16" s="1967"/>
      <c r="X16" s="1442"/>
      <c r="AA16" s="1435" t="s">
        <v>2516</v>
      </c>
      <c r="AB16" s="1436">
        <v>5</v>
      </c>
      <c r="AC16" s="1443">
        <v>30772109819</v>
      </c>
      <c r="AD16" s="1437"/>
      <c r="AE16" s="1437" t="s">
        <v>611</v>
      </c>
      <c r="AF16" s="1438"/>
    </row>
    <row r="17" spans="4:32" ht="18" customHeight="1">
      <c r="D17" s="1864" t="s">
        <v>83</v>
      </c>
      <c r="E17" s="1860" t="s">
        <v>83</v>
      </c>
      <c r="F17" s="1446">
        <v>9</v>
      </c>
      <c r="G17" s="1447">
        <f>SUMIF(T_BS!$E:$E,'BS(공)'!D17,T_BS!$X:$X)</f>
        <v>7941091721</v>
      </c>
      <c r="H17" s="1447"/>
      <c r="I17" s="1447">
        <f>SUMIF(T_BS!$E:$E,'BS(공)'!$D17,T_BS!$AG:$AG)</f>
        <v>275387141</v>
      </c>
      <c r="J17" s="1447"/>
      <c r="K17" s="1447">
        <f>SUMIF(T_BS!$E:$E,'BS(공)'!$D17,T_BS!$AL:$AL)</f>
        <v>0</v>
      </c>
      <c r="L17" s="1447"/>
      <c r="M17" s="1447" t="s">
        <v>611</v>
      </c>
      <c r="N17" s="1448"/>
      <c r="O17" s="1432"/>
      <c r="P17" s="1442" t="b">
        <f>AC17=I17</f>
        <v>1</v>
      </c>
      <c r="Q17" s="1442"/>
      <c r="R17" s="1963" t="s">
        <v>2628</v>
      </c>
      <c r="S17" s="1964">
        <v>9</v>
      </c>
      <c r="T17" s="1965">
        <f t="shared" si="2"/>
        <v>7941091721</v>
      </c>
      <c r="U17" s="1965"/>
      <c r="V17" s="1965">
        <v>275387141</v>
      </c>
      <c r="W17" s="1967"/>
      <c r="X17" s="1442"/>
      <c r="AA17" s="1435" t="s">
        <v>2517</v>
      </c>
      <c r="AB17" s="1436">
        <v>11</v>
      </c>
      <c r="AC17" s="1443">
        <v>275387141</v>
      </c>
      <c r="AD17" s="1437"/>
      <c r="AE17" s="1437" t="s">
        <v>611</v>
      </c>
      <c r="AF17" s="1438"/>
    </row>
    <row r="18" spans="4:32" ht="18" customHeight="1">
      <c r="D18" s="1864" t="s">
        <v>5</v>
      </c>
      <c r="E18" s="1860" t="s">
        <v>5</v>
      </c>
      <c r="F18" s="1446" t="s">
        <v>2858</v>
      </c>
      <c r="G18" s="1447">
        <f>SUMIF(T_BS!$E:$E,'BS(공)'!D18,T_BS!$X:$X)</f>
        <v>4324805707</v>
      </c>
      <c r="H18" s="1447"/>
      <c r="I18" s="1447">
        <f>SUMIF(T_BS!$E:$E,'BS(공)'!$D18,T_BS!$AG:$AG)</f>
        <v>6752244404</v>
      </c>
      <c r="J18" s="1447"/>
      <c r="K18" s="1447">
        <f>SUMIF(T_BS!$E:$E,'BS(공)'!$D18,T_BS!$AL:$AL)</f>
        <v>7654582035</v>
      </c>
      <c r="L18" s="1447"/>
      <c r="M18" s="1447">
        <v>5328505320</v>
      </c>
      <c r="N18" s="1448"/>
      <c r="O18" s="1432"/>
      <c r="P18" s="1442" t="b">
        <f>AC18=I18</f>
        <v>1</v>
      </c>
      <c r="Q18" s="1442"/>
      <c r="R18" s="1963" t="s">
        <v>2627</v>
      </c>
      <c r="S18" s="1964" t="s">
        <v>2857</v>
      </c>
      <c r="T18" s="1965">
        <f t="shared" si="2"/>
        <v>4324805707</v>
      </c>
      <c r="U18" s="1965"/>
      <c r="V18" s="1965">
        <v>6752244404</v>
      </c>
      <c r="W18" s="1967"/>
      <c r="X18" s="1442"/>
      <c r="AA18" s="1435" t="s">
        <v>2518</v>
      </c>
      <c r="AB18" s="1436" t="s">
        <v>2519</v>
      </c>
      <c r="AC18" s="1443">
        <v>6752244404</v>
      </c>
      <c r="AD18" s="1437"/>
      <c r="AE18" s="1443">
        <v>7654582035</v>
      </c>
      <c r="AF18" s="1438"/>
    </row>
    <row r="19" spans="4:32" ht="18" customHeight="1">
      <c r="D19" s="1864" t="s">
        <v>6</v>
      </c>
      <c r="E19" s="1860" t="s">
        <v>6</v>
      </c>
      <c r="F19" s="1446" t="s">
        <v>2860</v>
      </c>
      <c r="G19" s="1447">
        <f>SUMIF(T_BS!$E:$E,'BS(공)'!D19,T_BS!$X:$X)</f>
        <v>14641930978</v>
      </c>
      <c r="H19" s="1447"/>
      <c r="I19" s="1447">
        <f>SUMIF(T_BS!$E:$E,'BS(공)'!$D19,T_BS!$AG:$AG)</f>
        <v>15767310137</v>
      </c>
      <c r="J19" s="1447"/>
      <c r="K19" s="1447">
        <f>SUMIF(T_BS!$E:$E,'BS(공)'!$D19,T_BS!$AL:$AL)</f>
        <v>16860524553</v>
      </c>
      <c r="L19" s="1447"/>
      <c r="M19" s="1447">
        <v>26598624855</v>
      </c>
      <c r="N19" s="1448"/>
      <c r="O19" s="1432"/>
      <c r="P19" s="1442" t="b">
        <f>AC19=I19</f>
        <v>1</v>
      </c>
      <c r="Q19" s="1442"/>
      <c r="R19" s="1963" t="s">
        <v>1928</v>
      </c>
      <c r="S19" s="1964" t="s">
        <v>2859</v>
      </c>
      <c r="T19" s="1965">
        <f t="shared" si="2"/>
        <v>14641930978</v>
      </c>
      <c r="U19" s="1965"/>
      <c r="V19" s="1965">
        <v>15767310137</v>
      </c>
      <c r="W19" s="1967"/>
      <c r="X19" s="1442"/>
      <c r="AA19" s="1435" t="s">
        <v>2520</v>
      </c>
      <c r="AB19" s="1436" t="s">
        <v>2432</v>
      </c>
      <c r="AC19" s="1443">
        <v>15767310137</v>
      </c>
      <c r="AD19" s="1437"/>
      <c r="AE19" s="1443">
        <v>16860524553</v>
      </c>
      <c r="AF19" s="1438"/>
    </row>
    <row r="20" spans="4:32" ht="18" customHeight="1">
      <c r="D20" s="1864" t="s">
        <v>7</v>
      </c>
      <c r="E20" s="1861" t="s">
        <v>7</v>
      </c>
      <c r="F20" s="1446"/>
      <c r="G20" s="1447">
        <f>SUMIF(T_BS!$E:$E,'BS(공)'!D20,T_BS!$X:$X)</f>
        <v>0</v>
      </c>
      <c r="H20" s="1447"/>
      <c r="I20" s="1447">
        <f>SUMIF(T_BS!$E:$E,'BS(공)'!$D20,T_BS!$AG:$AG)</f>
        <v>0</v>
      </c>
      <c r="J20" s="1447"/>
      <c r="K20" s="1447">
        <f>SUMIF(T_BS!$E:$E,'BS(공)'!$D20,T_BS!$AL:$AL)</f>
        <v>0</v>
      </c>
      <c r="L20" s="1447"/>
      <c r="M20" s="1447">
        <v>250415529</v>
      </c>
      <c r="N20" s="1448"/>
      <c r="O20" s="1432"/>
      <c r="P20" s="1442"/>
      <c r="Q20" s="1442"/>
      <c r="R20" s="1963" t="s">
        <v>1929</v>
      </c>
      <c r="S20" s="1964"/>
      <c r="T20" s="1965">
        <f t="shared" si="2"/>
        <v>0</v>
      </c>
      <c r="U20" s="1965"/>
      <c r="V20" s="1965">
        <v>0</v>
      </c>
      <c r="W20" s="1967"/>
      <c r="X20" s="1442"/>
      <c r="AA20" s="1435" t="s">
        <v>2669</v>
      </c>
      <c r="AB20" s="1436"/>
      <c r="AC20" s="1437"/>
      <c r="AD20" s="1443">
        <v>254904569179</v>
      </c>
      <c r="AE20" s="1437"/>
      <c r="AF20" s="1444">
        <v>172443439357</v>
      </c>
    </row>
    <row r="21" spans="4:32" ht="18" customHeight="1">
      <c r="D21" s="1862"/>
      <c r="E21" s="1429" t="s">
        <v>2653</v>
      </c>
      <c r="F21" s="1430"/>
      <c r="G21" s="1430"/>
      <c r="H21" s="1430">
        <f>SUM(H7,H14)</f>
        <v>273580395770</v>
      </c>
      <c r="I21" s="1430"/>
      <c r="J21" s="1430">
        <f>SUM(J7,J14)</f>
        <v>254904569179</v>
      </c>
      <c r="K21" s="1430"/>
      <c r="L21" s="1430">
        <f>SUM(L7,L14)</f>
        <v>172443439357</v>
      </c>
      <c r="M21" s="1430"/>
      <c r="N21" s="1431">
        <f>SUM(N7,N14)</f>
        <v>171585554854</v>
      </c>
      <c r="O21" s="1432"/>
      <c r="P21" s="1442" t="b">
        <f>AD20=J21</f>
        <v>1</v>
      </c>
      <c r="Q21" s="1442"/>
      <c r="R21" s="1955" t="s">
        <v>2663</v>
      </c>
      <c r="S21" s="1956"/>
      <c r="T21" s="1957"/>
      <c r="U21" s="1957">
        <f>H21</f>
        <v>273580395770</v>
      </c>
      <c r="V21" s="1957"/>
      <c r="W21" s="1958">
        <v>254904569179</v>
      </c>
      <c r="X21" s="1442" t="b">
        <f>U21=SUM(U14,U7)</f>
        <v>1</v>
      </c>
      <c r="Y21" s="1417" t="b">
        <f>W21=SUM(W14,W7)</f>
        <v>1</v>
      </c>
      <c r="AA21" s="1435" t="s">
        <v>8</v>
      </c>
      <c r="AB21" s="1436"/>
      <c r="AC21" s="1437"/>
      <c r="AD21" s="1437"/>
      <c r="AE21" s="1437"/>
      <c r="AF21" s="1438"/>
    </row>
    <row r="22" spans="4:32" ht="17.25" customHeight="1">
      <c r="D22" s="1862"/>
      <c r="E22" s="1429" t="s">
        <v>2650</v>
      </c>
      <c r="F22" s="1430"/>
      <c r="G22" s="1430"/>
      <c r="H22" s="1430"/>
      <c r="I22" s="1430"/>
      <c r="J22" s="1430"/>
      <c r="K22" s="1430"/>
      <c r="L22" s="1430"/>
      <c r="M22" s="1430"/>
      <c r="N22" s="1431"/>
      <c r="O22" s="1432"/>
      <c r="P22" s="1442"/>
      <c r="Q22" s="1442"/>
      <c r="R22" s="1955" t="s">
        <v>2664</v>
      </c>
      <c r="S22" s="1956"/>
      <c r="T22" s="1957"/>
      <c r="U22" s="1957"/>
      <c r="V22" s="1957"/>
      <c r="W22" s="1968"/>
      <c r="X22" s="1442"/>
      <c r="AA22" s="1435" t="s">
        <v>2521</v>
      </c>
      <c r="AB22" s="1436"/>
      <c r="AC22" s="1437"/>
      <c r="AD22" s="1443">
        <v>172798677782</v>
      </c>
      <c r="AE22" s="1437"/>
      <c r="AF22" s="1444">
        <v>72762462534</v>
      </c>
    </row>
    <row r="23" spans="4:32" ht="18" customHeight="1">
      <c r="D23" s="1863"/>
      <c r="E23" s="1439" t="s">
        <v>1654</v>
      </c>
      <c r="F23" s="1440"/>
      <c r="G23" s="1440"/>
      <c r="H23" s="1440">
        <f>SUM(G24:G28)</f>
        <v>145452595432</v>
      </c>
      <c r="I23" s="1440"/>
      <c r="J23" s="1440">
        <f>SUM(I24:I28)</f>
        <v>172798677782</v>
      </c>
      <c r="K23" s="1440"/>
      <c r="L23" s="1440">
        <f>SUM(K24:K28)</f>
        <v>72762462534</v>
      </c>
      <c r="M23" s="1440"/>
      <c r="N23" s="1441">
        <f>SUM(M24:M28)</f>
        <v>49775319297</v>
      </c>
      <c r="O23" s="1432"/>
      <c r="P23" s="1442" t="b">
        <f>AD22=J23</f>
        <v>1</v>
      </c>
      <c r="Q23" s="1442"/>
      <c r="R23" s="1959" t="s">
        <v>1654</v>
      </c>
      <c r="S23" s="1960"/>
      <c r="T23" s="1961"/>
      <c r="U23" s="1961">
        <f>H23</f>
        <v>145452595432</v>
      </c>
      <c r="V23" s="1961"/>
      <c r="W23" s="1962">
        <v>172798677782</v>
      </c>
      <c r="X23" s="1442" t="b">
        <f>U23=SUM(T24:T28)</f>
        <v>1</v>
      </c>
      <c r="Y23" s="1417" t="b">
        <f>W23=SUM(V24:V28)</f>
        <v>1</v>
      </c>
      <c r="AA23" s="1435" t="s">
        <v>2522</v>
      </c>
      <c r="AB23" s="1436" t="s">
        <v>2433</v>
      </c>
      <c r="AC23" s="1443">
        <v>65863401555</v>
      </c>
      <c r="AD23" s="1437"/>
      <c r="AE23" s="1443">
        <v>60933090739</v>
      </c>
      <c r="AF23" s="1438"/>
    </row>
    <row r="24" spans="4:32" ht="18" customHeight="1">
      <c r="D24" s="1865" t="s">
        <v>137</v>
      </c>
      <c r="E24" s="1861" t="s">
        <v>137</v>
      </c>
      <c r="F24" s="1449" t="s">
        <v>2862</v>
      </c>
      <c r="G24" s="1450">
        <f>SUMIF(T_BS!$E:$E,'BS(공)'!D24,T_BS!$X:$X)</f>
        <v>83142317444</v>
      </c>
      <c r="H24" s="1450"/>
      <c r="I24" s="1447">
        <f>SUMIF(T_BS!$E:$E,'BS(공)'!$D24,T_BS!$AG:$AG)</f>
        <v>65863401555</v>
      </c>
      <c r="J24" s="1450"/>
      <c r="K24" s="1447">
        <f>SUMIF(T_BS!$E:$E,'BS(공)'!$D24,T_BS!$AL:$AL)</f>
        <v>60933090739</v>
      </c>
      <c r="L24" s="1450"/>
      <c r="M24" s="1450">
        <v>36253305936</v>
      </c>
      <c r="N24" s="1451"/>
      <c r="O24" s="1432"/>
      <c r="P24" s="1442" t="b">
        <f>AC23=I24</f>
        <v>1</v>
      </c>
      <c r="Q24" s="1442"/>
      <c r="R24" s="1963" t="s">
        <v>2631</v>
      </c>
      <c r="S24" s="1964" t="s">
        <v>2861</v>
      </c>
      <c r="T24" s="1965">
        <f>G24</f>
        <v>83142317444</v>
      </c>
      <c r="U24" s="1965"/>
      <c r="V24" s="1965">
        <v>65863401555</v>
      </c>
      <c r="W24" s="1967"/>
      <c r="X24" s="1442"/>
      <c r="AA24" s="1435" t="s">
        <v>2523</v>
      </c>
      <c r="AB24" s="1436" t="s">
        <v>2434</v>
      </c>
      <c r="AC24" s="1443">
        <v>93145378702</v>
      </c>
      <c r="AD24" s="1437"/>
      <c r="AE24" s="1437" t="s">
        <v>611</v>
      </c>
      <c r="AF24" s="1438"/>
    </row>
    <row r="25" spans="4:32" ht="18" customHeight="1">
      <c r="D25" s="1865" t="s">
        <v>2318</v>
      </c>
      <c r="E25" s="1861" t="s">
        <v>2316</v>
      </c>
      <c r="F25" s="1449" t="s">
        <v>2864</v>
      </c>
      <c r="G25" s="1450">
        <f>SUMIF(T_BS!$E:$E,'BS(공)'!D25,T_BS!$X:$X)</f>
        <v>51782363760</v>
      </c>
      <c r="H25" s="1450"/>
      <c r="I25" s="1447">
        <f>SUMIF(T_BS!$E:$E,'BS(공)'!$D25,T_BS!$AG:$AG)</f>
        <v>93145378702</v>
      </c>
      <c r="J25" s="1450"/>
      <c r="K25" s="1447">
        <f>SUMIF(T_BS!$E:$E,'BS(공)'!$D25,T_BS!$AL:$AL)</f>
        <v>0</v>
      </c>
      <c r="L25" s="1450"/>
      <c r="M25" s="1450" t="s">
        <v>611</v>
      </c>
      <c r="N25" s="1451"/>
      <c r="O25" s="1432"/>
      <c r="P25" s="1442" t="b">
        <f>AC24=I25</f>
        <v>1</v>
      </c>
      <c r="Q25" s="1442"/>
      <c r="R25" s="1963" t="s">
        <v>2632</v>
      </c>
      <c r="S25" s="1964" t="s">
        <v>2863</v>
      </c>
      <c r="T25" s="1965">
        <f>G25</f>
        <v>51782363760</v>
      </c>
      <c r="U25" s="1965"/>
      <c r="V25" s="1965">
        <v>93145378702</v>
      </c>
      <c r="W25" s="1967"/>
      <c r="X25" s="1442"/>
      <c r="AA25" s="1435" t="s">
        <v>2524</v>
      </c>
      <c r="AB25" s="1436">
        <v>16</v>
      </c>
      <c r="AC25" s="1443">
        <v>10968811383</v>
      </c>
      <c r="AD25" s="1437"/>
      <c r="AE25" s="1443">
        <v>9194493551</v>
      </c>
      <c r="AF25" s="1438"/>
    </row>
    <row r="26" spans="4:32" ht="18" customHeight="1">
      <c r="D26" s="1865" t="s">
        <v>162</v>
      </c>
      <c r="E26" s="1861" t="s">
        <v>162</v>
      </c>
      <c r="F26" s="1449">
        <v>14</v>
      </c>
      <c r="G26" s="1450">
        <f>SUMIF(T_BS!$E:$E,'BS(공)'!D26,T_BS!$X:$X)</f>
        <v>8440295366</v>
      </c>
      <c r="H26" s="1450"/>
      <c r="I26" s="1447">
        <f>SUMIF(T_BS!$E:$E,'BS(공)'!$D26,T_BS!$AG:$AG)</f>
        <v>10968811383</v>
      </c>
      <c r="J26" s="1450"/>
      <c r="K26" s="1447">
        <f>SUMIF(T_BS!$E:$E,'BS(공)'!$D26,T_BS!$AL:$AL)</f>
        <v>9194493551</v>
      </c>
      <c r="L26" s="1450"/>
      <c r="M26" s="1450">
        <v>10909561538</v>
      </c>
      <c r="N26" s="1451"/>
      <c r="O26" s="1432"/>
      <c r="P26" s="1442" t="b">
        <f>AC25=I26</f>
        <v>1</v>
      </c>
      <c r="Q26" s="1442"/>
      <c r="R26" s="1963" t="s">
        <v>2633</v>
      </c>
      <c r="S26" s="1964">
        <v>14</v>
      </c>
      <c r="T26" s="1965">
        <f>G26</f>
        <v>8440295366</v>
      </c>
      <c r="U26" s="1965"/>
      <c r="V26" s="1965">
        <v>10968811383</v>
      </c>
      <c r="W26" s="1967"/>
      <c r="X26" s="1442"/>
      <c r="AA26" s="1435" t="s">
        <v>2525</v>
      </c>
      <c r="AB26" s="1436" t="s">
        <v>2435</v>
      </c>
      <c r="AC26" s="1443">
        <v>2799454358</v>
      </c>
      <c r="AD26" s="1437"/>
      <c r="AE26" s="1443">
        <v>2631820890</v>
      </c>
      <c r="AF26" s="1438"/>
    </row>
    <row r="27" spans="4:32" ht="18" customHeight="1">
      <c r="D27" s="1865" t="s">
        <v>1655</v>
      </c>
      <c r="E27" s="1861" t="s">
        <v>1656</v>
      </c>
      <c r="F27" s="1449" t="s">
        <v>2866</v>
      </c>
      <c r="G27" s="1450">
        <f>SUMIF(T_BS!$E:$E,'BS(공)'!D27,T_BS!$X:$X)</f>
        <v>2069673958</v>
      </c>
      <c r="H27" s="1450"/>
      <c r="I27" s="1447">
        <f>SUMIF(T_BS!$E:$E,'BS(공)'!$D27,T_BS!$AG:$AG)</f>
        <v>2799454358</v>
      </c>
      <c r="J27" s="1450"/>
      <c r="K27" s="1447">
        <f>SUMIF(T_BS!$E:$E,'BS(공)'!$D27,T_BS!$AL:$AL)</f>
        <v>2631820890</v>
      </c>
      <c r="L27" s="1450"/>
      <c r="M27" s="1450">
        <v>2550691866</v>
      </c>
      <c r="N27" s="1451"/>
      <c r="O27" s="1432"/>
      <c r="P27" s="1442" t="b">
        <f>AC26=I27</f>
        <v>1</v>
      </c>
      <c r="Q27" s="1442"/>
      <c r="R27" s="1963" t="s">
        <v>2634</v>
      </c>
      <c r="S27" s="1964" t="s">
        <v>2865</v>
      </c>
      <c r="T27" s="1965">
        <f>G27</f>
        <v>2069673958</v>
      </c>
      <c r="U27" s="1965"/>
      <c r="V27" s="1965">
        <v>2799454358</v>
      </c>
      <c r="W27" s="1967"/>
      <c r="X27" s="1442"/>
      <c r="AA27" s="1435" t="s">
        <v>2526</v>
      </c>
      <c r="AB27" s="1436">
        <v>27</v>
      </c>
      <c r="AC27" s="1443">
        <v>21631784</v>
      </c>
      <c r="AD27" s="1437"/>
      <c r="AE27" s="1443">
        <v>3057354</v>
      </c>
      <c r="AF27" s="1438"/>
    </row>
    <row r="28" spans="4:32" ht="18" customHeight="1">
      <c r="D28" s="1864" t="s">
        <v>1645</v>
      </c>
      <c r="E28" s="1860" t="s">
        <v>1645</v>
      </c>
      <c r="F28" s="1446">
        <v>23</v>
      </c>
      <c r="G28" s="1447">
        <f>SUMIF(T_BS!$E:$E,'BS(공)'!D28,T_BS!$X:$X)</f>
        <v>17944904</v>
      </c>
      <c r="H28" s="1447"/>
      <c r="I28" s="1447">
        <f>SUMIF(T_BS!$E:$E,'BS(공)'!$D28,T_BS!$AG:$AG)</f>
        <v>21631784</v>
      </c>
      <c r="J28" s="1447"/>
      <c r="K28" s="1447">
        <f>SUMIF(T_BS!$E:$E,'BS(공)'!$D28,T_BS!$AL:$AL)</f>
        <v>3057354</v>
      </c>
      <c r="L28" s="1447"/>
      <c r="M28" s="1447">
        <v>61759957</v>
      </c>
      <c r="N28" s="1448"/>
      <c r="O28" s="1432"/>
      <c r="P28" s="1442" t="b">
        <f>AC27=I28</f>
        <v>1</v>
      </c>
      <c r="Q28" s="1442"/>
      <c r="R28" s="1963" t="s">
        <v>2635</v>
      </c>
      <c r="S28" s="1964">
        <v>23</v>
      </c>
      <c r="T28" s="1965">
        <f>G28</f>
        <v>17944904</v>
      </c>
      <c r="U28" s="1965"/>
      <c r="V28" s="1965">
        <v>21631784</v>
      </c>
      <c r="W28" s="1967"/>
      <c r="X28" s="1442"/>
      <c r="AA28" s="1435" t="s">
        <v>2527</v>
      </c>
      <c r="AB28" s="1436"/>
      <c r="AC28" s="1437"/>
      <c r="AD28" s="1443">
        <v>2466676920</v>
      </c>
      <c r="AE28" s="1437"/>
      <c r="AF28" s="1444">
        <v>3879577855</v>
      </c>
    </row>
    <row r="29" spans="4:32" ht="18" customHeight="1">
      <c r="D29" s="1863"/>
      <c r="E29" s="1439" t="s">
        <v>1657</v>
      </c>
      <c r="F29" s="1440"/>
      <c r="G29" s="1440"/>
      <c r="H29" s="1440">
        <f>SUM(G30:G34)</f>
        <v>2045643577</v>
      </c>
      <c r="I29" s="1440"/>
      <c r="J29" s="1440">
        <f>SUM(I30:I34)</f>
        <v>2466676920</v>
      </c>
      <c r="K29" s="1440"/>
      <c r="L29" s="1440">
        <f>SUM(K30:K34)</f>
        <v>3879577855</v>
      </c>
      <c r="M29" s="1440"/>
      <c r="N29" s="1441">
        <f>SUM(M30:M34)</f>
        <v>3893195718</v>
      </c>
      <c r="O29" s="1432"/>
      <c r="P29" s="1442" t="b">
        <f>AD28=J29</f>
        <v>1</v>
      </c>
      <c r="Q29" s="1442"/>
      <c r="R29" s="1959" t="s">
        <v>1657</v>
      </c>
      <c r="S29" s="1960"/>
      <c r="T29" s="1961"/>
      <c r="U29" s="1961">
        <f>H29</f>
        <v>2045643577</v>
      </c>
      <c r="V29" s="1961"/>
      <c r="W29" s="1962">
        <v>2466676920</v>
      </c>
      <c r="X29" s="1442" t="b">
        <f>U29=SUM(T30:T34)</f>
        <v>1</v>
      </c>
      <c r="Y29" s="1417" t="b">
        <f>W29=SUM(V30:V34)</f>
        <v>1</v>
      </c>
      <c r="AA29" s="1435" t="s">
        <v>2522</v>
      </c>
      <c r="AB29" s="1436" t="s">
        <v>2433</v>
      </c>
      <c r="AC29" s="1443">
        <v>467762200</v>
      </c>
      <c r="AD29" s="1437"/>
      <c r="AE29" s="1443">
        <v>222809200</v>
      </c>
      <c r="AF29" s="1438"/>
    </row>
    <row r="30" spans="4:32" ht="18" customHeight="1">
      <c r="D30" s="1864" t="s">
        <v>2808</v>
      </c>
      <c r="E30" s="1860" t="s">
        <v>137</v>
      </c>
      <c r="F30" s="1446" t="s">
        <v>2862</v>
      </c>
      <c r="G30" s="1447">
        <f>SUMIF(T_BS!$E:$E,'BS(공)'!D30,T_BS!$X:$X)</f>
        <v>989094200</v>
      </c>
      <c r="H30" s="1447"/>
      <c r="I30" s="1447">
        <f>SUMIF(T_BS!$E:$E,'BS(공)'!$D30,T_BS!$AG:$AG)</f>
        <v>467762200</v>
      </c>
      <c r="J30" s="1447"/>
      <c r="K30" s="1447">
        <f>SUMIF(T_BS!$E:$E,'BS(공)'!$D30,T_BS!$AL:$AL)</f>
        <v>222809200</v>
      </c>
      <c r="L30" s="1447"/>
      <c r="M30" s="1447">
        <v>11500000</v>
      </c>
      <c r="N30" s="1448"/>
      <c r="O30" s="1432"/>
      <c r="P30" s="1442" t="b">
        <f>AC29=I30</f>
        <v>1</v>
      </c>
      <c r="Q30" s="1442"/>
      <c r="R30" s="1963" t="s">
        <v>2636</v>
      </c>
      <c r="S30" s="1964" t="s">
        <v>2861</v>
      </c>
      <c r="T30" s="1965">
        <f>G30</f>
        <v>989094200</v>
      </c>
      <c r="U30" s="1965"/>
      <c r="V30" s="1965">
        <v>467762200</v>
      </c>
      <c r="W30" s="1967"/>
      <c r="X30" s="1442"/>
      <c r="AA30" s="1435" t="s">
        <v>2528</v>
      </c>
      <c r="AB30" s="1436">
        <v>18</v>
      </c>
      <c r="AC30" s="1443">
        <v>428993226</v>
      </c>
      <c r="AD30" s="1437"/>
      <c r="AE30" s="1443">
        <v>822730454</v>
      </c>
      <c r="AF30" s="1438"/>
    </row>
    <row r="31" spans="4:32" ht="18" customHeight="1">
      <c r="D31" s="1864" t="s">
        <v>184</v>
      </c>
      <c r="E31" s="1860" t="s">
        <v>184</v>
      </c>
      <c r="F31" s="1446">
        <v>16</v>
      </c>
      <c r="G31" s="1447">
        <f>SUMIF(T_BS!$E:$E,'BS(공)'!D31,T_BS!$X:$X)</f>
        <v>765253899</v>
      </c>
      <c r="H31" s="1447"/>
      <c r="I31" s="1447">
        <f>SUMIF(T_BS!$E:$E,'BS(공)'!$D31,T_BS!$AG:$AG)</f>
        <v>428993226</v>
      </c>
      <c r="J31" s="1447"/>
      <c r="K31" s="1447">
        <f>SUMIF(T_BS!$E:$E,'BS(공)'!$D31,T_BS!$AL:$AL)</f>
        <v>822730454</v>
      </c>
      <c r="L31" s="1447"/>
      <c r="M31" s="1447">
        <v>1215669271</v>
      </c>
      <c r="N31" s="1448"/>
      <c r="O31" s="1432"/>
      <c r="P31" s="1442" t="b">
        <f>AC30=I31</f>
        <v>1</v>
      </c>
      <c r="Q31" s="1442"/>
      <c r="R31" s="1963" t="s">
        <v>2637</v>
      </c>
      <c r="S31" s="1964">
        <v>16</v>
      </c>
      <c r="T31" s="1965">
        <f>G31</f>
        <v>765253899</v>
      </c>
      <c r="U31" s="1965"/>
      <c r="V31" s="1965">
        <v>428993226</v>
      </c>
      <c r="W31" s="1967"/>
      <c r="X31" s="1442"/>
      <c r="AA31" s="1435" t="s">
        <v>2529</v>
      </c>
      <c r="AB31" s="1436">
        <v>16</v>
      </c>
      <c r="AC31" s="1443">
        <v>108037971</v>
      </c>
      <c r="AD31" s="1437"/>
      <c r="AE31" s="1443">
        <v>118883200</v>
      </c>
      <c r="AF31" s="1438"/>
    </row>
    <row r="32" spans="4:32" ht="18" customHeight="1">
      <c r="D32" s="1864" t="s">
        <v>1646</v>
      </c>
      <c r="E32" s="1860" t="s">
        <v>1646</v>
      </c>
      <c r="F32" s="1446">
        <v>14</v>
      </c>
      <c r="G32" s="1447">
        <f>SUMIF(T_BS!$E:$E,'BS(공)'!D32,T_BS!$X:$X)</f>
        <v>113209782</v>
      </c>
      <c r="H32" s="1447"/>
      <c r="I32" s="1447">
        <f>SUMIF(T_BS!$E:$E,'BS(공)'!$D32,T_BS!$AG:$AG)</f>
        <v>108037971</v>
      </c>
      <c r="J32" s="1447"/>
      <c r="K32" s="1447">
        <f>SUMIF(T_BS!$E:$E,'BS(공)'!$D32,T_BS!$AL:$AL)</f>
        <v>118883200</v>
      </c>
      <c r="L32" s="1447"/>
      <c r="M32" s="1447">
        <v>118066714</v>
      </c>
      <c r="N32" s="1448"/>
      <c r="O32" s="1432"/>
      <c r="P32" s="1442" t="b">
        <f>AC31=I32</f>
        <v>1</v>
      </c>
      <c r="Q32" s="1442"/>
      <c r="R32" s="1963" t="s">
        <v>2638</v>
      </c>
      <c r="S32" s="1964">
        <v>14</v>
      </c>
      <c r="T32" s="1965">
        <f>G32</f>
        <v>113209782</v>
      </c>
      <c r="U32" s="1965"/>
      <c r="V32" s="1965">
        <v>108037971</v>
      </c>
      <c r="W32" s="1967"/>
      <c r="X32" s="1442"/>
      <c r="AA32" s="1435" t="s">
        <v>2530</v>
      </c>
      <c r="AB32" s="1436" t="s">
        <v>2435</v>
      </c>
      <c r="AC32" s="1443">
        <v>1461883523</v>
      </c>
      <c r="AD32" s="1437"/>
      <c r="AE32" s="1443">
        <v>2715155001</v>
      </c>
      <c r="AF32" s="1438"/>
    </row>
    <row r="33" spans="4:32" ht="18" customHeight="1">
      <c r="D33" s="1864" t="s">
        <v>1658</v>
      </c>
      <c r="E33" s="1860" t="s">
        <v>1591</v>
      </c>
      <c r="F33" s="1446" t="s">
        <v>2867</v>
      </c>
      <c r="G33" s="1447">
        <f>SUMIF(T_BS!$E:$E,'BS(공)'!D33,T_BS!$X:$X)</f>
        <v>178085696</v>
      </c>
      <c r="H33" s="1447"/>
      <c r="I33" s="1447">
        <f>SUMIF(T_BS!$E:$E,'BS(공)'!$D33,T_BS!$AG:$AG)</f>
        <v>1461883523</v>
      </c>
      <c r="J33" s="1447"/>
      <c r="K33" s="1447">
        <f>SUMIF(T_BS!$E:$E,'BS(공)'!$D33,T_BS!$AL:$AL)</f>
        <v>2715155001</v>
      </c>
      <c r="L33" s="1447"/>
      <c r="M33" s="1447">
        <v>695426099</v>
      </c>
      <c r="N33" s="1448"/>
      <c r="O33" s="1432"/>
      <c r="P33" s="1442" t="b">
        <f>AC32=I33</f>
        <v>1</v>
      </c>
      <c r="Q33" s="1442"/>
      <c r="R33" s="1963" t="s">
        <v>2639</v>
      </c>
      <c r="S33" s="1964" t="s">
        <v>2865</v>
      </c>
      <c r="T33" s="1965">
        <f>G33</f>
        <v>178085696</v>
      </c>
      <c r="U33" s="1965"/>
      <c r="V33" s="1965">
        <v>1461883523</v>
      </c>
      <c r="W33" s="1967"/>
      <c r="X33" s="1442"/>
      <c r="AA33" s="1435" t="s">
        <v>2670</v>
      </c>
      <c r="AB33" s="1436"/>
      <c r="AC33" s="1437"/>
      <c r="AD33" s="1443">
        <v>175265354702</v>
      </c>
      <c r="AE33" s="1437"/>
      <c r="AF33" s="1444">
        <v>76642040389</v>
      </c>
    </row>
    <row r="34" spans="4:32" ht="18" customHeight="1">
      <c r="D34" s="1864" t="s">
        <v>1648</v>
      </c>
      <c r="E34" s="1860" t="s">
        <v>664</v>
      </c>
      <c r="F34" s="1446"/>
      <c r="G34" s="1447">
        <f>SUMIF(T_BS!$E:$E,'BS(공)'!D34,T_BS!$X:$X)</f>
        <v>0</v>
      </c>
      <c r="H34" s="1447"/>
      <c r="I34" s="1447">
        <f>SUMIF(T_BS!$E:$E,'BS(공)'!$D34,T_BS!$AG:$AG)</f>
        <v>0</v>
      </c>
      <c r="J34" s="1447"/>
      <c r="K34" s="1447">
        <f>SUMIF(T_BS!$E:$E,'BS(공)'!$D34,T_BS!$AL:$AL)</f>
        <v>0</v>
      </c>
      <c r="L34" s="1447"/>
      <c r="M34" s="1447">
        <v>1852533634</v>
      </c>
      <c r="N34" s="1448"/>
      <c r="O34" s="1432"/>
      <c r="P34" s="1442" t="b">
        <f>AC33=I34</f>
        <v>1</v>
      </c>
      <c r="Q34" s="1442"/>
      <c r="R34" s="1963" t="s">
        <v>2640</v>
      </c>
      <c r="S34" s="1964"/>
      <c r="T34" s="1965">
        <f>G34</f>
        <v>0</v>
      </c>
      <c r="U34" s="1965"/>
      <c r="V34" s="1965">
        <v>0</v>
      </c>
      <c r="W34" s="1967"/>
      <c r="X34" s="1442"/>
      <c r="AA34" s="1435" t="s">
        <v>546</v>
      </c>
      <c r="AB34" s="1436"/>
      <c r="AC34" s="1437"/>
      <c r="AD34" s="1437"/>
      <c r="AE34" s="1437"/>
      <c r="AF34" s="1438"/>
    </row>
    <row r="35" spans="4:32" ht="18" customHeight="1">
      <c r="D35" s="1862"/>
      <c r="E35" s="1429" t="s">
        <v>2651</v>
      </c>
      <c r="F35" s="1430"/>
      <c r="G35" s="1430"/>
      <c r="H35" s="1430">
        <f>SUM(H23,H29)</f>
        <v>147498239009</v>
      </c>
      <c r="I35" s="1430"/>
      <c r="J35" s="1430">
        <f>SUM(J23,J29)</f>
        <v>175265354702</v>
      </c>
      <c r="K35" s="1430"/>
      <c r="L35" s="1430">
        <f>SUM(L23,L29)</f>
        <v>76642040389</v>
      </c>
      <c r="M35" s="1430"/>
      <c r="N35" s="1431">
        <f>SUM(N23,N29)</f>
        <v>53668515015</v>
      </c>
      <c r="O35" s="1432"/>
      <c r="P35" s="1442" t="b">
        <f>AD33=J35</f>
        <v>1</v>
      </c>
      <c r="Q35" s="1442"/>
      <c r="R35" s="1955" t="s">
        <v>2651</v>
      </c>
      <c r="S35" s="1956"/>
      <c r="T35" s="1957"/>
      <c r="U35" s="1957">
        <f>H35</f>
        <v>147498239009</v>
      </c>
      <c r="V35" s="1957"/>
      <c r="W35" s="1958">
        <v>175265354702</v>
      </c>
      <c r="X35" s="1442" t="b">
        <f>U35=SUM(U29,U23)</f>
        <v>1</v>
      </c>
      <c r="Y35" s="1417" t="b">
        <f>W35=SUM(W29,W23)</f>
        <v>1</v>
      </c>
      <c r="AA35" s="1435" t="s">
        <v>2531</v>
      </c>
      <c r="AB35" s="1436"/>
      <c r="AC35" s="1437"/>
      <c r="AD35" s="1443">
        <v>79639214477</v>
      </c>
      <c r="AE35" s="1437"/>
      <c r="AF35" s="1444">
        <v>95801398968</v>
      </c>
    </row>
    <row r="36" spans="4:32" ht="18" customHeight="1">
      <c r="D36" s="1862"/>
      <c r="E36" s="1429" t="s">
        <v>2652</v>
      </c>
      <c r="F36" s="1430"/>
      <c r="G36" s="1430"/>
      <c r="H36" s="1430"/>
      <c r="I36" s="1430"/>
      <c r="J36" s="1430"/>
      <c r="K36" s="1430"/>
      <c r="L36" s="1430"/>
      <c r="M36" s="1430"/>
      <c r="N36" s="1431"/>
      <c r="O36" s="1432"/>
      <c r="P36" s="1442" t="b">
        <f>AD38=J36</f>
        <v>1</v>
      </c>
      <c r="Q36" s="1442"/>
      <c r="R36" s="1955" t="s">
        <v>2665</v>
      </c>
      <c r="S36" s="1956"/>
      <c r="T36" s="1957"/>
      <c r="U36" s="1957"/>
      <c r="V36" s="1957"/>
      <c r="W36" s="1968"/>
      <c r="X36" s="1442"/>
      <c r="AA36" s="1435" t="s">
        <v>2532</v>
      </c>
      <c r="AB36" s="1436" t="s">
        <v>2436</v>
      </c>
      <c r="AC36" s="1443">
        <v>28429923500</v>
      </c>
      <c r="AD36" s="1437"/>
      <c r="AE36" s="1443">
        <v>28429923500</v>
      </c>
      <c r="AF36" s="1438"/>
    </row>
    <row r="37" spans="4:32" ht="18" customHeight="1">
      <c r="D37" s="1863"/>
      <c r="E37" s="1439" t="s">
        <v>1659</v>
      </c>
      <c r="F37" s="1440"/>
      <c r="G37" s="1440"/>
      <c r="H37" s="1440">
        <f>SUM(G38:G41)</f>
        <v>126082156761</v>
      </c>
      <c r="I37" s="1440"/>
      <c r="J37" s="1440">
        <f>SUM(I38:I41)</f>
        <v>79639214477</v>
      </c>
      <c r="K37" s="1440"/>
      <c r="L37" s="1440">
        <f>SUM(K38:K41)</f>
        <v>95801398968</v>
      </c>
      <c r="M37" s="1440"/>
      <c r="N37" s="1441">
        <f>SUM(M38:M41)</f>
        <v>117917039839</v>
      </c>
      <c r="O37" s="1432"/>
      <c r="P37" s="1442" t="b">
        <f>AD35=J37</f>
        <v>1</v>
      </c>
      <c r="Q37" s="1442"/>
      <c r="R37" s="1959" t="s">
        <v>1930</v>
      </c>
      <c r="S37" s="1960"/>
      <c r="T37" s="1961"/>
      <c r="U37" s="1961">
        <f>H37</f>
        <v>126082156761</v>
      </c>
      <c r="V37" s="1961"/>
      <c r="W37" s="1962">
        <v>79639214477</v>
      </c>
      <c r="X37" s="1442" t="b">
        <f>U37=SUM(T38:T41)</f>
        <v>1</v>
      </c>
      <c r="Y37" s="1417" t="b">
        <f>W37=SUM(V38:V41)</f>
        <v>1</v>
      </c>
      <c r="AA37" s="1435" t="s">
        <v>2533</v>
      </c>
      <c r="AB37" s="1436" t="s">
        <v>2437</v>
      </c>
      <c r="AC37" s="1443">
        <v>178743993103</v>
      </c>
      <c r="AD37" s="1437"/>
      <c r="AE37" s="1443">
        <v>178559577856</v>
      </c>
      <c r="AF37" s="1438"/>
    </row>
    <row r="38" spans="4:32" ht="18" customHeight="1">
      <c r="D38" s="1864" t="s">
        <v>10</v>
      </c>
      <c r="E38" s="1445" t="s">
        <v>2872</v>
      </c>
      <c r="F38" s="1446" t="s">
        <v>2869</v>
      </c>
      <c r="G38" s="1447">
        <f>SUMIF(T_BS!$E:$E,'BS(공)'!D38,T_BS!$X:$X)</f>
        <v>28429923500</v>
      </c>
      <c r="H38" s="1447"/>
      <c r="I38" s="1447">
        <f>SUMIF(T_BS!$E:$E,'BS(공)'!$D38,T_BS!$AG:$AG)</f>
        <v>28429923500</v>
      </c>
      <c r="J38" s="1447"/>
      <c r="K38" s="1447">
        <f>SUMIF(T_BS!$E:$E,'BS(공)'!$D38,T_BS!$AL:$AL)</f>
        <v>28429923500</v>
      </c>
      <c r="L38" s="1447"/>
      <c r="M38" s="1447">
        <v>28429923500</v>
      </c>
      <c r="N38" s="1448"/>
      <c r="O38" s="1432"/>
      <c r="P38" s="1442" t="b">
        <f>AC36=I38</f>
        <v>1</v>
      </c>
      <c r="Q38" s="1442"/>
      <c r="R38" s="1963" t="s">
        <v>1931</v>
      </c>
      <c r="S38" s="1964" t="s">
        <v>2868</v>
      </c>
      <c r="T38" s="1965">
        <f>G38</f>
        <v>28429923500</v>
      </c>
      <c r="U38" s="1965"/>
      <c r="V38" s="1965">
        <v>28429923500</v>
      </c>
      <c r="W38" s="1967"/>
      <c r="X38" s="1442"/>
      <c r="AA38" s="1435" t="s">
        <v>2534</v>
      </c>
      <c r="AB38" s="1436" t="s">
        <v>2438</v>
      </c>
      <c r="AC38" s="1443">
        <v>-315281392</v>
      </c>
      <c r="AD38" s="1437"/>
      <c r="AE38" s="1443">
        <v>-310683954</v>
      </c>
      <c r="AF38" s="1438"/>
    </row>
    <row r="39" spans="4:32" ht="18" customHeight="1">
      <c r="D39" s="1864" t="s">
        <v>12</v>
      </c>
      <c r="E39" s="1445" t="s">
        <v>2873</v>
      </c>
      <c r="F39" s="1446">
        <v>17</v>
      </c>
      <c r="G39" s="1447">
        <f>SUMIF(T_BS!$E:$E,'BS(공)'!D39,T_BS!$X:$X)</f>
        <v>60141828383</v>
      </c>
      <c r="H39" s="1447"/>
      <c r="I39" s="1447">
        <f>SUMIF(T_BS!$E:$E,'BS(공)'!$D39,T_BS!$AG:$AG)</f>
        <v>178743993103</v>
      </c>
      <c r="J39" s="1447"/>
      <c r="K39" s="1447">
        <f>SUMIF(T_BS!$E:$E,'BS(공)'!$D39,T_BS!$AL:$AL)</f>
        <v>178559577856</v>
      </c>
      <c r="L39" s="1447"/>
      <c r="M39" s="1447">
        <v>178559577856</v>
      </c>
      <c r="N39" s="1448"/>
      <c r="O39" s="1432"/>
      <c r="P39" s="1442" t="b">
        <f>AC37=I39</f>
        <v>1</v>
      </c>
      <c r="Q39" s="1442"/>
      <c r="R39" s="1963" t="s">
        <v>1932</v>
      </c>
      <c r="S39" s="1964">
        <v>17</v>
      </c>
      <c r="T39" s="1965">
        <f>G39</f>
        <v>60141828383</v>
      </c>
      <c r="U39" s="1965"/>
      <c r="V39" s="1965">
        <v>178743993103</v>
      </c>
      <c r="W39" s="1967"/>
      <c r="X39" s="1442"/>
      <c r="AA39" s="1435" t="s">
        <v>2535</v>
      </c>
      <c r="AB39" s="1436">
        <v>21</v>
      </c>
      <c r="AC39" s="1443">
        <v>-127219420734</v>
      </c>
      <c r="AD39" s="1437"/>
      <c r="AE39" s="1443">
        <v>-110877418434</v>
      </c>
      <c r="AF39" s="1438"/>
    </row>
    <row r="40" spans="4:32" ht="18" customHeight="1">
      <c r="D40" s="1864" t="s">
        <v>194</v>
      </c>
      <c r="E40" s="1445" t="s">
        <v>2874</v>
      </c>
      <c r="F40" s="1446" t="s">
        <v>2871</v>
      </c>
      <c r="G40" s="1447">
        <f>SUMIF(T_BS!$E:$E,'BS(공)'!D40,T_BS!$X:$X)</f>
        <v>-1111589738</v>
      </c>
      <c r="H40" s="1447"/>
      <c r="I40" s="1447">
        <f>SUMIF(T_BS!$E:$E,'BS(공)'!$D40,T_BS!$AG:$AG)</f>
        <v>-315281392</v>
      </c>
      <c r="J40" s="1447"/>
      <c r="K40" s="1447">
        <f>SUMIF(T_BS!$E:$E,'BS(공)'!$D40,T_BS!$AL:$AL)</f>
        <v>-310683954</v>
      </c>
      <c r="L40" s="1447"/>
      <c r="M40" s="1447">
        <v>-1301501750</v>
      </c>
      <c r="N40" s="1448"/>
      <c r="O40" s="1432"/>
      <c r="P40" s="1442" t="b">
        <f>AC38=I40</f>
        <v>1</v>
      </c>
      <c r="Q40" s="1442"/>
      <c r="R40" s="1963" t="s">
        <v>1933</v>
      </c>
      <c r="S40" s="1964" t="s">
        <v>2870</v>
      </c>
      <c r="T40" s="1965">
        <f>G40</f>
        <v>-1111589738</v>
      </c>
      <c r="U40" s="1965"/>
      <c r="V40" s="1965">
        <v>-315281392</v>
      </c>
      <c r="W40" s="1967"/>
      <c r="X40" s="1442"/>
      <c r="AA40" s="1435" t="s">
        <v>2536</v>
      </c>
      <c r="AB40" s="1436"/>
      <c r="AC40" s="1437"/>
      <c r="AD40" s="1437" t="s">
        <v>611</v>
      </c>
      <c r="AE40" s="1437"/>
      <c r="AF40" s="1438" t="s">
        <v>611</v>
      </c>
    </row>
    <row r="41" spans="4:32" ht="18" customHeight="1">
      <c r="D41" s="1864" t="s">
        <v>13</v>
      </c>
      <c r="E41" s="1445" t="s">
        <v>2875</v>
      </c>
      <c r="F41" s="1446"/>
      <c r="G41" s="1447">
        <f>SUMIF(T_BS!$E:$E,'BS(공)'!D41,T_BS!$X:$X)</f>
        <v>38621994616</v>
      </c>
      <c r="H41" s="1447"/>
      <c r="I41" s="1447">
        <f>SUMIF(T_BS!$E:$E,'BS(공)'!$D41,T_BS!$AG:$AG)</f>
        <v>-127219420734</v>
      </c>
      <c r="J41" s="1447"/>
      <c r="K41" s="1447">
        <f>SUMIF(T_BS!$E:$E,'BS(공)'!$D41,T_BS!$AL:$AL)</f>
        <v>-110877418434</v>
      </c>
      <c r="L41" s="1447"/>
      <c r="M41" s="1447">
        <v>-87770959767</v>
      </c>
      <c r="N41" s="1448"/>
      <c r="O41" s="1432"/>
      <c r="P41" s="1442" t="b">
        <f>AC39=I41</f>
        <v>1</v>
      </c>
      <c r="Q41" s="1442"/>
      <c r="R41" s="1963" t="s">
        <v>1934</v>
      </c>
      <c r="S41" s="1964"/>
      <c r="T41" s="1965">
        <f>G41</f>
        <v>38621994616</v>
      </c>
      <c r="U41" s="1965"/>
      <c r="V41" s="1965">
        <v>-127219420734</v>
      </c>
      <c r="W41" s="1967"/>
      <c r="X41" s="1442"/>
      <c r="AA41" s="1435" t="s">
        <v>2671</v>
      </c>
      <c r="AB41" s="1436"/>
      <c r="AC41" s="1437"/>
      <c r="AD41" s="1443">
        <v>79639214477</v>
      </c>
      <c r="AE41" s="1437"/>
      <c r="AF41" s="1444">
        <v>95801398968</v>
      </c>
    </row>
    <row r="42" spans="4:32" ht="18" customHeight="1">
      <c r="D42" s="1862"/>
      <c r="E42" s="1429" t="s">
        <v>2654</v>
      </c>
      <c r="F42" s="1430"/>
      <c r="G42" s="1430"/>
      <c r="H42" s="1430">
        <f>SUM(H37)</f>
        <v>126082156761</v>
      </c>
      <c r="I42" s="1430"/>
      <c r="J42" s="1430">
        <f>SUM(J37)</f>
        <v>79639214477</v>
      </c>
      <c r="K42" s="1430"/>
      <c r="L42" s="1430">
        <f>SUM(L37)</f>
        <v>95801398968</v>
      </c>
      <c r="M42" s="1430"/>
      <c r="N42" s="1431">
        <f>SUM(N37)</f>
        <v>117917039839</v>
      </c>
      <c r="O42" s="1432"/>
      <c r="P42" s="1442" t="b">
        <f>AD41=J42</f>
        <v>1</v>
      </c>
      <c r="Q42" s="1442"/>
      <c r="R42" s="1959" t="s">
        <v>1935</v>
      </c>
      <c r="S42" s="1960"/>
      <c r="T42" s="1961"/>
      <c r="U42" s="1961" t="s">
        <v>611</v>
      </c>
      <c r="V42" s="1961"/>
      <c r="W42" s="1969">
        <v>0</v>
      </c>
      <c r="X42" s="1442"/>
      <c r="AA42" s="1435" t="s">
        <v>2667</v>
      </c>
      <c r="AB42" s="1436"/>
      <c r="AC42" s="1437"/>
      <c r="AD42" s="1443">
        <v>254904569179</v>
      </c>
      <c r="AE42" s="1437"/>
      <c r="AF42" s="1444">
        <v>172443439357</v>
      </c>
    </row>
    <row r="43" spans="4:32" ht="18" customHeight="1" thickBot="1">
      <c r="D43" s="1866"/>
      <c r="E43" s="1452" t="s">
        <v>2655</v>
      </c>
      <c r="F43" s="1453"/>
      <c r="G43" s="1453"/>
      <c r="H43" s="1453">
        <f>SUM(H42,H35)</f>
        <v>273580395770</v>
      </c>
      <c r="I43" s="1453"/>
      <c r="J43" s="1453">
        <f>SUM(J42,J35)</f>
        <v>254904569179</v>
      </c>
      <c r="K43" s="1453"/>
      <c r="L43" s="1453">
        <f>SUM(L42,L35)</f>
        <v>172443439357</v>
      </c>
      <c r="M43" s="1453"/>
      <c r="N43" s="1454">
        <f>SUM(N42,N35)</f>
        <v>171585554854</v>
      </c>
      <c r="O43" s="1432"/>
      <c r="P43" s="1442" t="b">
        <f>AD42=J43</f>
        <v>1</v>
      </c>
      <c r="Q43" s="1442"/>
      <c r="R43" s="1955" t="s">
        <v>2666</v>
      </c>
      <c r="S43" s="1956"/>
      <c r="T43" s="1957"/>
      <c r="U43" s="1957">
        <f>H42</f>
        <v>126082156761</v>
      </c>
      <c r="V43" s="1957"/>
      <c r="W43" s="1958">
        <v>79639214477</v>
      </c>
      <c r="X43" s="1442" t="b">
        <f>U43=U37</f>
        <v>1</v>
      </c>
      <c r="Y43" s="1417" t="b">
        <f>W43=W37</f>
        <v>1</v>
      </c>
    </row>
    <row r="44" spans="4:32" ht="18" customHeight="1" thickBot="1">
      <c r="D44" s="1432"/>
      <c r="E44" s="1432"/>
      <c r="F44" s="1432"/>
      <c r="G44" s="1432"/>
      <c r="H44" s="1432"/>
      <c r="I44" s="1432"/>
      <c r="J44" s="1432"/>
      <c r="K44" s="1432"/>
      <c r="L44" s="1432"/>
      <c r="M44" s="1432"/>
      <c r="N44" s="1432"/>
      <c r="O44" s="1432"/>
      <c r="P44" s="1434"/>
      <c r="Q44" s="1442"/>
      <c r="R44" s="1970" t="s">
        <v>2667</v>
      </c>
      <c r="S44" s="1971"/>
      <c r="T44" s="1972"/>
      <c r="U44" s="1972">
        <f>H43</f>
        <v>273580395770</v>
      </c>
      <c r="V44" s="1972"/>
      <c r="W44" s="1973">
        <v>254904569179</v>
      </c>
      <c r="X44" s="1442" t="b">
        <f>U44=SUM(U35,U43)</f>
        <v>1</v>
      </c>
      <c r="Y44" s="1417" t="b">
        <f>W44=W43+W35</f>
        <v>1</v>
      </c>
    </row>
    <row r="45" spans="4:32" ht="18" customHeight="1">
      <c r="D45" s="1455"/>
      <c r="E45" s="1456" t="s">
        <v>1660</v>
      </c>
      <c r="F45" s="1457"/>
      <c r="G45" s="1457"/>
      <c r="H45" s="1458" t="b">
        <f>H21=H43</f>
        <v>1</v>
      </c>
      <c r="I45" s="1457"/>
      <c r="J45" s="1458" t="b">
        <f>J21=J43</f>
        <v>1</v>
      </c>
      <c r="K45" s="1457"/>
      <c r="L45" s="1458" t="b">
        <f>L21=L43</f>
        <v>1</v>
      </c>
      <c r="M45" s="1458"/>
      <c r="N45" s="1459" t="b">
        <f>N21=N43</f>
        <v>1</v>
      </c>
      <c r="O45" s="1432"/>
      <c r="P45" s="1434"/>
      <c r="Q45" s="1434"/>
      <c r="R45" s="1432"/>
      <c r="S45" s="1432"/>
      <c r="T45" s="1432"/>
      <c r="U45" s="1809" t="b">
        <f>U44=U21</f>
        <v>1</v>
      </c>
      <c r="V45" s="1809"/>
      <c r="W45" s="1809" t="b">
        <f>W44=W21</f>
        <v>1</v>
      </c>
      <c r="X45" s="1434"/>
    </row>
    <row r="46" spans="4:32" ht="18" customHeight="1" thickBot="1">
      <c r="D46" s="1460"/>
      <c r="E46" s="1461" t="s">
        <v>1661</v>
      </c>
      <c r="F46" s="1462"/>
      <c r="G46" s="1462"/>
      <c r="H46" s="1463" t="b">
        <f>H7=T_BS!X7</f>
        <v>1</v>
      </c>
      <c r="I46" s="1462"/>
      <c r="J46" s="1463" t="b">
        <f>J7=T_BS!AG7</f>
        <v>1</v>
      </c>
      <c r="K46" s="1462"/>
      <c r="L46" s="1463" t="b">
        <f>L7=T_BS!AL7</f>
        <v>1</v>
      </c>
      <c r="M46" s="1463"/>
      <c r="N46" s="1464"/>
      <c r="O46" s="1432"/>
      <c r="P46" s="1434"/>
      <c r="Q46" s="1434"/>
      <c r="R46" s="1432"/>
      <c r="S46" s="1432"/>
      <c r="T46" s="1432"/>
      <c r="U46" s="1809" t="b">
        <f>U44=T_BS!X252</f>
        <v>1</v>
      </c>
      <c r="V46" s="1432"/>
      <c r="W46" s="1809" t="b">
        <f>W44=T_BS!AG252</f>
        <v>1</v>
      </c>
      <c r="X46" s="1434"/>
    </row>
    <row r="47" spans="4:32" ht="18" customHeight="1">
      <c r="D47" s="1432"/>
      <c r="E47" s="1432"/>
      <c r="F47" s="1432"/>
      <c r="G47" s="1432"/>
      <c r="H47" s="1432"/>
      <c r="I47" s="1432"/>
      <c r="J47" s="1432"/>
      <c r="K47" s="1432"/>
      <c r="L47" s="1432"/>
      <c r="M47" s="1432"/>
      <c r="N47" s="1432"/>
      <c r="O47" s="1432"/>
      <c r="P47" s="1434"/>
      <c r="Q47" s="1434"/>
      <c r="R47" s="1432"/>
      <c r="S47" s="1432"/>
      <c r="T47" s="1432"/>
      <c r="U47" s="1432"/>
      <c r="V47" s="1432"/>
      <c r="X47" s="1434"/>
    </row>
    <row r="48" spans="4:32" ht="18" customHeight="1">
      <c r="D48" s="1432"/>
      <c r="E48" s="1432"/>
      <c r="F48" s="1432"/>
      <c r="G48" s="1432"/>
      <c r="H48" s="1432"/>
      <c r="I48" s="1432"/>
      <c r="J48" s="1432"/>
      <c r="K48" s="1432"/>
      <c r="L48" s="1432"/>
      <c r="M48" s="1432"/>
      <c r="N48" s="1432"/>
      <c r="O48" s="1432"/>
      <c r="P48" s="1434"/>
      <c r="Q48" s="1434"/>
      <c r="R48" s="1432"/>
      <c r="S48" s="1432"/>
      <c r="T48" s="1432"/>
      <c r="U48" s="1432"/>
      <c r="V48" s="1432"/>
      <c r="X48" s="1434"/>
    </row>
    <row r="49" spans="4:24" ht="18" customHeight="1">
      <c r="D49" s="1432"/>
      <c r="E49" s="1432"/>
      <c r="F49" s="1432"/>
      <c r="G49" s="1432"/>
      <c r="H49" s="1432"/>
      <c r="I49" s="1432"/>
      <c r="J49" s="1432"/>
      <c r="K49" s="1432"/>
      <c r="L49" s="1432"/>
      <c r="M49" s="1432"/>
      <c r="N49" s="1432"/>
      <c r="O49" s="1432"/>
      <c r="P49" s="1434"/>
      <c r="Q49" s="1434"/>
      <c r="R49" s="1432"/>
      <c r="S49" s="1432"/>
      <c r="T49" s="1432"/>
      <c r="U49" s="1432"/>
      <c r="V49" s="1432"/>
      <c r="X49" s="1434"/>
    </row>
    <row r="50" spans="4:24" ht="18" customHeight="1">
      <c r="D50" s="1432"/>
      <c r="E50" s="1432"/>
      <c r="F50" s="1432"/>
      <c r="G50" s="1432"/>
      <c r="H50" s="1432"/>
      <c r="I50" s="1432"/>
      <c r="J50" s="1432"/>
      <c r="K50" s="1432"/>
      <c r="L50" s="1432"/>
      <c r="M50" s="1432"/>
      <c r="N50" s="1432"/>
      <c r="O50" s="1432"/>
      <c r="P50" s="1434"/>
      <c r="Q50" s="1434"/>
      <c r="R50" s="1432"/>
      <c r="S50" s="1432"/>
      <c r="T50" s="1432"/>
      <c r="U50" s="1432"/>
      <c r="V50" s="1432"/>
      <c r="X50" s="1434"/>
    </row>
    <row r="51" spans="4:24" ht="18" customHeight="1">
      <c r="D51" s="1432"/>
      <c r="E51" s="1432"/>
      <c r="F51" s="1432"/>
      <c r="G51" s="1432"/>
      <c r="H51" s="1432"/>
      <c r="I51" s="1432"/>
      <c r="J51" s="1432"/>
      <c r="K51" s="1432"/>
      <c r="L51" s="1432"/>
      <c r="M51" s="1432"/>
      <c r="N51" s="1432"/>
      <c r="O51" s="1432"/>
      <c r="P51" s="1434"/>
      <c r="Q51" s="1434"/>
      <c r="R51" s="1432"/>
      <c r="S51" s="1432"/>
      <c r="T51" s="1432"/>
      <c r="U51" s="1432"/>
      <c r="V51" s="1432"/>
      <c r="X51" s="1434"/>
    </row>
    <row r="52" spans="4:24" ht="18" customHeight="1">
      <c r="D52" s="1432"/>
      <c r="E52" s="1432"/>
      <c r="F52" s="1432"/>
      <c r="G52" s="1432"/>
      <c r="H52" s="1432"/>
      <c r="I52" s="1432"/>
      <c r="J52" s="1432"/>
      <c r="K52" s="1432"/>
      <c r="L52" s="1432"/>
      <c r="M52" s="1432"/>
      <c r="N52" s="1432"/>
      <c r="O52" s="1432"/>
      <c r="P52" s="1434"/>
      <c r="Q52" s="1434"/>
      <c r="R52" s="1432"/>
      <c r="S52" s="1432"/>
      <c r="T52" s="1432"/>
      <c r="U52" s="1432"/>
      <c r="V52" s="1432"/>
      <c r="X52" s="1434"/>
    </row>
    <row r="53" spans="4:24" ht="18" customHeight="1">
      <c r="D53" s="1432"/>
      <c r="E53" s="1432"/>
      <c r="F53" s="1432"/>
      <c r="G53" s="1432"/>
      <c r="H53" s="1432"/>
      <c r="I53" s="1432"/>
      <c r="J53" s="1432"/>
      <c r="K53" s="1432"/>
      <c r="L53" s="1432"/>
      <c r="M53" s="1432"/>
      <c r="N53" s="1432"/>
      <c r="O53" s="1432"/>
      <c r="P53" s="1434"/>
      <c r="Q53" s="1434"/>
      <c r="R53" s="1432"/>
      <c r="S53" s="1432"/>
      <c r="T53" s="1432"/>
      <c r="U53" s="1432"/>
      <c r="V53" s="1432"/>
      <c r="X53" s="1434"/>
    </row>
    <row r="54" spans="4:24" ht="18" customHeight="1">
      <c r="D54" s="1432"/>
      <c r="E54" s="1432"/>
      <c r="F54" s="1432"/>
      <c r="G54" s="1432"/>
      <c r="H54" s="1432"/>
      <c r="I54" s="1432"/>
      <c r="J54" s="1432"/>
      <c r="K54" s="1432"/>
      <c r="L54" s="1432"/>
      <c r="M54" s="1432"/>
      <c r="N54" s="1432"/>
      <c r="O54" s="1432"/>
      <c r="P54" s="1434"/>
      <c r="Q54" s="1434"/>
      <c r="R54" s="1432"/>
      <c r="S54" s="1432"/>
      <c r="T54" s="1432"/>
      <c r="U54" s="1432"/>
      <c r="V54" s="1432"/>
      <c r="X54" s="1434"/>
    </row>
    <row r="55" spans="4:24" ht="18" customHeight="1">
      <c r="D55" s="1432"/>
      <c r="E55" s="1432"/>
      <c r="F55" s="1432"/>
      <c r="G55" s="1432"/>
      <c r="H55" s="1432"/>
      <c r="I55" s="1432"/>
      <c r="J55" s="1432"/>
      <c r="K55" s="1432"/>
      <c r="L55" s="1432"/>
      <c r="M55" s="1432"/>
      <c r="N55" s="1432"/>
      <c r="O55" s="1432"/>
      <c r="P55" s="1434"/>
      <c r="Q55" s="1434"/>
      <c r="R55" s="1432"/>
      <c r="S55" s="1432"/>
      <c r="T55" s="1432"/>
      <c r="U55" s="1432"/>
      <c r="V55" s="1432"/>
      <c r="X55" s="1434"/>
    </row>
    <row r="56" spans="4:24" ht="18" customHeight="1">
      <c r="D56" s="1432"/>
      <c r="E56" s="1432"/>
      <c r="F56" s="1432"/>
      <c r="G56" s="1432"/>
      <c r="H56" s="1432"/>
      <c r="I56" s="1432"/>
      <c r="J56" s="1432"/>
      <c r="K56" s="1432"/>
      <c r="L56" s="1432"/>
      <c r="M56" s="1432"/>
      <c r="N56" s="1432"/>
      <c r="O56" s="1432"/>
      <c r="P56" s="1434"/>
      <c r="Q56" s="1434"/>
      <c r="R56" s="1432"/>
      <c r="S56" s="1432"/>
      <c r="T56" s="1432"/>
      <c r="U56" s="1432"/>
      <c r="V56" s="1432"/>
      <c r="X56" s="1434"/>
    </row>
    <row r="57" spans="4:24" ht="18" customHeight="1">
      <c r="D57" s="1432"/>
      <c r="E57" s="1432"/>
      <c r="F57" s="1432"/>
      <c r="G57" s="1432"/>
      <c r="H57" s="1432"/>
      <c r="I57" s="1432"/>
      <c r="J57" s="1432"/>
      <c r="K57" s="1432"/>
      <c r="L57" s="1432"/>
      <c r="M57" s="1432"/>
      <c r="N57" s="1432"/>
      <c r="O57" s="1432"/>
      <c r="P57" s="1434"/>
      <c r="Q57" s="1434"/>
      <c r="R57" s="1432"/>
      <c r="S57" s="1432"/>
      <c r="T57" s="1432"/>
      <c r="U57" s="1432"/>
      <c r="V57" s="1432"/>
      <c r="X57" s="1434"/>
    </row>
    <row r="58" spans="4:24" ht="18" customHeight="1">
      <c r="D58" s="1432"/>
      <c r="E58" s="1432"/>
      <c r="F58" s="1432"/>
      <c r="G58" s="1432"/>
      <c r="H58" s="1432"/>
      <c r="I58" s="1432"/>
      <c r="J58" s="1432"/>
      <c r="K58" s="1432"/>
      <c r="L58" s="1432"/>
      <c r="M58" s="1432"/>
      <c r="N58" s="1432"/>
      <c r="O58" s="1432"/>
      <c r="P58" s="1434"/>
      <c r="Q58" s="1434"/>
      <c r="R58" s="1432"/>
      <c r="S58" s="1432"/>
      <c r="T58" s="1432"/>
      <c r="U58" s="1432"/>
      <c r="V58" s="1432"/>
      <c r="X58" s="1434"/>
    </row>
    <row r="59" spans="4:24" ht="18" customHeight="1">
      <c r="D59" s="1432"/>
      <c r="E59" s="1432"/>
      <c r="F59" s="1432"/>
      <c r="G59" s="1432"/>
      <c r="H59" s="1432"/>
      <c r="I59" s="1432"/>
      <c r="J59" s="1432"/>
      <c r="K59" s="1432"/>
      <c r="L59" s="1432"/>
      <c r="M59" s="1432"/>
      <c r="N59" s="1432"/>
      <c r="O59" s="1432"/>
      <c r="P59" s="1434"/>
      <c r="Q59" s="1434"/>
      <c r="R59" s="1432"/>
      <c r="S59" s="1432"/>
      <c r="T59" s="1432"/>
      <c r="U59" s="1432"/>
      <c r="V59" s="1432"/>
      <c r="X59" s="1434"/>
    </row>
    <row r="60" spans="4:24" ht="18" customHeight="1">
      <c r="D60" s="1432"/>
      <c r="E60" s="1432"/>
      <c r="F60" s="1432"/>
      <c r="G60" s="1432"/>
      <c r="H60" s="1432"/>
      <c r="I60" s="1432"/>
      <c r="J60" s="1432"/>
      <c r="K60" s="1432"/>
      <c r="L60" s="1432"/>
      <c r="M60" s="1432"/>
      <c r="N60" s="1432"/>
      <c r="O60" s="1432"/>
      <c r="P60" s="1434"/>
      <c r="Q60" s="1434"/>
      <c r="R60" s="1432"/>
      <c r="S60" s="1432"/>
      <c r="T60" s="1432"/>
      <c r="U60" s="1432"/>
      <c r="V60" s="1432"/>
      <c r="X60" s="1434"/>
    </row>
    <row r="61" spans="4:24" ht="18" customHeight="1">
      <c r="D61" s="1432"/>
      <c r="E61" s="1432"/>
      <c r="F61" s="1432"/>
      <c r="G61" s="1432"/>
      <c r="H61" s="1432"/>
      <c r="I61" s="1432"/>
      <c r="J61" s="1432"/>
      <c r="K61" s="1432"/>
      <c r="L61" s="1432"/>
      <c r="M61" s="1432"/>
      <c r="N61" s="1432"/>
      <c r="O61" s="1432"/>
      <c r="P61" s="1434"/>
      <c r="Q61" s="1434"/>
      <c r="R61" s="1432"/>
      <c r="S61" s="1432"/>
      <c r="T61" s="1432"/>
      <c r="U61" s="1432"/>
      <c r="V61" s="1432"/>
      <c r="X61" s="1434"/>
    </row>
    <row r="62" spans="4:24" ht="18" customHeight="1">
      <c r="D62" s="1432"/>
      <c r="E62" s="1432"/>
      <c r="F62" s="1432"/>
      <c r="G62" s="1432"/>
      <c r="H62" s="1432"/>
      <c r="I62" s="1432"/>
      <c r="J62" s="1432"/>
      <c r="K62" s="1432"/>
      <c r="L62" s="1432"/>
      <c r="M62" s="1432"/>
      <c r="N62" s="1432"/>
      <c r="O62" s="1432"/>
      <c r="P62" s="1434"/>
      <c r="Q62" s="1434"/>
      <c r="R62" s="1432"/>
      <c r="S62" s="1432"/>
      <c r="T62" s="1432"/>
      <c r="U62" s="1432"/>
      <c r="V62" s="1432"/>
      <c r="X62" s="1434"/>
    </row>
    <row r="63" spans="4:24" ht="18" customHeight="1">
      <c r="D63" s="1432"/>
      <c r="E63" s="1432"/>
      <c r="F63" s="1432"/>
      <c r="G63" s="1432"/>
      <c r="H63" s="1432"/>
      <c r="I63" s="1432"/>
      <c r="J63" s="1432"/>
      <c r="K63" s="1432"/>
      <c r="L63" s="1432"/>
      <c r="M63" s="1432"/>
      <c r="N63" s="1432"/>
      <c r="O63" s="1432"/>
      <c r="P63" s="1434"/>
      <c r="Q63" s="1434"/>
      <c r="R63" s="1432"/>
      <c r="S63" s="1432"/>
      <c r="T63" s="1432"/>
      <c r="U63" s="1432"/>
      <c r="V63" s="1432"/>
      <c r="X63" s="1434"/>
    </row>
    <row r="64" spans="4:24" ht="18" customHeight="1">
      <c r="Q64" s="1434"/>
      <c r="R64" s="1432"/>
      <c r="S64" s="1432"/>
      <c r="T64" s="1432"/>
      <c r="U64" s="1432"/>
      <c r="V64" s="1432"/>
      <c r="X64" s="1434"/>
    </row>
  </sheetData>
  <mergeCells count="5">
    <mergeCell ref="T5:U5"/>
    <mergeCell ref="V5:W5"/>
    <mergeCell ref="AC5:AD5"/>
    <mergeCell ref="AE5:AF5"/>
    <mergeCell ref="M4:N4"/>
  </mergeCells>
  <phoneticPr fontId="21" type="noConversion"/>
  <pageMargins left="0.7" right="0.7" top="0.75" bottom="0.75" header="0.3" footer="0.3"/>
  <pageSetup paperSize="9" orientation="portrait" r:id="rId1"/>
  <ignoredErrors>
    <ignoredError sqref="R42:S42 P14 P29 P36 P44 R14 R29 R37:R41 R19:R20 R23 R45:S45 S43 S44" formula="1"/>
    <ignoredError sqref="AB8 F14:F15 F33:F37 F10 F20:F23 F29 F27:F28 F30:F32 S10:S23 S27:S34" twoDigitTextYear="1"/>
    <ignoredError sqref="S35:S37" twoDigitTextYear="1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2060"/>
  </sheetPr>
  <dimension ref="D2:AE56"/>
  <sheetViews>
    <sheetView showGridLines="0" zoomScale="80" zoomScaleNormal="80" workbookViewId="0">
      <selection activeCell="P34" sqref="P34"/>
    </sheetView>
  </sheetViews>
  <sheetFormatPr defaultColWidth="9" defaultRowHeight="18.95" customHeight="1"/>
  <cols>
    <col min="1" max="3" width="2.375" style="1364" customWidth="1"/>
    <col min="4" max="4" width="30.625" style="1364" customWidth="1"/>
    <col min="5" max="5" width="44.875" style="1364" customWidth="1"/>
    <col min="6" max="6" width="11.5" style="1364" customWidth="1"/>
    <col min="7" max="17" width="16.625" style="1364" customWidth="1"/>
    <col min="18" max="18" width="2.625" style="1364" customWidth="1"/>
    <col min="19" max="20" width="8.625" style="1364" customWidth="1"/>
    <col min="21" max="21" width="2.625" style="1364" customWidth="1"/>
    <col min="22" max="22" width="40.625" style="1364" customWidth="1"/>
    <col min="23" max="23" width="10.25" style="1366" customWidth="1"/>
    <col min="24" max="27" width="16.625" style="1364" customWidth="1"/>
    <col min="28" max="31" width="8.625" style="1364" customWidth="1"/>
    <col min="32" max="16384" width="9" style="1364"/>
  </cols>
  <sheetData>
    <row r="2" spans="4:31" ht="18.95" customHeight="1">
      <c r="H2" s="1365"/>
      <c r="I2" s="1365"/>
      <c r="J2" s="1365"/>
    </row>
    <row r="3" spans="4:31" ht="18.95" customHeight="1" thickBot="1">
      <c r="H3" s="1366"/>
      <c r="I3" s="1366"/>
      <c r="J3" s="1366"/>
      <c r="K3" s="1366"/>
      <c r="L3" s="1366"/>
      <c r="M3" s="1366"/>
      <c r="N3" s="1366"/>
      <c r="O3" s="1366"/>
      <c r="P3" s="1366"/>
      <c r="Q3" s="1366"/>
    </row>
    <row r="4" spans="4:31" ht="18.95" customHeight="1">
      <c r="D4" s="2076" t="s">
        <v>1649</v>
      </c>
      <c r="E4" s="2072" t="s">
        <v>2656</v>
      </c>
      <c r="F4" s="2078" t="s">
        <v>1662</v>
      </c>
      <c r="G4" s="2084" t="s">
        <v>2053</v>
      </c>
      <c r="H4" s="2084" t="str">
        <f>'BS(공)'!G4</f>
        <v>FY2022.10</v>
      </c>
      <c r="I4" s="2072" t="s">
        <v>2899</v>
      </c>
      <c r="J4" s="2072" t="s">
        <v>2836</v>
      </c>
      <c r="K4" s="2072" t="s">
        <v>2582</v>
      </c>
      <c r="L4" s="2072" t="s">
        <v>2619</v>
      </c>
      <c r="M4" s="2072" t="s">
        <v>2615</v>
      </c>
      <c r="N4" s="2072" t="s">
        <v>2621</v>
      </c>
      <c r="O4" s="2072" t="s">
        <v>2620</v>
      </c>
      <c r="P4" s="2086" t="s">
        <v>2304</v>
      </c>
      <c r="Q4" s="2088" t="s">
        <v>2305</v>
      </c>
      <c r="S4" s="1367"/>
      <c r="T4" s="1367"/>
      <c r="V4" s="2080" t="s">
        <v>2657</v>
      </c>
      <c r="W4" s="2082" t="s">
        <v>1662</v>
      </c>
      <c r="X4" s="2074" t="s">
        <v>2837</v>
      </c>
      <c r="Y4" s="2074"/>
      <c r="Z4" s="2074" t="s">
        <v>2838</v>
      </c>
      <c r="AA4" s="2075"/>
    </row>
    <row r="5" spans="4:31" ht="18.95" customHeight="1">
      <c r="D5" s="2077"/>
      <c r="E5" s="2073"/>
      <c r="F5" s="2079"/>
      <c r="G5" s="2085"/>
      <c r="H5" s="2085"/>
      <c r="I5" s="2073"/>
      <c r="J5" s="2073"/>
      <c r="K5" s="2073"/>
      <c r="L5" s="2073"/>
      <c r="M5" s="2073"/>
      <c r="N5" s="2073"/>
      <c r="O5" s="2073"/>
      <c r="P5" s="2087"/>
      <c r="Q5" s="2089"/>
      <c r="S5" s="1367"/>
      <c r="T5" s="1367"/>
      <c r="V5" s="2081"/>
      <c r="W5" s="2083"/>
      <c r="X5" s="1368" t="s">
        <v>2660</v>
      </c>
      <c r="Y5" s="1368" t="s">
        <v>2661</v>
      </c>
      <c r="Z5" s="1368" t="s">
        <v>2660</v>
      </c>
      <c r="AA5" s="1369" t="s">
        <v>2662</v>
      </c>
    </row>
    <row r="6" spans="4:31" ht="18.95" customHeight="1">
      <c r="D6" s="1867" t="s">
        <v>228</v>
      </c>
      <c r="E6" s="1370" t="s">
        <v>1663</v>
      </c>
      <c r="F6" s="1371" t="s">
        <v>2844</v>
      </c>
      <c r="G6" s="1372">
        <f>H6-SUMIF(T_IS!$E:$E,'IS(공)'!D6,T_IS!$AD:$AD)</f>
        <v>22517761095</v>
      </c>
      <c r="H6" s="1373">
        <f>SUMIF(T_IS!$E:$E,'IS(공)'!D6,T_IS!$X:$X)</f>
        <v>222552493271</v>
      </c>
      <c r="I6" s="1373">
        <v>200034732176</v>
      </c>
      <c r="J6" s="1373">
        <v>126103721487</v>
      </c>
      <c r="K6" s="1373">
        <f>SUMIF(T_IS!$E:$E,'IS(공)'!$D6,T_IS!$AH:$AH)</f>
        <v>58165919693</v>
      </c>
      <c r="L6" s="1373">
        <f>SUMIF(T_IS!$E:$E,'IS(공)'!$D6,T_IS!$AI:$AI)</f>
        <v>244189264502</v>
      </c>
      <c r="M6" s="1373">
        <v>177966232980</v>
      </c>
      <c r="N6" s="1374">
        <v>117973208961</v>
      </c>
      <c r="O6" s="1374">
        <v>57684351029</v>
      </c>
      <c r="P6" s="1374">
        <f>SUMIF(T_IS!$E:$E,'IS(공)'!$D6,T_IS!$AN:$AN)</f>
        <v>226329072223</v>
      </c>
      <c r="Q6" s="1375">
        <v>196961162684</v>
      </c>
      <c r="S6" s="1376"/>
      <c r="T6" s="1367"/>
      <c r="V6" s="1377" t="s">
        <v>1663</v>
      </c>
      <c r="W6" s="1378" t="s">
        <v>2439</v>
      </c>
      <c r="X6" s="1379">
        <f>H6-J6</f>
        <v>96448771784</v>
      </c>
      <c r="Y6" s="1379">
        <f>H6</f>
        <v>222552493271</v>
      </c>
      <c r="Z6" s="1380">
        <f>M6-N6</f>
        <v>59993024019</v>
      </c>
      <c r="AA6" s="1381">
        <f>M6</f>
        <v>177966232980</v>
      </c>
    </row>
    <row r="7" spans="4:31" ht="18.95" customHeight="1">
      <c r="D7" s="1867" t="s">
        <v>238</v>
      </c>
      <c r="E7" s="1370" t="s">
        <v>1664</v>
      </c>
      <c r="F7" s="1371" t="s">
        <v>2845</v>
      </c>
      <c r="G7" s="1372">
        <f>H7-SUMIF(T_IS!$E:$E,'IS(공)'!D7,T_IS!$AD:$AD)</f>
        <v>17065600941</v>
      </c>
      <c r="H7" s="1373">
        <f>SUMIF(T_IS!$E:$E,'IS(공)'!D7,T_IS!$X:$X)</f>
        <v>172448604423</v>
      </c>
      <c r="I7" s="1373">
        <v>155383003482</v>
      </c>
      <c r="J7" s="1373">
        <v>97495684899</v>
      </c>
      <c r="K7" s="1373">
        <f>SUMIF(T_IS!$E:$E,'IS(공)'!$D7,T_IS!$AH:$AH)</f>
        <v>44657346855</v>
      </c>
      <c r="L7" s="1373">
        <f>SUMIF(T_IS!$E:$E,'IS(공)'!$D7,T_IS!$AI:$AI)</f>
        <v>184688310354</v>
      </c>
      <c r="M7" s="1373">
        <v>136737922106</v>
      </c>
      <c r="N7" s="1374">
        <v>91374419912</v>
      </c>
      <c r="O7" s="1374">
        <v>44994036091</v>
      </c>
      <c r="P7" s="1374">
        <f>SUMIF(T_IS!$E:$E,'IS(공)'!$D7,T_IS!$AN:$AN)</f>
        <v>181205387327</v>
      </c>
      <c r="Q7" s="1375">
        <v>166303131717</v>
      </c>
      <c r="S7" s="1367"/>
      <c r="T7" s="1367"/>
      <c r="V7" s="1377" t="s">
        <v>1664</v>
      </c>
      <c r="W7" s="1378" t="s">
        <v>2439</v>
      </c>
      <c r="X7" s="1379">
        <f>H7-J7</f>
        <v>74952919524</v>
      </c>
      <c r="Y7" s="1379">
        <f>H7</f>
        <v>172448604423</v>
      </c>
      <c r="Z7" s="1380">
        <f t="shared" ref="Z7" si="0">M7-N7</f>
        <v>45363502194</v>
      </c>
      <c r="AA7" s="1381">
        <f t="shared" ref="AA7" si="1">M7</f>
        <v>136737922106</v>
      </c>
    </row>
    <row r="8" spans="4:31" ht="18.95" customHeight="1">
      <c r="D8" s="1868"/>
      <c r="E8" s="1382" t="s">
        <v>1665</v>
      </c>
      <c r="F8" s="1383"/>
      <c r="G8" s="1384">
        <f t="shared" ref="G8:Q8" si="2">G6-G7</f>
        <v>5452160154</v>
      </c>
      <c r="H8" s="1385">
        <f t="shared" si="2"/>
        <v>50103888848</v>
      </c>
      <c r="I8" s="1385">
        <v>44651728694</v>
      </c>
      <c r="J8" s="1385">
        <v>28608036588</v>
      </c>
      <c r="K8" s="1385">
        <f>K6-K7</f>
        <v>13508572838</v>
      </c>
      <c r="L8" s="1385">
        <f>L6-L7</f>
        <v>59500954148</v>
      </c>
      <c r="M8" s="1385">
        <v>41228310874</v>
      </c>
      <c r="N8" s="1386">
        <v>26598789049</v>
      </c>
      <c r="O8" s="1386">
        <v>12690314938</v>
      </c>
      <c r="P8" s="1386">
        <f t="shared" si="2"/>
        <v>45123684896</v>
      </c>
      <c r="Q8" s="1387">
        <f t="shared" si="2"/>
        <v>30658030967</v>
      </c>
      <c r="S8" s="1367" t="b">
        <f>H8=(H6-H7)</f>
        <v>1</v>
      </c>
      <c r="T8" s="1367" t="b">
        <f>N8=(N6-N7)</f>
        <v>1</v>
      </c>
      <c r="V8" s="1388" t="s">
        <v>1665</v>
      </c>
      <c r="W8" s="1389"/>
      <c r="X8" s="1390">
        <f>X6-X7</f>
        <v>21495852260</v>
      </c>
      <c r="Y8" s="1390">
        <f>Y6-Y7</f>
        <v>50103888848</v>
      </c>
      <c r="Z8" s="1390">
        <f>Z6-Z7</f>
        <v>14629521825</v>
      </c>
      <c r="AA8" s="1391">
        <f>AA6-AA7</f>
        <v>41228310874</v>
      </c>
      <c r="AB8" s="1367" t="b">
        <f>X8=X6-X7</f>
        <v>1</v>
      </c>
      <c r="AC8" s="1367" t="b">
        <f>Y8=Y6-Y7</f>
        <v>1</v>
      </c>
      <c r="AD8" s="1367" t="b">
        <f>Z8=Z6-Z7</f>
        <v>1</v>
      </c>
      <c r="AE8" s="1367" t="b">
        <f>AA8=AA6-AA7</f>
        <v>1</v>
      </c>
    </row>
    <row r="9" spans="4:31" ht="18.95" customHeight="1">
      <c r="D9" s="1867" t="s">
        <v>258</v>
      </c>
      <c r="E9" s="1853" t="s">
        <v>2794</v>
      </c>
      <c r="F9" s="1371" t="s">
        <v>2847</v>
      </c>
      <c r="G9" s="1372">
        <f>H9-SUMIF(T_IS!$E:$E,'IS(공)'!D9,T_IS!$AD:$AD)</f>
        <v>5637298916</v>
      </c>
      <c r="H9" s="1373">
        <f>SUMIF(T_IS!$E:$E,'IS(공)'!D9,T_IS!$X:$X)</f>
        <v>52133436542</v>
      </c>
      <c r="I9" s="1373">
        <v>46496137626</v>
      </c>
      <c r="J9" s="1373">
        <v>29634281931</v>
      </c>
      <c r="K9" s="1373">
        <f>SUMIF(T_IS!$E:$E,'IS(공)'!$D9,T_IS!$AH:$AH)</f>
        <v>13919892653</v>
      </c>
      <c r="L9" s="1373">
        <f>SUMIF(T_IS!$E:$E,'IS(공)'!$D9,T_IS!$AI:$AI)</f>
        <v>54652445309</v>
      </c>
      <c r="M9" s="1373">
        <v>36514424351</v>
      </c>
      <c r="N9" s="1374">
        <v>23830391473</v>
      </c>
      <c r="O9" s="1374">
        <v>11633145089</v>
      </c>
      <c r="P9" s="1374">
        <f>SUMIF(T_IS!$E:$E,'IS(공)'!$D9,T_IS!$AN:$AN)</f>
        <v>57012606885</v>
      </c>
      <c r="Q9" s="1375">
        <v>57401502102</v>
      </c>
      <c r="S9" s="1367"/>
      <c r="T9" s="1367"/>
      <c r="V9" s="1377" t="s">
        <v>1936</v>
      </c>
      <c r="W9" s="1378" t="s">
        <v>2846</v>
      </c>
      <c r="X9" s="1379">
        <f>H9-J9</f>
        <v>22499154611</v>
      </c>
      <c r="Y9" s="1379">
        <f>H9</f>
        <v>52133436542</v>
      </c>
      <c r="Z9" s="1380">
        <f t="shared" ref="Z9" si="3">M9-N9</f>
        <v>12684032878</v>
      </c>
      <c r="AA9" s="1381">
        <f t="shared" ref="AA9" si="4">M9</f>
        <v>36514424351</v>
      </c>
      <c r="AB9" s="1367"/>
      <c r="AC9" s="1367"/>
      <c r="AD9" s="1367"/>
      <c r="AE9" s="1367"/>
    </row>
    <row r="10" spans="4:31" ht="18.95" customHeight="1">
      <c r="D10" s="1868"/>
      <c r="E10" s="1382" t="s">
        <v>1666</v>
      </c>
      <c r="F10" s="1383"/>
      <c r="G10" s="1384">
        <f t="shared" ref="G10:Q10" si="5">G8-G9</f>
        <v>-185138762</v>
      </c>
      <c r="H10" s="1385">
        <f t="shared" si="5"/>
        <v>-2029547694</v>
      </c>
      <c r="I10" s="1385">
        <v>-1844408932</v>
      </c>
      <c r="J10" s="1385">
        <v>-1026245343</v>
      </c>
      <c r="K10" s="1385">
        <f>K8-K9</f>
        <v>-411319815</v>
      </c>
      <c r="L10" s="1385">
        <f>L8-L9</f>
        <v>4848508839</v>
      </c>
      <c r="M10" s="1385">
        <v>4713886523</v>
      </c>
      <c r="N10" s="1386">
        <v>2768397576</v>
      </c>
      <c r="O10" s="1386">
        <v>1057169849</v>
      </c>
      <c r="P10" s="1386">
        <f t="shared" si="5"/>
        <v>-11888921989</v>
      </c>
      <c r="Q10" s="1387">
        <f t="shared" si="5"/>
        <v>-26743471135</v>
      </c>
      <c r="S10" s="1367" t="b">
        <f>H10=(H8-H9)</f>
        <v>1</v>
      </c>
      <c r="T10" s="1367" t="b">
        <f>N10=(N8-N9)</f>
        <v>1</v>
      </c>
      <c r="V10" s="1388" t="s">
        <v>1666</v>
      </c>
      <c r="W10" s="1389"/>
      <c r="X10" s="1392">
        <f>X8-X9</f>
        <v>-1003302351</v>
      </c>
      <c r="Y10" s="1392">
        <f>Y8-Y9</f>
        <v>-2029547694</v>
      </c>
      <c r="Z10" s="1392">
        <f>Z8-Z9</f>
        <v>1945488947</v>
      </c>
      <c r="AA10" s="1393">
        <f>AA8-AA9</f>
        <v>4713886523</v>
      </c>
      <c r="AB10" s="1367" t="b">
        <f>X10=X8-X9</f>
        <v>1</v>
      </c>
      <c r="AC10" s="1367" t="b">
        <f>Y10=Y8-Y9</f>
        <v>1</v>
      </c>
      <c r="AD10" s="1367" t="b">
        <f>Z10=Z8-Z9</f>
        <v>1</v>
      </c>
      <c r="AE10" s="1367" t="b">
        <f>AA10=AA8-AA9</f>
        <v>1</v>
      </c>
    </row>
    <row r="11" spans="4:31" ht="18.95" customHeight="1">
      <c r="D11" s="1867" t="s">
        <v>314</v>
      </c>
      <c r="E11" s="1853" t="s">
        <v>2779</v>
      </c>
      <c r="F11" s="1371" t="s">
        <v>2849</v>
      </c>
      <c r="G11" s="1372">
        <f>H11-SUMIF(T_IS!$E:$E,'IS(공)'!D11,T_IS!$AD:$AD)</f>
        <v>247055614</v>
      </c>
      <c r="H11" s="1373">
        <f>SUMIF(T_IS!$E:$E,'IS(공)'!D11,T_IS!$X:$X)</f>
        <v>49468145557</v>
      </c>
      <c r="I11" s="1373">
        <v>49221089943</v>
      </c>
      <c r="J11" s="1373">
        <v>38913047937</v>
      </c>
      <c r="K11" s="1373">
        <f>SUMIF(T_IS!$E:$E,'IS(공)'!$D11,T_IS!$AH:$AH)</f>
        <v>13857125099</v>
      </c>
      <c r="L11" s="1373">
        <f>SUMIF(T_IS!$E:$E,'IS(공)'!$D11,T_IS!$AI:$AI)</f>
        <v>4675492818</v>
      </c>
      <c r="M11" s="1373">
        <v>3469721018</v>
      </c>
      <c r="N11" s="1374">
        <v>1487921929</v>
      </c>
      <c r="O11" s="1374">
        <v>1465657078</v>
      </c>
      <c r="P11" s="1374">
        <f>SUMIF(T_IS!$E:$E,'IS(공)'!$D11,T_IS!$AN:$AN)</f>
        <v>1036386899</v>
      </c>
      <c r="Q11" s="1375">
        <v>2405455321</v>
      </c>
      <c r="S11" s="1367"/>
      <c r="T11" s="1367"/>
      <c r="V11" s="1377" t="s">
        <v>1937</v>
      </c>
      <c r="W11" s="1378" t="s">
        <v>2848</v>
      </c>
      <c r="X11" s="1379">
        <f>H11-J11</f>
        <v>10555097620</v>
      </c>
      <c r="Y11" s="1379">
        <f>H11</f>
        <v>49468145557</v>
      </c>
      <c r="Z11" s="1380">
        <f t="shared" ref="Z11:Z15" si="6">M11-N11</f>
        <v>1981799089</v>
      </c>
      <c r="AA11" s="1381">
        <f t="shared" ref="AA11:AA15" si="7">M11</f>
        <v>3469721018</v>
      </c>
      <c r="AB11" s="1367"/>
      <c r="AC11" s="1367"/>
      <c r="AD11" s="1367"/>
      <c r="AE11" s="1367"/>
    </row>
    <row r="12" spans="4:31" ht="18.95" customHeight="1">
      <c r="D12" s="1867" t="s">
        <v>333</v>
      </c>
      <c r="E12" s="1853" t="s">
        <v>2780</v>
      </c>
      <c r="F12" s="1371" t="s">
        <v>2851</v>
      </c>
      <c r="G12" s="1372">
        <f>H12-SUMIF(T_IS!$E:$E,'IS(공)'!D12,T_IS!$AD:$AD)</f>
        <v>210906841</v>
      </c>
      <c r="H12" s="1373">
        <f>SUMIF(T_IS!$E:$E,'IS(공)'!D12,T_IS!$X:$X)</f>
        <v>3027533859</v>
      </c>
      <c r="I12" s="1373">
        <v>2816627018</v>
      </c>
      <c r="J12" s="1373">
        <v>3009429455</v>
      </c>
      <c r="K12" s="1373">
        <f>SUMIF(T_IS!$E:$E,'IS(공)'!$D12,T_IS!$AH:$AH)</f>
        <v>933678146</v>
      </c>
      <c r="L12" s="1373">
        <f>SUMIF(T_IS!$E:$E,'IS(공)'!$D12,T_IS!$AI:$AI)</f>
        <v>23668309521</v>
      </c>
      <c r="M12" s="1373">
        <v>8364900992</v>
      </c>
      <c r="N12" s="1374">
        <v>18947959777</v>
      </c>
      <c r="O12" s="1374">
        <v>241245268</v>
      </c>
      <c r="P12" s="1374">
        <f>SUMIF(T_IS!$E:$E,'IS(공)'!$D12,T_IS!$AN:$AN)</f>
        <v>3900339065</v>
      </c>
      <c r="Q12" s="1375">
        <v>1138181134</v>
      </c>
      <c r="S12" s="1367"/>
      <c r="T12" s="1367"/>
      <c r="V12" s="1377" t="s">
        <v>1938</v>
      </c>
      <c r="W12" s="1378" t="s">
        <v>2850</v>
      </c>
      <c r="X12" s="1379">
        <f>H12-J12</f>
        <v>18104404</v>
      </c>
      <c r="Y12" s="1379">
        <f>H12</f>
        <v>3027533859</v>
      </c>
      <c r="Z12" s="1380">
        <f t="shared" si="6"/>
        <v>-10583058785</v>
      </c>
      <c r="AA12" s="1381">
        <f t="shared" si="7"/>
        <v>8364900992</v>
      </c>
      <c r="AB12" s="1367"/>
      <c r="AC12" s="1367"/>
      <c r="AD12" s="1367"/>
      <c r="AE12" s="1367"/>
    </row>
    <row r="13" spans="4:31" ht="18.95" customHeight="1">
      <c r="D13" s="1867" t="s">
        <v>354</v>
      </c>
      <c r="E13" s="1853" t="s">
        <v>2781</v>
      </c>
      <c r="F13" s="1371">
        <v>22</v>
      </c>
      <c r="G13" s="1372">
        <f>H13-SUMIF(T_IS!$E:$E,'IS(공)'!D13,T_IS!$AD:$AD)</f>
        <v>117308816</v>
      </c>
      <c r="H13" s="1373">
        <f>SUMIF(T_IS!$E:$E,'IS(공)'!D13,T_IS!$X:$X)</f>
        <v>1284694048</v>
      </c>
      <c r="I13" s="1373">
        <v>1167385232</v>
      </c>
      <c r="J13" s="1373">
        <v>356942081</v>
      </c>
      <c r="K13" s="1373">
        <f>SUMIF(T_IS!$E:$E,'IS(공)'!$D13,T_IS!$AH:$AH)</f>
        <v>53324313</v>
      </c>
      <c r="L13" s="1373">
        <f>SUMIF(T_IS!$E:$E,'IS(공)'!$D13,T_IS!$AI:$AI)</f>
        <v>67577330</v>
      </c>
      <c r="M13" s="1373">
        <v>54977696</v>
      </c>
      <c r="N13" s="1374">
        <v>32428201</v>
      </c>
      <c r="O13" s="1374">
        <v>10949449</v>
      </c>
      <c r="P13" s="1374">
        <f>SUMIF(T_IS!$E:$E,'IS(공)'!$D13,T_IS!$AN:$AN)</f>
        <v>199414285</v>
      </c>
      <c r="Q13" s="1375">
        <v>371361570</v>
      </c>
      <c r="S13" s="1367"/>
      <c r="T13" s="1367"/>
      <c r="V13" s="1377" t="s">
        <v>1939</v>
      </c>
      <c r="W13" s="1371">
        <v>22</v>
      </c>
      <c r="X13" s="1379">
        <f>H13-J13</f>
        <v>927751967</v>
      </c>
      <c r="Y13" s="1379">
        <f>H13</f>
        <v>1284694048</v>
      </c>
      <c r="Z13" s="1380">
        <f t="shared" si="6"/>
        <v>22549495</v>
      </c>
      <c r="AA13" s="1381">
        <f t="shared" si="7"/>
        <v>54977696</v>
      </c>
      <c r="AB13" s="1367"/>
      <c r="AC13" s="1367"/>
      <c r="AD13" s="1367"/>
      <c r="AE13" s="1367"/>
    </row>
    <row r="14" spans="4:31" ht="18.95" customHeight="1">
      <c r="D14" s="1867" t="s">
        <v>1667</v>
      </c>
      <c r="E14" s="1853" t="s">
        <v>2782</v>
      </c>
      <c r="F14" s="1371">
        <v>22</v>
      </c>
      <c r="G14" s="1372">
        <f>H14-SUMIF(T_IS!$E:$E,'IS(공)'!D14,T_IS!$AD:$AD)</f>
        <v>-3944</v>
      </c>
      <c r="H14" s="1373">
        <f>SUMIF(T_IS!$E:$E,'IS(공)'!D14,T_IS!$X:$X)</f>
        <v>330658299</v>
      </c>
      <c r="I14" s="1373">
        <v>330662243</v>
      </c>
      <c r="J14" s="1373">
        <v>24630334</v>
      </c>
      <c r="K14" s="1373">
        <f>SUMIF(T_IS!$E:$E,'IS(공)'!$D14,T_IS!$AH:$AH)</f>
        <v>2588810</v>
      </c>
      <c r="L14" s="1373">
        <f>SUMIF(T_IS!$E:$E,'IS(공)'!$D14,T_IS!$AI:$AI)</f>
        <v>1792303289</v>
      </c>
      <c r="M14" s="1373">
        <v>531823675</v>
      </c>
      <c r="N14" s="1374">
        <v>1282503</v>
      </c>
      <c r="O14" s="1374">
        <v>227347</v>
      </c>
      <c r="P14" s="1374">
        <f>SUMIF(T_IS!$E:$E,'IS(공)'!$D14,T_IS!$AN:$AN)</f>
        <v>10494735626</v>
      </c>
      <c r="Q14" s="1375">
        <v>22031806775</v>
      </c>
      <c r="S14" s="1367"/>
      <c r="T14" s="1367"/>
      <c r="V14" s="1377" t="s">
        <v>1940</v>
      </c>
      <c r="W14" s="1371">
        <v>22</v>
      </c>
      <c r="X14" s="1379">
        <f>H14-J14</f>
        <v>306027965</v>
      </c>
      <c r="Y14" s="1379">
        <f>H14</f>
        <v>330658299</v>
      </c>
      <c r="Z14" s="1380">
        <f t="shared" si="6"/>
        <v>530541172</v>
      </c>
      <c r="AA14" s="1381">
        <f t="shared" si="7"/>
        <v>531823675</v>
      </c>
      <c r="AB14" s="1367"/>
      <c r="AC14" s="1367"/>
      <c r="AD14" s="1367"/>
      <c r="AE14" s="1367"/>
    </row>
    <row r="15" spans="4:31" ht="18.95" customHeight="1">
      <c r="D15" s="1869" t="s">
        <v>1783</v>
      </c>
      <c r="E15" s="1853" t="s">
        <v>2783</v>
      </c>
      <c r="F15" s="1371" t="s">
        <v>2853</v>
      </c>
      <c r="G15" s="1372">
        <f>H15-SUMIF(T_IS!$E:$E,'IS(공)'!D15,T_IS!$AD:$AD)</f>
        <v>0</v>
      </c>
      <c r="H15" s="1373">
        <f>SUMIF(T_IS!$E:$E,'IS(공)'!D15,T_IS!$X:$X)</f>
        <v>647140333</v>
      </c>
      <c r="I15" s="1373">
        <v>647140333</v>
      </c>
      <c r="J15" s="1373">
        <v>995349512</v>
      </c>
      <c r="K15" s="1373">
        <f>SUMIF(T_IS!$E:$E,'IS(공)'!$D15,T_IS!$AH:$AH)</f>
        <v>702464</v>
      </c>
      <c r="L15" s="1373">
        <f>SUMIF(T_IS!$E:$E,'IS(공)'!$D15,T_IS!$AI:$AI)</f>
        <v>24157280</v>
      </c>
      <c r="M15" s="1373">
        <v>0</v>
      </c>
      <c r="N15" s="1374">
        <v>0</v>
      </c>
      <c r="O15" s="1374">
        <v>0</v>
      </c>
      <c r="P15" s="1374">
        <f>SUMIF(T_IS!$E:$E,'IS(공)'!$D15,T_IS!$AN:$AN)</f>
        <v>0</v>
      </c>
      <c r="Q15" s="1375">
        <v>-798641919</v>
      </c>
      <c r="S15" s="1367"/>
      <c r="T15" s="1367"/>
      <c r="V15" s="1377" t="s">
        <v>2592</v>
      </c>
      <c r="W15" s="1378" t="s">
        <v>2852</v>
      </c>
      <c r="X15" s="1379">
        <f>H15-J15</f>
        <v>-348209179</v>
      </c>
      <c r="Y15" s="1379">
        <f>H15</f>
        <v>647140333</v>
      </c>
      <c r="Z15" s="1380">
        <f t="shared" si="6"/>
        <v>0</v>
      </c>
      <c r="AA15" s="1381">
        <f t="shared" si="7"/>
        <v>0</v>
      </c>
      <c r="AB15" s="1367"/>
      <c r="AC15" s="1367"/>
      <c r="AD15" s="1367"/>
      <c r="AE15" s="1367"/>
    </row>
    <row r="16" spans="4:31" ht="18.95" customHeight="1">
      <c r="D16" s="1868"/>
      <c r="E16" s="1382" t="s">
        <v>1668</v>
      </c>
      <c r="F16" s="1383"/>
      <c r="G16" s="1385">
        <f t="shared" ref="G16:Q16" si="8">G10+(G11-G12+G13-G14+G15)</f>
        <v>-31677229</v>
      </c>
      <c r="H16" s="1385">
        <f t="shared" si="8"/>
        <v>46012240086</v>
      </c>
      <c r="I16" s="1385">
        <v>46043917315</v>
      </c>
      <c r="J16" s="1385">
        <v>36205034398</v>
      </c>
      <c r="K16" s="1385">
        <f>K10+(K11-K12+K13-K14+K15)</f>
        <v>12563565105</v>
      </c>
      <c r="L16" s="1385">
        <f>L10+(L11-L12+L13-L14+L15)</f>
        <v>-15844876543</v>
      </c>
      <c r="M16" s="1385">
        <v>-658139430</v>
      </c>
      <c r="N16" s="1386">
        <v>-14660494574</v>
      </c>
      <c r="O16" s="1386">
        <v>2292303761</v>
      </c>
      <c r="P16" s="1386">
        <f t="shared" si="8"/>
        <v>-25048195496</v>
      </c>
      <c r="Q16" s="1387">
        <f t="shared" si="8"/>
        <v>-47935284072</v>
      </c>
      <c r="S16" s="1367" t="b">
        <f>H16=(H10+H11-H12+H13-H14+H15)</f>
        <v>1</v>
      </c>
      <c r="T16" s="1367" t="b">
        <f>N16=(N10+N11-N12+N13-N14+N15)</f>
        <v>1</v>
      </c>
      <c r="V16" s="1388" t="s">
        <v>1668</v>
      </c>
      <c r="W16" s="1389"/>
      <c r="X16" s="1390">
        <f>X10+X11+X13+X15-X12-X14</f>
        <v>9807205688</v>
      </c>
      <c r="Y16" s="1390">
        <f>Y10+Y11+Y13+Y15-Y12-Y14</f>
        <v>46012240086</v>
      </c>
      <c r="Z16" s="1392">
        <f>Z10+Z11+Z13+Z15-Z12-Z14</f>
        <v>14002355144</v>
      </c>
      <c r="AA16" s="1393">
        <f>AA10+AA11+AA13+AA15-AA12-AA14</f>
        <v>-658139430</v>
      </c>
      <c r="AB16" s="1395" t="b">
        <f>X16=X10+X11+X13+X15-X12-X14</f>
        <v>1</v>
      </c>
      <c r="AC16" s="1395" t="b">
        <f>Y16=Y10+Y11+Y13+Y15-Y12-Y14</f>
        <v>1</v>
      </c>
      <c r="AD16" s="1395" t="b">
        <f>Z16=Z10+Z11+Z13+Z15-Z12-Z14</f>
        <v>1</v>
      </c>
      <c r="AE16" s="1395" t="b">
        <f>AA16=AA10+AA11+AA13+AA15-AA12-AA14</f>
        <v>1</v>
      </c>
    </row>
    <row r="17" spans="4:31" ht="18.95" customHeight="1">
      <c r="D17" s="1867" t="s">
        <v>380</v>
      </c>
      <c r="E17" s="1853" t="s">
        <v>2784</v>
      </c>
      <c r="F17" s="1371">
        <v>23</v>
      </c>
      <c r="G17" s="1372">
        <f>H17-SUMIF(T_IS!$E:$E,'IS(공)'!D17,T_IS!$AD:$AD)</f>
        <v>-5887</v>
      </c>
      <c r="H17" s="1373">
        <f>SUMIF(T_IS!$E:$E,'IS(공)'!D17,T_IS!$X:$X)</f>
        <v>315249021</v>
      </c>
      <c r="I17" s="1373">
        <v>315254908</v>
      </c>
      <c r="J17" s="1373">
        <v>306217823</v>
      </c>
      <c r="K17" s="1373">
        <f>SUMIF(T_IS!$E:$E,'IS(공)'!$D17,T_IS!$AH:$AH)</f>
        <v>266200741</v>
      </c>
      <c r="L17" s="1373">
        <f>SUMIF(T_IS!$E:$E,'IS(공)'!$D17,T_IS!$AI:$AI)</f>
        <v>258216482</v>
      </c>
      <c r="M17" s="1373">
        <v>464597147</v>
      </c>
      <c r="N17" s="1374">
        <v>241042872</v>
      </c>
      <c r="O17" s="1374">
        <v>116907703</v>
      </c>
      <c r="P17" s="1374">
        <f>SUMIF(T_IS!$E:$E,'IS(공)'!$D17,T_IS!$AN:$AN)</f>
        <v>-1980322895</v>
      </c>
      <c r="Q17" s="1375">
        <v>70238074</v>
      </c>
      <c r="S17" s="1367"/>
      <c r="T17" s="1367"/>
      <c r="V17" s="1377" t="s">
        <v>1941</v>
      </c>
      <c r="W17" s="1371">
        <v>23</v>
      </c>
      <c r="X17" s="1379">
        <f>H17-J17</f>
        <v>9031198</v>
      </c>
      <c r="Y17" s="1379">
        <f>H17</f>
        <v>315249021</v>
      </c>
      <c r="Z17" s="1380">
        <f t="shared" ref="Z17" si="9">M17-N17</f>
        <v>223554275</v>
      </c>
      <c r="AA17" s="1381">
        <f t="shared" ref="AA17" si="10">M17</f>
        <v>464597147</v>
      </c>
      <c r="AB17" s="1367"/>
      <c r="AC17" s="1367"/>
      <c r="AD17" s="1367"/>
      <c r="AE17" s="1367"/>
    </row>
    <row r="18" spans="4:31" ht="18.95" customHeight="1">
      <c r="D18" s="1868"/>
      <c r="E18" s="1382" t="s">
        <v>1784</v>
      </c>
      <c r="F18" s="1383"/>
      <c r="G18" s="1385">
        <f t="shared" ref="G18:Q18" si="11">G16-G17</f>
        <v>-31671342</v>
      </c>
      <c r="H18" s="1385">
        <f t="shared" si="11"/>
        <v>45696991065</v>
      </c>
      <c r="I18" s="1385">
        <v>45728662407</v>
      </c>
      <c r="J18" s="1385">
        <v>35898816575</v>
      </c>
      <c r="K18" s="1385">
        <f>K16-K17</f>
        <v>12297364364</v>
      </c>
      <c r="L18" s="1385">
        <f>L16-L17</f>
        <v>-16103093025</v>
      </c>
      <c r="M18" s="1385">
        <v>-1122736577</v>
      </c>
      <c r="N18" s="1386">
        <v>-14901537446</v>
      </c>
      <c r="O18" s="1386">
        <v>2175396058</v>
      </c>
      <c r="P18" s="1386">
        <f t="shared" si="11"/>
        <v>-23067872601</v>
      </c>
      <c r="Q18" s="1387">
        <f t="shared" si="11"/>
        <v>-48005522146</v>
      </c>
      <c r="S18" s="1367" t="b">
        <f>H18=(H16-H17)</f>
        <v>1</v>
      </c>
      <c r="T18" s="1367" t="b">
        <f>N18=(N16-N17)</f>
        <v>1</v>
      </c>
      <c r="V18" s="1388" t="s">
        <v>2593</v>
      </c>
      <c r="W18" s="1389"/>
      <c r="X18" s="1390">
        <f>X16-X17</f>
        <v>9798174490</v>
      </c>
      <c r="Y18" s="1390">
        <f>Y16-Y17</f>
        <v>45696991065</v>
      </c>
      <c r="Z18" s="1392">
        <f>Z16-Z17</f>
        <v>13778800869</v>
      </c>
      <c r="AA18" s="1393">
        <f>AA16-AA17</f>
        <v>-1122736577</v>
      </c>
      <c r="AB18" s="1367" t="b">
        <f>X18=X16-X17</f>
        <v>1</v>
      </c>
      <c r="AC18" s="1367" t="b">
        <f>Y18=Y16-Y17</f>
        <v>1</v>
      </c>
      <c r="AD18" s="1367" t="b">
        <f>Z18=Z16-Z17</f>
        <v>1</v>
      </c>
      <c r="AE18" s="1367" t="b">
        <f>AA18=AA16-AA17</f>
        <v>1</v>
      </c>
    </row>
    <row r="19" spans="4:31" ht="18.95" customHeight="1">
      <c r="D19" s="1867" t="s">
        <v>11</v>
      </c>
      <c r="E19" s="1853" t="s">
        <v>2785</v>
      </c>
      <c r="F19" s="1371"/>
      <c r="G19" s="1372">
        <f>H19-SUMIF(T_IS!$E:$E,'IS(공)'!D19,T_IS!$AD:$AD)</f>
        <v>-31671342</v>
      </c>
      <c r="H19" s="1373">
        <f>SUMIF(T_IS!$E:$E,'IS(공)'!D19,T_IS!$X:$X)</f>
        <v>45696991065</v>
      </c>
      <c r="I19" s="1373">
        <v>45728662407</v>
      </c>
      <c r="J19" s="1373">
        <v>35898816575</v>
      </c>
      <c r="K19" s="1373">
        <f>SUMIF(T_IS!$E:$E,'IS(공)'!$D19,T_IS!$AH:$AH)</f>
        <v>12297364364</v>
      </c>
      <c r="L19" s="1373">
        <f>SUMIF(T_IS!$E:$E,'IS(공)'!$D19,T_IS!$AI:$AI)</f>
        <v>-16103093025</v>
      </c>
      <c r="M19" s="1373">
        <v>-1122736577</v>
      </c>
      <c r="N19" s="1374">
        <v>-14901537446</v>
      </c>
      <c r="O19" s="1374">
        <v>2175396058</v>
      </c>
      <c r="P19" s="1374">
        <f>SUMIF(T_IS!$E:$E,'IS(공)'!$D19,T_IS!$AN:$AN)</f>
        <v>-23067872601</v>
      </c>
      <c r="Q19" s="1375">
        <v>-48005522146</v>
      </c>
      <c r="S19" s="1367"/>
      <c r="T19" s="1367"/>
      <c r="V19" s="1377" t="s">
        <v>1947</v>
      </c>
      <c r="W19" s="1378"/>
      <c r="X19" s="1379">
        <f>H19-J19</f>
        <v>9798174490</v>
      </c>
      <c r="Y19" s="1379">
        <f>Y18</f>
        <v>45696991065</v>
      </c>
      <c r="Z19" s="1380">
        <f t="shared" ref="Z19:Z20" si="12">M19-N19</f>
        <v>13778800869</v>
      </c>
      <c r="AA19" s="1381">
        <f t="shared" ref="AA19:AA20" si="13">M19</f>
        <v>-1122736577</v>
      </c>
      <c r="AB19" s="1367"/>
      <c r="AC19" s="1367"/>
      <c r="AD19" s="1367"/>
      <c r="AE19" s="1367"/>
    </row>
    <row r="20" spans="4:31" ht="18.95" customHeight="1">
      <c r="D20" s="1867" t="s">
        <v>210</v>
      </c>
      <c r="E20" s="1853" t="s">
        <v>2786</v>
      </c>
      <c r="F20" s="1371"/>
      <c r="G20" s="1372">
        <f>H20-SUMIF(T_IS!$E:$E,'IS(공)'!D20,T_IS!$AD:$AD)</f>
        <v>0</v>
      </c>
      <c r="H20" s="1373">
        <f>SUMIF(T_IS!$E:$E,'IS(공)'!D20,T_IS!$X:$X)</f>
        <v>0</v>
      </c>
      <c r="I20" s="1373">
        <v>0</v>
      </c>
      <c r="J20" s="1373">
        <v>0</v>
      </c>
      <c r="K20" s="1373">
        <f>SUMIF(T_IS!$E:$E,'IS(공)'!$D20,T_IS!$AH:$AH)</f>
        <v>0</v>
      </c>
      <c r="L20" s="1373">
        <f>SUMIF(T_IS!$E:$E,'IS(공)'!$D20,T_IS!$AI:$AI)</f>
        <v>0</v>
      </c>
      <c r="M20" s="1373">
        <v>0</v>
      </c>
      <c r="N20" s="1374">
        <v>0</v>
      </c>
      <c r="O20" s="1374">
        <v>0</v>
      </c>
      <c r="P20" s="1374">
        <f>SUMIF(T_IS!$E:$E,'IS(공)'!$D20,T_IS!$AN:$AN)</f>
        <v>0</v>
      </c>
      <c r="Q20" s="1375">
        <v>0</v>
      </c>
      <c r="S20" s="1367" t="b">
        <f>(H20+H19)=H18</f>
        <v>1</v>
      </c>
      <c r="T20" s="1367" t="b">
        <f>(N20+N19)=N18</f>
        <v>1</v>
      </c>
      <c r="V20" s="1377" t="s">
        <v>1948</v>
      </c>
      <c r="W20" s="1378"/>
      <c r="X20" s="1379">
        <f>H20-J20</f>
        <v>0</v>
      </c>
      <c r="Y20" s="1379">
        <v>0</v>
      </c>
      <c r="Z20" s="1380">
        <f t="shared" si="12"/>
        <v>0</v>
      </c>
      <c r="AA20" s="1381">
        <f t="shared" si="13"/>
        <v>0</v>
      </c>
      <c r="AB20" s="1367"/>
      <c r="AC20" s="1367"/>
      <c r="AD20" s="1367"/>
      <c r="AE20" s="1367"/>
    </row>
    <row r="21" spans="4:31" ht="18.95" customHeight="1">
      <c r="D21" s="1868"/>
      <c r="E21" s="1382" t="s">
        <v>1669</v>
      </c>
      <c r="F21" s="1383"/>
      <c r="G21" s="1384">
        <f>SUM(G23,G25,G26)</f>
        <v>-179759091</v>
      </c>
      <c r="H21" s="1385">
        <f>SUM(H23,H25,H26)</f>
        <v>791270928</v>
      </c>
      <c r="I21" s="1385">
        <v>971030019</v>
      </c>
      <c r="J21" s="1385">
        <v>777270301</v>
      </c>
      <c r="K21" s="1385">
        <f t="shared" ref="K21:Q21" si="14">SUM(K23,K25,K26)</f>
        <v>-178290864</v>
      </c>
      <c r="L21" s="1385">
        <f t="shared" si="14"/>
        <v>-388814390</v>
      </c>
      <c r="M21" s="1385">
        <f t="shared" si="14"/>
        <v>221135226</v>
      </c>
      <c r="N21" s="1386">
        <f t="shared" si="14"/>
        <v>35168363</v>
      </c>
      <c r="O21" s="1386">
        <f t="shared" si="14"/>
        <v>-146088036</v>
      </c>
      <c r="P21" s="1386">
        <f t="shared" si="14"/>
        <v>327971543</v>
      </c>
      <c r="Q21" s="1387">
        <f t="shared" si="14"/>
        <v>34100739</v>
      </c>
      <c r="S21" s="1367" t="b">
        <f>H21=(H23+H25+H26)</f>
        <v>1</v>
      </c>
      <c r="T21" s="1367" t="b">
        <f>N21=(N23+N25)</f>
        <v>1</v>
      </c>
      <c r="V21" s="1388" t="s">
        <v>1942</v>
      </c>
      <c r="W21" s="1389"/>
      <c r="X21" s="1392">
        <f>X23+X25</f>
        <v>9511801</v>
      </c>
      <c r="Y21" s="1392">
        <f>Y23+Y25</f>
        <v>784261681</v>
      </c>
      <c r="Z21" s="1392">
        <f>Z23+Z25</f>
        <v>185966863</v>
      </c>
      <c r="AA21" s="1393">
        <f>AA23+AA25</f>
        <v>221135226</v>
      </c>
      <c r="AB21" s="1367"/>
      <c r="AC21" s="1367"/>
      <c r="AD21" s="1367"/>
      <c r="AE21" s="1367"/>
    </row>
    <row r="22" spans="4:31" ht="18.95" customHeight="1">
      <c r="D22" s="1870"/>
      <c r="E22" s="1854" t="s">
        <v>2793</v>
      </c>
      <c r="F22" s="1398"/>
      <c r="G22" s="1399">
        <f>H22</f>
        <v>0</v>
      </c>
      <c r="H22" s="1400"/>
      <c r="I22" s="1400"/>
      <c r="J22" s="1400"/>
      <c r="K22" s="1400"/>
      <c r="L22" s="1400"/>
      <c r="M22" s="1400"/>
      <c r="N22" s="1401"/>
      <c r="O22" s="1401"/>
      <c r="P22" s="1401"/>
      <c r="Q22" s="1402"/>
      <c r="S22" s="1367"/>
      <c r="T22" s="1367"/>
      <c r="V22" s="1813" t="s">
        <v>2658</v>
      </c>
      <c r="W22" s="1816"/>
      <c r="X22" s="1814"/>
      <c r="Y22" s="1814"/>
      <c r="Z22" s="1814"/>
      <c r="AA22" s="1815"/>
      <c r="AB22" s="1367"/>
      <c r="AC22" s="1367"/>
      <c r="AD22" s="1367"/>
      <c r="AE22" s="1367"/>
    </row>
    <row r="23" spans="4:31" ht="18.95" customHeight="1">
      <c r="D23" s="1867"/>
      <c r="E23" s="1856" t="s">
        <v>2787</v>
      </c>
      <c r="F23" s="1371">
        <v>16</v>
      </c>
      <c r="G23" s="1394">
        <f>T_CE!Y25-T_CE!W25</f>
        <v>0</v>
      </c>
      <c r="H23" s="1373">
        <f>T_CE!Z25</f>
        <v>1212634443</v>
      </c>
      <c r="I23" s="1373">
        <v>1212634443</v>
      </c>
      <c r="J23" s="1373">
        <v>1212634443</v>
      </c>
      <c r="K23" s="1373">
        <v>0</v>
      </c>
      <c r="L23" s="1373">
        <f>T_CE!Q25-T_CE!J25</f>
        <v>-238909275</v>
      </c>
      <c r="M23" s="1373">
        <v>247210962</v>
      </c>
      <c r="N23" s="1374">
        <v>247210962</v>
      </c>
      <c r="O23" s="1374">
        <v>0</v>
      </c>
      <c r="P23" s="1374">
        <f>T_CE!J25-T_CE!I25</f>
        <v>-38586066</v>
      </c>
      <c r="Q23" s="1375">
        <v>-766511518</v>
      </c>
      <c r="S23" s="1367"/>
      <c r="T23" s="1367"/>
      <c r="V23" s="1377" t="s">
        <v>1943</v>
      </c>
      <c r="W23" s="1371">
        <v>16</v>
      </c>
      <c r="X23" s="1379">
        <f>H23-J23</f>
        <v>0</v>
      </c>
      <c r="Y23" s="1379">
        <f>H23</f>
        <v>1212634443</v>
      </c>
      <c r="Z23" s="1380">
        <f t="shared" ref="Z23" si="15">M23-N23</f>
        <v>0</v>
      </c>
      <c r="AA23" s="1381">
        <f t="shared" ref="AA23" si="16">M23</f>
        <v>247210962</v>
      </c>
      <c r="AB23" s="1367"/>
      <c r="AC23" s="1367"/>
      <c r="AD23" s="1367"/>
      <c r="AE23" s="1367"/>
    </row>
    <row r="24" spans="4:31" ht="18.95" customHeight="1">
      <c r="D24" s="1870"/>
      <c r="E24" s="1854" t="s">
        <v>2792</v>
      </c>
      <c r="F24" s="1398"/>
      <c r="G24" s="1399">
        <f>H24</f>
        <v>0</v>
      </c>
      <c r="H24" s="1400"/>
      <c r="I24" s="1400"/>
      <c r="J24" s="1400"/>
      <c r="K24" s="1400"/>
      <c r="L24" s="1400"/>
      <c r="M24" s="1400"/>
      <c r="N24" s="1401"/>
      <c r="O24" s="1401"/>
      <c r="P24" s="1401"/>
      <c r="Q24" s="1402"/>
      <c r="S24" s="1367"/>
      <c r="T24" s="1367"/>
      <c r="V24" s="1813" t="s">
        <v>2659</v>
      </c>
      <c r="W24" s="1816"/>
      <c r="X24" s="1814"/>
      <c r="Y24" s="1814"/>
      <c r="Z24" s="1814"/>
      <c r="AA24" s="1815"/>
    </row>
    <row r="25" spans="4:31" ht="18.95" customHeight="1">
      <c r="D25" s="1867"/>
      <c r="E25" s="1856" t="s">
        <v>2788</v>
      </c>
      <c r="F25" s="1371">
        <v>18</v>
      </c>
      <c r="G25" s="1372">
        <f>T_CE!Y22-T_CE!W22</f>
        <v>-179759091</v>
      </c>
      <c r="H25" s="1373">
        <f>T_CE!$Z$22</f>
        <v>-428372762</v>
      </c>
      <c r="I25" s="1373">
        <v>-248613671</v>
      </c>
      <c r="J25" s="1373">
        <v>-437884563</v>
      </c>
      <c r="K25" s="1373">
        <f>T_CE!T22</f>
        <v>-178290864</v>
      </c>
      <c r="L25" s="1373">
        <f>T_CE!Q22-T_CE!J22</f>
        <v>-149905115</v>
      </c>
      <c r="M25" s="1373">
        <v>-26075736</v>
      </c>
      <c r="N25" s="1374">
        <v>-212042599</v>
      </c>
      <c r="O25" s="1374">
        <v>-146088036</v>
      </c>
      <c r="P25" s="1374">
        <f>T_CE!J22-T_CE!I22</f>
        <v>366557609</v>
      </c>
      <c r="Q25" s="1375">
        <v>800612257</v>
      </c>
      <c r="S25" s="1367"/>
      <c r="T25" s="1367"/>
      <c r="V25" s="1377" t="s">
        <v>2778</v>
      </c>
      <c r="W25" s="1371">
        <v>18</v>
      </c>
      <c r="X25" s="1379">
        <f>H25-J25</f>
        <v>9511801</v>
      </c>
      <c r="Y25" s="1396">
        <f>H25</f>
        <v>-428372762</v>
      </c>
      <c r="Z25" s="1380">
        <f t="shared" ref="Z25" si="17">M25-N25</f>
        <v>185966863</v>
      </c>
      <c r="AA25" s="1381">
        <f t="shared" ref="AA25" si="18">M25</f>
        <v>-26075736</v>
      </c>
      <c r="AB25" s="1367"/>
      <c r="AC25" s="1367"/>
      <c r="AD25" s="1367"/>
      <c r="AE25" s="1367"/>
    </row>
    <row r="26" spans="4:31" ht="18.95" customHeight="1">
      <c r="D26" s="1867"/>
      <c r="E26" s="1856" t="s">
        <v>2812</v>
      </c>
      <c r="F26" s="1371">
        <v>18</v>
      </c>
      <c r="G26" s="1372">
        <f>T_CE!Y20-T_CE!W20</f>
        <v>0</v>
      </c>
      <c r="H26" s="1373">
        <f>+T_CE!$Z$20</f>
        <v>7009247</v>
      </c>
      <c r="I26" s="1373">
        <v>7009247</v>
      </c>
      <c r="J26" s="1373">
        <v>2520421</v>
      </c>
      <c r="K26" s="1373">
        <v>0</v>
      </c>
      <c r="L26" s="1373">
        <v>0</v>
      </c>
      <c r="M26" s="1373">
        <v>0</v>
      </c>
      <c r="N26" s="1374">
        <v>0</v>
      </c>
      <c r="O26" s="1374">
        <v>0</v>
      </c>
      <c r="P26" s="1374">
        <v>0</v>
      </c>
      <c r="Q26" s="1375">
        <v>0</v>
      </c>
      <c r="S26" s="1367"/>
      <c r="T26" s="1367"/>
      <c r="V26" s="1377" t="s">
        <v>2813</v>
      </c>
      <c r="W26" s="1852">
        <v>18</v>
      </c>
      <c r="X26" s="1379">
        <f>H26-J26</f>
        <v>4488826</v>
      </c>
      <c r="Y26" s="1396">
        <f>H26</f>
        <v>7009247</v>
      </c>
      <c r="Z26" s="1379">
        <f t="shared" ref="Z26" si="19">N26-O26</f>
        <v>0</v>
      </c>
      <c r="AA26" s="1381">
        <f t="shared" ref="AA26" si="20">N26</f>
        <v>0</v>
      </c>
      <c r="AB26" s="1367"/>
      <c r="AC26" s="1367"/>
      <c r="AD26" s="1367"/>
      <c r="AE26" s="1367"/>
    </row>
    <row r="27" spans="4:31" ht="18.95" customHeight="1">
      <c r="D27" s="1868"/>
      <c r="E27" s="1382" t="s">
        <v>2440</v>
      </c>
      <c r="F27" s="1383"/>
      <c r="G27" s="1385">
        <f>G18+G21</f>
        <v>-211430433</v>
      </c>
      <c r="H27" s="1385">
        <f>H18+H21</f>
        <v>46488261993</v>
      </c>
      <c r="I27" s="1385">
        <v>46699692426</v>
      </c>
      <c r="J27" s="1385">
        <v>36676086876</v>
      </c>
      <c r="K27" s="1385">
        <f>K18+K21</f>
        <v>12119073500</v>
      </c>
      <c r="L27" s="1385">
        <f>L18+L21</f>
        <v>-16491907415</v>
      </c>
      <c r="M27" s="1385">
        <v>-901601351</v>
      </c>
      <c r="N27" s="1386">
        <v>-14866369083</v>
      </c>
      <c r="O27" s="1386">
        <v>2029308022</v>
      </c>
      <c r="P27" s="1386">
        <f>SUM(P28:P29)</f>
        <v>-22739901058</v>
      </c>
      <c r="Q27" s="1387">
        <f>SUM(Q28:Q29)</f>
        <v>-47971421407</v>
      </c>
      <c r="S27" s="1367" t="b">
        <f>H27=(H18+H21)</f>
        <v>1</v>
      </c>
      <c r="T27" s="1367" t="b">
        <f>N27=(N18+N21)</f>
        <v>1</v>
      </c>
      <c r="V27" s="1388" t="s">
        <v>1670</v>
      </c>
      <c r="W27" s="1389"/>
      <c r="X27" s="1390">
        <f>+X18+X21</f>
        <v>9807686291</v>
      </c>
      <c r="Y27" s="1390">
        <f>Y18+Y21</f>
        <v>46481252746</v>
      </c>
      <c r="Z27" s="1392">
        <f>+Z18+Z21</f>
        <v>13964767732</v>
      </c>
      <c r="AA27" s="1393">
        <f>AA18+AA21</f>
        <v>-901601351</v>
      </c>
      <c r="AB27" s="1367" t="b">
        <f>X27=X18+X21</f>
        <v>1</v>
      </c>
      <c r="AC27" s="1367" t="b">
        <f>Y27=Y18+Y21</f>
        <v>1</v>
      </c>
      <c r="AD27" s="1367" t="b">
        <f>Z27=Z18+Z21</f>
        <v>1</v>
      </c>
      <c r="AE27" s="1367" t="b">
        <f>AA27=AA18+AA21</f>
        <v>1</v>
      </c>
    </row>
    <row r="28" spans="4:31" ht="18.95" customHeight="1">
      <c r="D28" s="1867"/>
      <c r="E28" s="1853" t="s">
        <v>2789</v>
      </c>
      <c r="F28" s="1371"/>
      <c r="G28" s="1372">
        <f>G27</f>
        <v>-211430433</v>
      </c>
      <c r="H28" s="1373">
        <f>H27</f>
        <v>46488261993</v>
      </c>
      <c r="I28" s="1373">
        <v>46699692426</v>
      </c>
      <c r="J28" s="1373">
        <v>36676086876</v>
      </c>
      <c r="K28" s="1373">
        <f>K27</f>
        <v>12119073500</v>
      </c>
      <c r="L28" s="1373">
        <f>L27</f>
        <v>-16491907415</v>
      </c>
      <c r="M28" s="1373">
        <v>-901601351</v>
      </c>
      <c r="N28" s="1374">
        <v>-14866369083</v>
      </c>
      <c r="O28" s="1374">
        <v>2029308022</v>
      </c>
      <c r="P28" s="1374">
        <f>P19+P21</f>
        <v>-22739901058</v>
      </c>
      <c r="Q28" s="1375">
        <f>Q18+Q21</f>
        <v>-47971421407</v>
      </c>
      <c r="S28" s="1367"/>
      <c r="T28" s="1367"/>
      <c r="V28" s="1377" t="s">
        <v>1947</v>
      </c>
      <c r="W28" s="1378"/>
      <c r="X28" s="1379">
        <f>X27</f>
        <v>9807686291</v>
      </c>
      <c r="Y28" s="1379">
        <f>Y27</f>
        <v>46481252746</v>
      </c>
      <c r="Z28" s="1396">
        <f>Z27</f>
        <v>13964767732</v>
      </c>
      <c r="AA28" s="1397">
        <f>AA27</f>
        <v>-901601351</v>
      </c>
      <c r="AB28" s="1367"/>
      <c r="AC28" s="1367"/>
      <c r="AD28" s="1367"/>
      <c r="AE28" s="1367"/>
    </row>
    <row r="29" spans="4:31" ht="18.95" customHeight="1">
      <c r="D29" s="1867"/>
      <c r="E29" s="1853" t="s">
        <v>2786</v>
      </c>
      <c r="F29" s="1371"/>
      <c r="G29" s="1394">
        <v>0</v>
      </c>
      <c r="H29" s="1373">
        <v>0</v>
      </c>
      <c r="I29" s="1373">
        <v>0</v>
      </c>
      <c r="J29" s="1373">
        <v>0</v>
      </c>
      <c r="K29" s="1373">
        <v>0</v>
      </c>
      <c r="L29" s="1373">
        <v>0</v>
      </c>
      <c r="M29" s="1373">
        <v>0</v>
      </c>
      <c r="N29" s="1374">
        <v>0</v>
      </c>
      <c r="O29" s="1374">
        <v>0</v>
      </c>
      <c r="P29" s="1374">
        <v>0</v>
      </c>
      <c r="Q29" s="1375">
        <v>0</v>
      </c>
      <c r="S29" s="1367" t="b">
        <f>(H29+H28)=H27</f>
        <v>1</v>
      </c>
      <c r="T29" s="1367" t="b">
        <f>(N29+N28)=N27</f>
        <v>1</v>
      </c>
      <c r="V29" s="1377" t="s">
        <v>1948</v>
      </c>
      <c r="W29" s="1378"/>
      <c r="X29" s="1379"/>
      <c r="Y29" s="1379"/>
      <c r="Z29" s="1379"/>
      <c r="AA29" s="1381"/>
      <c r="AB29" s="1367"/>
      <c r="AC29" s="1367"/>
      <c r="AD29" s="1367"/>
      <c r="AE29" s="1367"/>
    </row>
    <row r="30" spans="4:31" ht="18.95" customHeight="1">
      <c r="D30" s="1868"/>
      <c r="E30" s="1382" t="s">
        <v>1671</v>
      </c>
      <c r="F30" s="1383"/>
      <c r="G30" s="1403">
        <f>H30</f>
        <v>0</v>
      </c>
      <c r="H30" s="1385"/>
      <c r="I30" s="1385"/>
      <c r="J30" s="1385"/>
      <c r="K30" s="1385"/>
      <c r="L30" s="1385"/>
      <c r="M30" s="1385"/>
      <c r="N30" s="1386"/>
      <c r="O30" s="1386"/>
      <c r="P30" s="1386"/>
      <c r="Q30" s="1387"/>
      <c r="S30" s="1367"/>
      <c r="T30" s="1367"/>
      <c r="V30" s="1388" t="s">
        <v>1944</v>
      </c>
      <c r="W30" s="1389"/>
      <c r="X30" s="1390"/>
      <c r="Y30" s="1390"/>
      <c r="Z30" s="1392"/>
      <c r="AA30" s="1393"/>
      <c r="AB30" s="1367"/>
      <c r="AC30" s="1367"/>
      <c r="AD30" s="1367"/>
      <c r="AE30" s="1367"/>
    </row>
    <row r="31" spans="4:31" ht="18.95" customHeight="1">
      <c r="D31" s="1867"/>
      <c r="E31" s="1853" t="s">
        <v>2790</v>
      </c>
      <c r="F31" s="1371">
        <v>24</v>
      </c>
      <c r="G31" s="1857">
        <f>G18/$G$39</f>
        <v>-0.55701499886201045</v>
      </c>
      <c r="H31" s="1857">
        <f>H18/H39</f>
        <v>803.68900774928568</v>
      </c>
      <c r="I31" s="1857">
        <v>804.24602274814777</v>
      </c>
      <c r="J31" s="1857">
        <v>631.36507678364717</v>
      </c>
      <c r="K31" s="1404">
        <f>K18/K39</f>
        <v>216.27805974306955</v>
      </c>
      <c r="L31" s="1404">
        <f>+L18/L39</f>
        <v>-283.21074436931735</v>
      </c>
      <c r="M31" s="1404">
        <v>-19.745961922295322</v>
      </c>
      <c r="N31" s="1405">
        <v>-262.07856501710273</v>
      </c>
      <c r="O31" s="1405">
        <v>38.259453381271058</v>
      </c>
      <c r="P31" s="1405">
        <f>P18/P39</f>
        <v>-405.70276531367119</v>
      </c>
      <c r="Q31" s="1406">
        <v>-855.67849372420437</v>
      </c>
      <c r="S31" s="1367"/>
      <c r="T31" s="1367"/>
      <c r="V31" s="1377" t="s">
        <v>1945</v>
      </c>
      <c r="W31" s="1371">
        <v>24</v>
      </c>
      <c r="X31" s="1379">
        <f>ROUND(X18/X34,)</f>
        <v>172</v>
      </c>
      <c r="Y31" s="1379">
        <f>ROUND(Y18/Y34,)</f>
        <v>804</v>
      </c>
      <c r="Z31" s="1396">
        <f>ROUND(Z18/Z34,)</f>
        <v>242</v>
      </c>
      <c r="AA31" s="1397">
        <f>ROUND(AA18/AA34,)</f>
        <v>-20</v>
      </c>
      <c r="AB31" s="1367"/>
      <c r="AC31" s="1367"/>
      <c r="AD31" s="1367"/>
      <c r="AE31" s="1367"/>
    </row>
    <row r="32" spans="4:31" ht="18.95" customHeight="1" thickBot="1">
      <c r="D32" s="1871"/>
      <c r="E32" s="1855" t="s">
        <v>2791</v>
      </c>
      <c r="F32" s="1407">
        <v>24</v>
      </c>
      <c r="G32" s="1858">
        <f>(T_IS!X127-T_IS!X85)/(G39+G40)</f>
        <v>57.311978588211467</v>
      </c>
      <c r="H32" s="1858">
        <f>(T_IS!X127-T_IS!X85)/(H39+H40)</f>
        <v>57.311978588211467</v>
      </c>
      <c r="I32" s="1858">
        <v>57.730796602674239</v>
      </c>
      <c r="J32" s="1858">
        <v>38.374533863507317</v>
      </c>
      <c r="K32" s="1408">
        <f>(T_IS!AH127-T_IS!AH85)/(K39+K40)</f>
        <v>39.28306771626773</v>
      </c>
      <c r="L32" s="1408">
        <f>L31</f>
        <v>-283.21074436931735</v>
      </c>
      <c r="M32" s="1408">
        <v>-19.745961922295322</v>
      </c>
      <c r="N32" s="1409">
        <v>-262.07856501710273</v>
      </c>
      <c r="O32" s="1409">
        <v>38.259453381271058</v>
      </c>
      <c r="P32" s="1409">
        <f>P31</f>
        <v>-405.70276531367119</v>
      </c>
      <c r="Q32" s="1410">
        <v>-855.67849372420437</v>
      </c>
      <c r="S32" s="1367"/>
      <c r="T32" s="1367"/>
      <c r="V32" s="1411" t="s">
        <v>1946</v>
      </c>
      <c r="W32" s="1817">
        <v>24</v>
      </c>
      <c r="X32" s="1412">
        <f>(T_IS!X127-T_IS!X85)/(X34+X35)</f>
        <v>57.311978588211467</v>
      </c>
      <c r="Y32" s="1412">
        <f>(T_IS!AH127-T_IS!AH85)/(Y34+Y35)</f>
        <v>37.917381048194258</v>
      </c>
      <c r="Z32" s="1413">
        <f>Z31</f>
        <v>242</v>
      </c>
      <c r="AA32" s="1414">
        <f>AA31</f>
        <v>-20</v>
      </c>
    </row>
    <row r="34" spans="5:27" ht="18.95" customHeight="1">
      <c r="E34" s="1364" t="s">
        <v>1672</v>
      </c>
      <c r="H34" s="1367" t="b">
        <f>H8=T_IS!X36</f>
        <v>1</v>
      </c>
      <c r="I34" s="1367" t="b">
        <f>I8=T_IS!AD36</f>
        <v>1</v>
      </c>
      <c r="J34" s="1367" t="b">
        <f>J8=T_IS!AG36</f>
        <v>1</v>
      </c>
      <c r="K34" s="1367" t="b">
        <f>K8=T_IS!AH36</f>
        <v>1</v>
      </c>
      <c r="L34" s="1367" t="b">
        <f>L8=T_IS!AI36</f>
        <v>1</v>
      </c>
      <c r="M34" s="1367" t="b">
        <f>M8=T_IS!AK36</f>
        <v>1</v>
      </c>
      <c r="N34" s="1367" t="b">
        <f>N8=T_IS!AL36</f>
        <v>1</v>
      </c>
      <c r="O34" s="1367" t="b">
        <f>O8=T_IS!AM36</f>
        <v>1</v>
      </c>
      <c r="P34" s="1367" t="b">
        <f>P8=T_IS!AN36</f>
        <v>1</v>
      </c>
      <c r="Q34" s="1367"/>
      <c r="V34" s="770"/>
      <c r="W34" s="1415" t="s">
        <v>2025</v>
      </c>
      <c r="X34" s="837">
        <v>56859047</v>
      </c>
      <c r="Y34" s="837">
        <v>56859047</v>
      </c>
      <c r="Z34" s="837">
        <v>56859047</v>
      </c>
      <c r="AA34" s="837">
        <v>56859047</v>
      </c>
    </row>
    <row r="35" spans="5:27" ht="18.95" customHeight="1">
      <c r="H35" s="1367" t="b">
        <f>H10=T_IS!X75</f>
        <v>1</v>
      </c>
      <c r="I35" s="1367" t="b">
        <f>I9=T_IS!AD37</f>
        <v>1</v>
      </c>
      <c r="J35" s="1367" t="b">
        <f>J10=T_IS!AG75</f>
        <v>1</v>
      </c>
      <c r="K35" s="1367" t="b">
        <f>K10=T_IS!AH75</f>
        <v>1</v>
      </c>
      <c r="L35" s="1367" t="b">
        <f>L10=T_IS!AI75</f>
        <v>1</v>
      </c>
      <c r="M35" s="1367" t="b">
        <f>M10=T_IS!AK75</f>
        <v>1</v>
      </c>
      <c r="N35" s="1367" t="b">
        <f>N10=T_IS!AL75</f>
        <v>1</v>
      </c>
      <c r="O35" s="1367" t="b">
        <f>O10=T_IS!AM75</f>
        <v>1</v>
      </c>
      <c r="P35" s="1367" t="b">
        <f>P10=T_IS!AN75</f>
        <v>1</v>
      </c>
      <c r="Q35" s="1367"/>
      <c r="V35" s="770"/>
      <c r="W35" s="1416" t="s">
        <v>2581</v>
      </c>
      <c r="X35" s="837">
        <v>18761726</v>
      </c>
      <c r="Y35" s="837">
        <v>18761726</v>
      </c>
      <c r="Z35" s="837"/>
      <c r="AA35" s="837"/>
    </row>
    <row r="36" spans="5:27" ht="18.95" customHeight="1">
      <c r="H36" s="1367" t="b">
        <f>H16=T_IS!X124</f>
        <v>1</v>
      </c>
      <c r="I36" s="1367" t="b">
        <f>I10=T_IS!AD75</f>
        <v>1</v>
      </c>
      <c r="J36" s="1367" t="b">
        <f>J16=T_IS!AG124</f>
        <v>1</v>
      </c>
      <c r="K36" s="1367" t="b">
        <f>K16=T_IS!AH124</f>
        <v>1</v>
      </c>
      <c r="L36" s="1367" t="b">
        <f>L16=T_IS!AI124</f>
        <v>1</v>
      </c>
      <c r="M36" s="1367" t="b">
        <f>M16=T_IS!AK124</f>
        <v>1</v>
      </c>
      <c r="N36" s="1367" t="b">
        <f>N16=T_IS!AL124</f>
        <v>1</v>
      </c>
      <c r="O36" s="1367" t="b">
        <f>O16=T_IS!AM124</f>
        <v>1</v>
      </c>
      <c r="P36" s="1367" t="b">
        <f>P16=T_IS!AN124</f>
        <v>1</v>
      </c>
      <c r="Q36" s="1367"/>
      <c r="V36" s="770"/>
      <c r="W36" s="836"/>
      <c r="X36" s="770"/>
      <c r="Y36" s="770"/>
      <c r="Z36" s="770"/>
      <c r="AA36" s="770"/>
    </row>
    <row r="37" spans="5:27" ht="18.95" customHeight="1">
      <c r="H37" s="1367" t="b">
        <f>H18=T_IS!X127</f>
        <v>1</v>
      </c>
      <c r="I37" s="1367" t="b">
        <f>I11=T_IS!AD76</f>
        <v>1</v>
      </c>
      <c r="J37" s="1367" t="b">
        <f>J18=T_IS!AG127</f>
        <v>1</v>
      </c>
      <c r="K37" s="1367" t="b">
        <f>K18=T_IS!AH127</f>
        <v>1</v>
      </c>
      <c r="L37" s="1367" t="b">
        <f>L18=T_IS!AI127</f>
        <v>1</v>
      </c>
      <c r="M37" s="1367" t="b">
        <f>M18=T_IS!AK127</f>
        <v>1</v>
      </c>
      <c r="N37" s="1367" t="b">
        <f>N18=T_IS!AL127</f>
        <v>1</v>
      </c>
      <c r="O37" s="1367" t="b">
        <f>O18=T_IS!AM127</f>
        <v>1</v>
      </c>
      <c r="P37" s="1367" t="b">
        <f>P18=T_IS!AN127</f>
        <v>1</v>
      </c>
      <c r="Q37" s="1367"/>
      <c r="V37" s="770"/>
      <c r="W37" s="836"/>
      <c r="X37" s="770"/>
      <c r="Y37" s="770"/>
      <c r="Z37" s="770"/>
      <c r="AA37" s="770"/>
    </row>
    <row r="38" spans="5:27" ht="18.95" customHeight="1">
      <c r="H38" s="1367"/>
      <c r="I38" s="1367"/>
      <c r="J38" s="1367"/>
      <c r="K38" s="1367"/>
      <c r="L38" s="1367"/>
      <c r="M38" s="1367"/>
      <c r="N38" s="1367"/>
      <c r="O38" s="1367"/>
      <c r="P38" s="1367"/>
      <c r="Q38" s="1367"/>
      <c r="V38" s="770"/>
      <c r="W38" s="836"/>
      <c r="X38" s="770"/>
      <c r="Y38" s="770"/>
      <c r="Z38" s="770"/>
      <c r="AA38" s="770"/>
    </row>
    <row r="39" spans="5:27" ht="18.95" customHeight="1">
      <c r="F39" s="1415" t="s">
        <v>2025</v>
      </c>
      <c r="G39" s="1859">
        <v>56859047</v>
      </c>
      <c r="H39" s="1859">
        <v>56859047</v>
      </c>
      <c r="I39" s="1859"/>
      <c r="J39" s="1415">
        <v>56859047</v>
      </c>
      <c r="K39" s="1415">
        <v>56859047</v>
      </c>
      <c r="L39" s="1415">
        <v>56859047</v>
      </c>
      <c r="M39" s="1415">
        <v>56859047</v>
      </c>
      <c r="N39" s="1415">
        <v>56859047</v>
      </c>
      <c r="O39" s="1415">
        <v>56859047</v>
      </c>
      <c r="P39" s="1415">
        <v>56859047</v>
      </c>
      <c r="Q39" s="1415">
        <v>56859047</v>
      </c>
      <c r="V39" s="770"/>
      <c r="W39" s="836"/>
      <c r="X39" s="770"/>
      <c r="Y39" s="770"/>
      <c r="Z39" s="770"/>
      <c r="AA39" s="770"/>
    </row>
    <row r="40" spans="5:27" ht="18.95" customHeight="1">
      <c r="F40" s="1416" t="s">
        <v>2581</v>
      </c>
      <c r="G40" s="1079">
        <v>18761726</v>
      </c>
      <c r="H40" s="1079">
        <v>18761726</v>
      </c>
      <c r="I40" s="1079"/>
      <c r="J40" s="1365">
        <v>16132749</v>
      </c>
      <c r="K40" s="1365">
        <v>16132749</v>
      </c>
      <c r="V40" s="770"/>
      <c r="W40" s="836"/>
      <c r="X40" s="770"/>
      <c r="Y40" s="770"/>
      <c r="Z40" s="770"/>
      <c r="AA40" s="770"/>
    </row>
    <row r="41" spans="5:27" ht="18.95" customHeight="1">
      <c r="H41" s="1365"/>
      <c r="I41" s="1365"/>
      <c r="J41" s="1365"/>
      <c r="V41" s="770"/>
      <c r="W41" s="836"/>
      <c r="X41" s="770"/>
      <c r="Y41" s="770"/>
      <c r="Z41" s="770"/>
      <c r="AA41" s="770"/>
    </row>
    <row r="42" spans="5:27" ht="18.95" customHeight="1">
      <c r="V42" s="770"/>
      <c r="W42" s="836"/>
      <c r="X42" s="770"/>
      <c r="Y42" s="770"/>
      <c r="Z42" s="770"/>
      <c r="AA42" s="770"/>
    </row>
    <row r="43" spans="5:27" ht="18.95" customHeight="1">
      <c r="V43" s="770"/>
      <c r="W43" s="836"/>
      <c r="X43" s="770"/>
      <c r="Y43" s="770"/>
      <c r="Z43" s="770"/>
      <c r="AA43" s="770"/>
    </row>
    <row r="44" spans="5:27" ht="18.95" customHeight="1">
      <c r="V44" s="770"/>
      <c r="W44" s="836"/>
      <c r="X44" s="770"/>
      <c r="Y44" s="770"/>
      <c r="Z44" s="770"/>
      <c r="AA44" s="770"/>
    </row>
    <row r="45" spans="5:27" ht="18.95" customHeight="1">
      <c r="V45" s="770"/>
      <c r="W45" s="836"/>
      <c r="X45" s="770"/>
      <c r="Y45" s="770"/>
      <c r="Z45" s="770"/>
      <c r="AA45" s="770"/>
    </row>
    <row r="46" spans="5:27" ht="18.95" customHeight="1">
      <c r="V46" s="770"/>
      <c r="W46" s="836"/>
      <c r="X46" s="770"/>
      <c r="Y46" s="770"/>
      <c r="Z46" s="770"/>
      <c r="AA46" s="770"/>
    </row>
    <row r="47" spans="5:27" ht="18.95" customHeight="1">
      <c r="V47" s="770"/>
      <c r="W47" s="836"/>
      <c r="X47" s="770"/>
      <c r="Y47" s="770"/>
      <c r="Z47" s="770"/>
      <c r="AA47" s="770"/>
    </row>
    <row r="48" spans="5:27" ht="18.95" customHeight="1">
      <c r="V48" s="770"/>
      <c r="W48" s="836"/>
      <c r="X48" s="770"/>
      <c r="Y48" s="770"/>
      <c r="Z48" s="770"/>
      <c r="AA48" s="770"/>
    </row>
    <row r="49" spans="22:27" ht="18.95" customHeight="1">
      <c r="V49" s="770"/>
      <c r="W49" s="836"/>
      <c r="X49" s="770"/>
      <c r="Y49" s="770"/>
      <c r="Z49" s="770"/>
      <c r="AA49" s="770"/>
    </row>
    <row r="50" spans="22:27" ht="18.95" customHeight="1">
      <c r="V50" s="770"/>
      <c r="W50" s="836"/>
      <c r="X50" s="770"/>
      <c r="Y50" s="770"/>
      <c r="Z50" s="770"/>
      <c r="AA50" s="770"/>
    </row>
    <row r="51" spans="22:27" ht="18.95" customHeight="1">
      <c r="V51" s="770"/>
      <c r="W51" s="836"/>
      <c r="X51" s="770"/>
      <c r="Y51" s="770"/>
      <c r="Z51" s="770"/>
      <c r="AA51" s="770"/>
    </row>
    <row r="52" spans="22:27" ht="18.95" customHeight="1">
      <c r="V52" s="770"/>
      <c r="W52" s="836"/>
      <c r="X52" s="770"/>
      <c r="Y52" s="770"/>
      <c r="Z52" s="770"/>
      <c r="AA52" s="770"/>
    </row>
    <row r="53" spans="22:27" ht="18.95" customHeight="1">
      <c r="V53" s="770"/>
      <c r="W53" s="836"/>
      <c r="X53" s="770"/>
      <c r="Y53" s="770"/>
      <c r="Z53" s="770"/>
      <c r="AA53" s="770"/>
    </row>
    <row r="54" spans="22:27" ht="18.95" customHeight="1">
      <c r="V54" s="770"/>
      <c r="W54" s="836"/>
      <c r="X54" s="770"/>
      <c r="Y54" s="770"/>
      <c r="Z54" s="770"/>
      <c r="AA54" s="770"/>
    </row>
    <row r="55" spans="22:27" ht="18.95" customHeight="1">
      <c r="V55" s="770"/>
      <c r="W55" s="836"/>
      <c r="X55" s="770"/>
      <c r="Y55" s="770"/>
      <c r="Z55" s="770"/>
      <c r="AA55" s="770"/>
    </row>
    <row r="56" spans="22:27" ht="18.95" customHeight="1">
      <c r="V56" s="770"/>
      <c r="W56" s="836"/>
      <c r="X56" s="770"/>
      <c r="Y56" s="770"/>
      <c r="Z56" s="770"/>
      <c r="AA56" s="770"/>
    </row>
  </sheetData>
  <mergeCells count="18">
    <mergeCell ref="I4:I5"/>
    <mergeCell ref="D4:D5"/>
    <mergeCell ref="E4:E5"/>
    <mergeCell ref="F4:F5"/>
    <mergeCell ref="V4:V5"/>
    <mergeCell ref="G4:G5"/>
    <mergeCell ref="H4:H5"/>
    <mergeCell ref="P4:P5"/>
    <mergeCell ref="Q4:Q5"/>
    <mergeCell ref="L4:L5"/>
    <mergeCell ref="M4:M5"/>
    <mergeCell ref="N4:N5"/>
    <mergeCell ref="O4:O5"/>
    <mergeCell ref="J4:J5"/>
    <mergeCell ref="X4:Y4"/>
    <mergeCell ref="Z4:AA4"/>
    <mergeCell ref="K4:K5"/>
    <mergeCell ref="W4:W5"/>
  </mergeCells>
  <phoneticPr fontId="21" type="noConversion"/>
  <pageMargins left="0.7" right="0.7" top="0.75" bottom="0.75" header="0.3" footer="0.3"/>
  <pageSetup orientation="portrait" r:id="rId1"/>
  <ignoredErrors>
    <ignoredError sqref="G36 G33:H35 L9 P27:S28 R21 Z8:AA8 V10 AB10:AE10 V21 AB17:AE18 V27:V30 X24:AA24 V23 AB23:AE23 V33:AA33 Z35:AA35 V31:V32 Z32:AA32 V9 X8:Y8 Y11:Y15 V11:V17 Y23 X16:Y16 X22:AE22 V34:V35 X34:AA34 P9:S20 P22:S25 AB25:AE26 AB28:AE34 K9:K25 P30:S36 R29:S29 AB9:AE9 AB11:AE15 X18:Y18 Y17 V19:V20 AB19:AE20 AB21:AE21 Z18:AA18 Z16:AA16 Z21:AA21 Z10:AA10 Z9:AA9 Z11:AA15 Z17:AA17 Z19:AA20 X9:Y9 Y19:Y20 X10:Y10 X21:Y21 X27:AA30 H9 H21 H23 H25 G10:H10 H11 G30:H30 G9 G31:H31 G12:H20 G11 G26:H27 G25 G24:H24 G23 G22:H22 G21 G29:H29 H28" formula="1"/>
    <ignoredError sqref="G28" twoDigitTextYear="1" formula="1"/>
    <ignoredError sqref="F21 F24 F28 F27 F29 F22 F16 F19:F20 F18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2060"/>
  </sheetPr>
  <dimension ref="D3:M30"/>
  <sheetViews>
    <sheetView showGridLines="0" zoomScale="85" zoomScaleNormal="85" workbookViewId="0">
      <selection activeCell="H33" sqref="H33"/>
    </sheetView>
  </sheetViews>
  <sheetFormatPr defaultColWidth="8.75" defaultRowHeight="18" customHeight="1"/>
  <cols>
    <col min="1" max="3" width="2.375" style="498" customWidth="1"/>
    <col min="4" max="4" width="30.625" style="509" customWidth="1"/>
    <col min="5" max="11" width="16.625" style="509" customWidth="1"/>
    <col min="12" max="12" width="10.625" style="509" customWidth="1"/>
    <col min="13" max="16384" width="8.75" style="498"/>
  </cols>
  <sheetData>
    <row r="3" spans="4:12" ht="18" customHeight="1" thickBot="1"/>
    <row r="4" spans="4:12" ht="18" customHeight="1">
      <c r="D4" s="2090" t="s">
        <v>1635</v>
      </c>
      <c r="E4" s="2092" t="s">
        <v>1636</v>
      </c>
      <c r="F4" s="2092"/>
      <c r="G4" s="2092"/>
      <c r="H4" s="2092"/>
      <c r="I4" s="2092"/>
      <c r="J4" s="2092" t="s">
        <v>1637</v>
      </c>
      <c r="K4" s="2094" t="s">
        <v>14</v>
      </c>
    </row>
    <row r="5" spans="4:12" ht="18" customHeight="1">
      <c r="D5" s="2091"/>
      <c r="E5" s="1328" t="s">
        <v>1638</v>
      </c>
      <c r="F5" s="1328" t="s">
        <v>12</v>
      </c>
      <c r="G5" s="1328" t="s">
        <v>194</v>
      </c>
      <c r="H5" s="1328" t="s">
        <v>1639</v>
      </c>
      <c r="I5" s="1328" t="s">
        <v>1640</v>
      </c>
      <c r="J5" s="2093"/>
      <c r="K5" s="2095"/>
    </row>
    <row r="6" spans="4:12" ht="18" customHeight="1">
      <c r="D6" s="1329" t="s">
        <v>2591</v>
      </c>
      <c r="E6" s="1330">
        <v>28429923500</v>
      </c>
      <c r="F6" s="1330">
        <v>178559577856</v>
      </c>
      <c r="G6" s="1331">
        <v>-310683954</v>
      </c>
      <c r="H6" s="1331">
        <v>-110877418434</v>
      </c>
      <c r="I6" s="1332">
        <v>95801398968</v>
      </c>
      <c r="J6" s="1330">
        <v>0</v>
      </c>
      <c r="K6" s="1333">
        <v>95801398968</v>
      </c>
      <c r="L6" s="840" t="b">
        <f>K6=T_CE!J6</f>
        <v>1</v>
      </c>
    </row>
    <row r="7" spans="4:12" ht="18" customHeight="1">
      <c r="D7" s="1334" t="s">
        <v>2795</v>
      </c>
      <c r="E7" s="1335">
        <f>SUM(E8:E10)</f>
        <v>0</v>
      </c>
      <c r="F7" s="1335">
        <f>SUM(F8:F10)</f>
        <v>0</v>
      </c>
      <c r="G7" s="1336">
        <f>SUM(G8:G10)</f>
        <v>-26075736</v>
      </c>
      <c r="H7" s="1336">
        <f>SUM(H8:H10)</f>
        <v>-875525615</v>
      </c>
      <c r="I7" s="1337">
        <f>SUM(I8:I10)</f>
        <v>-901601351</v>
      </c>
      <c r="J7" s="1335" t="s">
        <v>611</v>
      </c>
      <c r="K7" s="1338">
        <f t="shared" ref="K7:K15" si="0">SUM(I7:J7)</f>
        <v>-901601351</v>
      </c>
    </row>
    <row r="8" spans="4:12" ht="18" customHeight="1">
      <c r="D8" s="1872" t="s">
        <v>2796</v>
      </c>
      <c r="E8" s="1339">
        <v>0</v>
      </c>
      <c r="F8" s="1339">
        <v>0</v>
      </c>
      <c r="G8" s="1339">
        <v>0</v>
      </c>
      <c r="H8" s="1340">
        <f>'IS(공)'!M18</f>
        <v>-1122736577</v>
      </c>
      <c r="I8" s="1341">
        <f>SUM(E8:H8)</f>
        <v>-1122736577</v>
      </c>
      <c r="J8" s="1339" t="s">
        <v>611</v>
      </c>
      <c r="K8" s="1342">
        <f t="shared" si="0"/>
        <v>-1122736577</v>
      </c>
      <c r="L8" s="840" t="b">
        <f>H8=T_IS!AK127</f>
        <v>1</v>
      </c>
    </row>
    <row r="9" spans="4:12" ht="18" customHeight="1">
      <c r="D9" s="1872" t="s">
        <v>2787</v>
      </c>
      <c r="E9" s="1339">
        <v>0</v>
      </c>
      <c r="F9" s="1339">
        <v>0</v>
      </c>
      <c r="G9" s="1339">
        <v>0</v>
      </c>
      <c r="H9" s="1339">
        <f>T_CE!O25-T_CE!J25</f>
        <v>247210962</v>
      </c>
      <c r="I9" s="1343">
        <f>SUM(E9:H9)</f>
        <v>247210962</v>
      </c>
      <c r="J9" s="1339" t="s">
        <v>611</v>
      </c>
      <c r="K9" s="1344">
        <f t="shared" si="0"/>
        <v>247210962</v>
      </c>
    </row>
    <row r="10" spans="4:12" ht="18" customHeight="1">
      <c r="D10" s="1872" t="s">
        <v>2797</v>
      </c>
      <c r="E10" s="1339">
        <v>0</v>
      </c>
      <c r="F10" s="1339">
        <v>0</v>
      </c>
      <c r="G10" s="1340">
        <f>'IS(공)'!M25</f>
        <v>-26075736</v>
      </c>
      <c r="H10" s="1339">
        <v>0</v>
      </c>
      <c r="I10" s="1341">
        <f>SUM(E10:H10)</f>
        <v>-26075736</v>
      </c>
      <c r="J10" s="1339" t="s">
        <v>611</v>
      </c>
      <c r="K10" s="1342">
        <f t="shared" si="0"/>
        <v>-26075736</v>
      </c>
    </row>
    <row r="11" spans="4:12" ht="18" customHeight="1">
      <c r="D11" s="1334" t="s">
        <v>2798</v>
      </c>
      <c r="E11" s="1335">
        <f>SUM(E12:E14)</f>
        <v>0</v>
      </c>
      <c r="F11" s="1335">
        <f>SUM(F12:F14)</f>
        <v>118553929</v>
      </c>
      <c r="G11" s="1336">
        <f>SUM(G12:G14)</f>
        <v>149662035</v>
      </c>
      <c r="H11" s="1335">
        <f>SUM(H12:H14)</f>
        <v>0</v>
      </c>
      <c r="I11" s="1337">
        <f>SUM(I12:I14)</f>
        <v>268215964</v>
      </c>
      <c r="J11" s="1335" t="s">
        <v>611</v>
      </c>
      <c r="K11" s="1338">
        <f t="shared" si="0"/>
        <v>268215964</v>
      </c>
    </row>
    <row r="12" spans="4:12" ht="18" customHeight="1">
      <c r="D12" s="1872" t="s">
        <v>2799</v>
      </c>
      <c r="E12" s="1339">
        <v>0</v>
      </c>
      <c r="F12" s="1339">
        <v>0</v>
      </c>
      <c r="G12" s="1339">
        <v>0</v>
      </c>
      <c r="H12" s="1339">
        <v>0</v>
      </c>
      <c r="I12" s="1343">
        <f>SUM(E12:H12)</f>
        <v>0</v>
      </c>
      <c r="J12" s="1339" t="s">
        <v>611</v>
      </c>
      <c r="K12" s="1344">
        <f t="shared" si="0"/>
        <v>0</v>
      </c>
    </row>
    <row r="13" spans="4:12" ht="18" customHeight="1">
      <c r="D13" s="1872" t="s">
        <v>2800</v>
      </c>
      <c r="E13" s="1339">
        <v>0</v>
      </c>
      <c r="F13" s="1339">
        <v>0</v>
      </c>
      <c r="G13" s="1339">
        <v>0</v>
      </c>
      <c r="H13" s="1339">
        <v>0</v>
      </c>
      <c r="I13" s="1343">
        <f>SUM(E13:H13)</f>
        <v>0</v>
      </c>
      <c r="J13" s="1339">
        <v>0</v>
      </c>
      <c r="K13" s="1344">
        <f t="shared" si="0"/>
        <v>0</v>
      </c>
    </row>
    <row r="14" spans="4:12" ht="18" customHeight="1">
      <c r="D14" s="1872" t="s">
        <v>2801</v>
      </c>
      <c r="E14" s="1339" t="s">
        <v>611</v>
      </c>
      <c r="F14" s="1339">
        <f>T_CE!O13-T_CE!J13</f>
        <v>118553929</v>
      </c>
      <c r="G14" s="1339">
        <f>T_CE!O18-T_CE!J18</f>
        <v>149662035</v>
      </c>
      <c r="H14" s="1339" t="s">
        <v>611</v>
      </c>
      <c r="I14" s="1343">
        <f>SUM(E14:H14)</f>
        <v>268215964</v>
      </c>
      <c r="J14" s="1339" t="s">
        <v>611</v>
      </c>
      <c r="K14" s="1344">
        <f t="shared" si="0"/>
        <v>268215964</v>
      </c>
    </row>
    <row r="15" spans="4:12" ht="18" customHeight="1" thickBot="1">
      <c r="D15" s="1345" t="s">
        <v>2842</v>
      </c>
      <c r="E15" s="1346">
        <f>E6+E7+E11</f>
        <v>28429923500</v>
      </c>
      <c r="F15" s="1346">
        <f>F6+F7+F11</f>
        <v>178678131785</v>
      </c>
      <c r="G15" s="1347">
        <f>G6+G7+G11</f>
        <v>-187097655</v>
      </c>
      <c r="H15" s="1347">
        <f>H6+H7+H11</f>
        <v>-111752944049</v>
      </c>
      <c r="I15" s="1348">
        <f>I6+I7+I11</f>
        <v>95168013581</v>
      </c>
      <c r="J15" s="1346">
        <v>0</v>
      </c>
      <c r="K15" s="1349">
        <f t="shared" si="0"/>
        <v>95168013581</v>
      </c>
      <c r="L15" s="840" t="b">
        <f>K15=T_CE!O6</f>
        <v>1</v>
      </c>
    </row>
    <row r="16" spans="4:12" ht="18" customHeight="1">
      <c r="D16" s="1329" t="s">
        <v>2558</v>
      </c>
      <c r="E16" s="1350">
        <f>T_BS!AG230</f>
        <v>28429923500</v>
      </c>
      <c r="F16" s="1350">
        <f>T_BS!AG232</f>
        <v>178743993103</v>
      </c>
      <c r="G16" s="1351">
        <f>T_BS!AG236</f>
        <v>-315281392</v>
      </c>
      <c r="H16" s="1351">
        <f>T_BS!AG246</f>
        <v>-127219420734</v>
      </c>
      <c r="I16" s="1350">
        <f>SUM(E16:H16)</f>
        <v>79639214477</v>
      </c>
      <c r="J16" s="1350">
        <f>J15</f>
        <v>0</v>
      </c>
      <c r="K16" s="1352">
        <f>I16+J16</f>
        <v>79639214477</v>
      </c>
    </row>
    <row r="17" spans="4:13" ht="18" customHeight="1">
      <c r="D17" s="1334" t="s">
        <v>2802</v>
      </c>
      <c r="E17" s="1335">
        <f>SUM(E18:E21)</f>
        <v>0</v>
      </c>
      <c r="F17" s="1335">
        <f>SUM(F18:F21)</f>
        <v>0</v>
      </c>
      <c r="G17" s="1336">
        <f>SUM(G18:G21)</f>
        <v>-421363515</v>
      </c>
      <c r="H17" s="1335">
        <f>SUM(H18:H21)</f>
        <v>46909625508</v>
      </c>
      <c r="I17" s="1335">
        <f>SUM(I18:I21)</f>
        <v>46488261993</v>
      </c>
      <c r="J17" s="1335">
        <f>SUM(J18:J20)</f>
        <v>0</v>
      </c>
      <c r="K17" s="1353">
        <f>SUM(K18:K21)</f>
        <v>46488261993</v>
      </c>
      <c r="L17" s="840" t="b">
        <f>I17='IS(공)'!H27</f>
        <v>1</v>
      </c>
      <c r="M17" s="498">
        <f>I17-'IS(공)'!H27</f>
        <v>0</v>
      </c>
    </row>
    <row r="18" spans="4:13" ht="18" customHeight="1">
      <c r="D18" s="1872" t="s">
        <v>2796</v>
      </c>
      <c r="E18" s="1339" t="s">
        <v>1949</v>
      </c>
      <c r="F18" s="1339" t="s">
        <v>611</v>
      </c>
      <c r="G18" s="1339" t="s">
        <v>611</v>
      </c>
      <c r="H18" s="1339">
        <f>'IS(공)'!H19</f>
        <v>45696991065</v>
      </c>
      <c r="I18" s="1343">
        <f t="shared" ref="I18:I24" si="1">SUM(E18:H18)</f>
        <v>45696991065</v>
      </c>
      <c r="J18" s="1339" t="s">
        <v>611</v>
      </c>
      <c r="K18" s="1344">
        <f t="shared" ref="K18:K24" si="2">SUM(I18:J18)</f>
        <v>45696991065</v>
      </c>
      <c r="L18" s="840" t="b">
        <f>I18=T_IS!X128</f>
        <v>1</v>
      </c>
    </row>
    <row r="19" spans="4:13" ht="18" customHeight="1">
      <c r="D19" s="1872" t="s">
        <v>2803</v>
      </c>
      <c r="E19" s="1339" t="s">
        <v>611</v>
      </c>
      <c r="F19" s="1339" t="s">
        <v>611</v>
      </c>
      <c r="G19" s="1339" t="s">
        <v>611</v>
      </c>
      <c r="H19" s="1339">
        <f>T_CE!Z25</f>
        <v>1212634443</v>
      </c>
      <c r="I19" s="1343">
        <f t="shared" si="1"/>
        <v>1212634443</v>
      </c>
      <c r="J19" s="1339" t="s">
        <v>611</v>
      </c>
      <c r="K19" s="1344">
        <f t="shared" si="2"/>
        <v>1212634443</v>
      </c>
    </row>
    <row r="20" spans="4:13" ht="18" customHeight="1">
      <c r="D20" s="1873" t="s">
        <v>2777</v>
      </c>
      <c r="E20" s="1343"/>
      <c r="F20" s="1339" t="s">
        <v>611</v>
      </c>
      <c r="G20" s="1341">
        <f>T_CE!Z22</f>
        <v>-428372762</v>
      </c>
      <c r="H20" s="1343">
        <v>0</v>
      </c>
      <c r="I20" s="1341">
        <f t="shared" si="1"/>
        <v>-428372762</v>
      </c>
      <c r="J20" s="1339" t="s">
        <v>611</v>
      </c>
      <c r="K20" s="1342">
        <f t="shared" si="2"/>
        <v>-428372762</v>
      </c>
    </row>
    <row r="21" spans="4:13" ht="18" customHeight="1">
      <c r="D21" s="1829" t="s">
        <v>2811</v>
      </c>
      <c r="E21" s="1356">
        <v>0</v>
      </c>
      <c r="F21" s="1356">
        <v>0</v>
      </c>
      <c r="G21" s="1356">
        <f>T_CE!Y20</f>
        <v>7009247</v>
      </c>
      <c r="H21" s="1356">
        <v>0</v>
      </c>
      <c r="I21" s="1356">
        <f>SUM(E21:H21)</f>
        <v>7009247</v>
      </c>
      <c r="J21" s="1356">
        <v>0</v>
      </c>
      <c r="K21" s="1357">
        <f>SUM(I21:J21)</f>
        <v>7009247</v>
      </c>
    </row>
    <row r="22" spans="4:13" ht="18" customHeight="1">
      <c r="D22" s="1334" t="s">
        <v>2804</v>
      </c>
      <c r="E22" s="1354">
        <f>SUM(E23:E25)</f>
        <v>0</v>
      </c>
      <c r="F22" s="1337">
        <f t="shared" ref="F22:K22" si="3">SUM(F23:F25)</f>
        <v>-118602164720</v>
      </c>
      <c r="G22" s="1337">
        <f t="shared" si="3"/>
        <v>-374944831</v>
      </c>
      <c r="H22" s="1354">
        <f t="shared" si="3"/>
        <v>118931789842</v>
      </c>
      <c r="I22" s="1337">
        <f t="shared" si="3"/>
        <v>-45319709</v>
      </c>
      <c r="J22" s="1354">
        <f t="shared" si="3"/>
        <v>0</v>
      </c>
      <c r="K22" s="1338">
        <f t="shared" si="3"/>
        <v>-45319709</v>
      </c>
    </row>
    <row r="23" spans="4:13" ht="18" customHeight="1">
      <c r="D23" s="1872" t="s">
        <v>2805</v>
      </c>
      <c r="E23" s="1343">
        <f>T_CE!Z9</f>
        <v>0</v>
      </c>
      <c r="F23" s="1341">
        <f>T_CE!Z11+T_CE!Z12</f>
        <v>-118931789842</v>
      </c>
      <c r="G23" s="1343">
        <v>0</v>
      </c>
      <c r="H23" s="1355">
        <f>-F23</f>
        <v>118931789842</v>
      </c>
      <c r="I23" s="1343">
        <f t="shared" si="1"/>
        <v>0</v>
      </c>
      <c r="J23" s="1343">
        <v>0</v>
      </c>
      <c r="K23" s="1344">
        <f t="shared" si="2"/>
        <v>0</v>
      </c>
    </row>
    <row r="24" spans="4:13" ht="18" customHeight="1">
      <c r="D24" s="1872" t="s">
        <v>2806</v>
      </c>
      <c r="E24" s="1343">
        <v>0</v>
      </c>
      <c r="F24" s="1343">
        <f>T_CE!Z13</f>
        <v>329625122</v>
      </c>
      <c r="G24" s="1341">
        <f>T_CE!AB18-T_CE!Z13</f>
        <v>-377413808</v>
      </c>
      <c r="H24" s="1343">
        <v>0</v>
      </c>
      <c r="I24" s="1341">
        <f t="shared" si="1"/>
        <v>-47788686</v>
      </c>
      <c r="J24" s="1343">
        <v>0</v>
      </c>
      <c r="K24" s="1342">
        <f t="shared" si="2"/>
        <v>-47788686</v>
      </c>
    </row>
    <row r="25" spans="4:13" ht="18" customHeight="1">
      <c r="D25" s="1872" t="s">
        <v>2882</v>
      </c>
      <c r="E25" s="1339">
        <v>0</v>
      </c>
      <c r="F25" s="1339">
        <v>0</v>
      </c>
      <c r="G25" s="1339">
        <f>T_CE!Z15+T_CE!Z16</f>
        <v>2468977</v>
      </c>
      <c r="H25" s="1339">
        <v>0</v>
      </c>
      <c r="I25" s="1343">
        <f>SUM(E25:H25)</f>
        <v>2468977</v>
      </c>
      <c r="J25" s="1339">
        <v>0</v>
      </c>
      <c r="K25" s="1344">
        <f>SUM(I25:J25)</f>
        <v>2468977</v>
      </c>
      <c r="L25" s="840"/>
    </row>
    <row r="26" spans="4:13" ht="18" customHeight="1" thickBot="1">
      <c r="D26" s="1345" t="s">
        <v>2841</v>
      </c>
      <c r="E26" s="1358">
        <f t="shared" ref="E26:K26" si="4">SUM(E22,E16)+E17</f>
        <v>28429923500</v>
      </c>
      <c r="F26" s="1358">
        <f t="shared" si="4"/>
        <v>60141828383</v>
      </c>
      <c r="G26" s="1359">
        <f t="shared" si="4"/>
        <v>-1111589738</v>
      </c>
      <c r="H26" s="1358">
        <f t="shared" si="4"/>
        <v>38621994616</v>
      </c>
      <c r="I26" s="1358">
        <f t="shared" si="4"/>
        <v>126082156761</v>
      </c>
      <c r="J26" s="1358">
        <f t="shared" si="4"/>
        <v>0</v>
      </c>
      <c r="K26" s="1360">
        <f t="shared" si="4"/>
        <v>126082156761</v>
      </c>
    </row>
    <row r="27" spans="4:13" ht="18" customHeight="1">
      <c r="D27" s="1806" t="s">
        <v>2049</v>
      </c>
      <c r="E27" s="1362">
        <f>T_BS!AG230</f>
        <v>28429923500</v>
      </c>
      <c r="F27" s="1362">
        <f>T_BS!AG232</f>
        <v>178743993103</v>
      </c>
      <c r="G27" s="1363">
        <f>T_BS!AG236</f>
        <v>-315281392</v>
      </c>
      <c r="H27" s="1363">
        <f>T_BS!AG246</f>
        <v>-127219420734</v>
      </c>
      <c r="I27" s="1362">
        <f>SUM(E27:H27)</f>
        <v>79639214477</v>
      </c>
      <c r="J27" s="1362"/>
      <c r="K27" s="1362">
        <f>T_BS!AG229</f>
        <v>79639214477</v>
      </c>
    </row>
    <row r="28" spans="4:13" ht="18" customHeight="1">
      <c r="D28" s="1806" t="s">
        <v>2050</v>
      </c>
      <c r="E28" s="1362">
        <f>T_BS!X230</f>
        <v>28429923500</v>
      </c>
      <c r="F28" s="1362">
        <f>T_BS!X232</f>
        <v>60141828383</v>
      </c>
      <c r="G28" s="1363">
        <f>T_BS!X236</f>
        <v>-1111589738</v>
      </c>
      <c r="H28" s="1362">
        <f>T_BS!X246</f>
        <v>38621994616</v>
      </c>
      <c r="I28" s="1362">
        <f>SUM(E28:H28)</f>
        <v>126082156761</v>
      </c>
      <c r="J28" s="1362"/>
      <c r="K28" s="1362">
        <f>T_BS!X229</f>
        <v>126082156761</v>
      </c>
    </row>
    <row r="29" spans="4:13" s="540" customFormat="1" ht="18" customHeight="1">
      <c r="D29" s="840"/>
      <c r="E29" s="840" t="b">
        <f>E27=E16</f>
        <v>1</v>
      </c>
      <c r="F29" s="840" t="b">
        <f>F27=F16</f>
        <v>1</v>
      </c>
      <c r="G29" s="840" t="b">
        <f>G27=G16</f>
        <v>1</v>
      </c>
      <c r="H29" s="840" t="b">
        <f>H27=H16</f>
        <v>1</v>
      </c>
      <c r="I29" s="840" t="b">
        <f>I27=I16</f>
        <v>1</v>
      </c>
      <c r="J29" s="840"/>
      <c r="K29" s="840" t="b">
        <f>K27=K16</f>
        <v>1</v>
      </c>
      <c r="L29" s="840"/>
    </row>
    <row r="30" spans="4:13" s="540" customFormat="1" ht="18" customHeight="1">
      <c r="D30" s="840"/>
      <c r="E30" s="840" t="b">
        <f>E26=E28</f>
        <v>1</v>
      </c>
      <c r="F30" s="840" t="b">
        <f>F26=F28</f>
        <v>1</v>
      </c>
      <c r="G30" s="840" t="b">
        <f>G26=G28</f>
        <v>1</v>
      </c>
      <c r="H30" s="840" t="b">
        <f>H26=H28</f>
        <v>1</v>
      </c>
      <c r="I30" s="840" t="b">
        <f>I26=I28</f>
        <v>1</v>
      </c>
      <c r="J30" s="840"/>
      <c r="K30" s="840" t="b">
        <f>K26=K28</f>
        <v>1</v>
      </c>
      <c r="L30" s="840"/>
    </row>
  </sheetData>
  <mergeCells count="4">
    <mergeCell ref="D4:D5"/>
    <mergeCell ref="E4:I4"/>
    <mergeCell ref="J4:J5"/>
    <mergeCell ref="K4:K5"/>
  </mergeCells>
  <phoneticPr fontId="21" type="noConversion"/>
  <pageMargins left="0.7" right="0.7" top="0.75" bottom="0.75" header="0.3" footer="0.3"/>
  <pageSetup paperSize="9" orientation="portrait" r:id="rId1"/>
  <ignoredErrors>
    <ignoredError sqref="I11:K11 I14:K14 J12 J27:J30 J16 I15:J15 L27:L30 I19:K20 I17:J17 J18:K18 H26:K26 H23:I23 K23 H24:I24 K24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2060"/>
  </sheetPr>
  <dimension ref="B2:P109"/>
  <sheetViews>
    <sheetView showGridLines="0" zoomScale="85" zoomScaleNormal="85" workbookViewId="0">
      <pane xSplit="4" ySplit="4" topLeftCell="E5" activePane="bottomRight" state="frozen"/>
      <selection activeCell="F26" sqref="F26"/>
      <selection pane="topRight" activeCell="F26" sqref="F26"/>
      <selection pane="bottomLeft" activeCell="F26" sqref="F26"/>
      <selection pane="bottomRight" activeCell="G12" sqref="G12"/>
    </sheetView>
  </sheetViews>
  <sheetFormatPr defaultColWidth="8.75" defaultRowHeight="18" customHeight="1"/>
  <cols>
    <col min="1" max="3" width="2.375" style="509" customWidth="1"/>
    <col min="4" max="5" width="43.625" style="563" bestFit="1" customWidth="1"/>
    <col min="6" max="6" width="17.625" style="509" customWidth="1"/>
    <col min="7" max="10" width="17.625" style="498" customWidth="1"/>
    <col min="11" max="12" width="17.625" style="509" customWidth="1"/>
    <col min="13" max="13" width="2.375" style="509" customWidth="1"/>
    <col min="14" max="14" width="48" style="509" customWidth="1"/>
    <col min="15" max="16" width="17.875" style="509" customWidth="1"/>
    <col min="17" max="19" width="20.375" style="509" customWidth="1"/>
    <col min="20" max="16384" width="8.75" style="509"/>
  </cols>
  <sheetData>
    <row r="2" spans="4:16" ht="17.25" customHeight="1">
      <c r="G2" s="509"/>
      <c r="H2" s="509"/>
      <c r="I2" s="509"/>
      <c r="J2" s="509"/>
    </row>
    <row r="3" spans="4:16" ht="18" customHeight="1" thickBot="1">
      <c r="F3" s="840" t="b">
        <f>F7=T_IS!X127</f>
        <v>0</v>
      </c>
      <c r="G3" s="540" t="b">
        <f>G7=T_IS!AI127</f>
        <v>1</v>
      </c>
      <c r="H3" s="540" t="b">
        <f>H7=T_IS!AK127</f>
        <v>1</v>
      </c>
      <c r="I3" s="540" t="b">
        <f>I7=T_IS!AL127</f>
        <v>1</v>
      </c>
      <c r="J3" s="540" t="b">
        <f>J7=T_IS!AM127</f>
        <v>1</v>
      </c>
      <c r="K3" s="840"/>
    </row>
    <row r="4" spans="4:16" s="562" customFormat="1" ht="18" customHeight="1">
      <c r="D4" s="567" t="s">
        <v>1390</v>
      </c>
      <c r="E4" s="568" t="s">
        <v>17</v>
      </c>
      <c r="F4" s="1295" t="str">
        <f>T_BS!X5</f>
        <v>FY2022.10</v>
      </c>
      <c r="G4" s="568" t="s">
        <v>2363</v>
      </c>
      <c r="H4" s="568" t="s">
        <v>2544</v>
      </c>
      <c r="I4" s="568" t="s">
        <v>2545</v>
      </c>
      <c r="J4" s="568" t="s">
        <v>2546</v>
      </c>
      <c r="K4" s="568" t="s">
        <v>2547</v>
      </c>
      <c r="L4" s="569" t="s">
        <v>2548</v>
      </c>
      <c r="N4" s="1839"/>
      <c r="O4" s="1840" t="s">
        <v>2307</v>
      </c>
      <c r="P4" s="1841" t="s">
        <v>2308</v>
      </c>
    </row>
    <row r="5" spans="4:16" ht="18" customHeight="1">
      <c r="D5" s="1296" t="s">
        <v>1391</v>
      </c>
      <c r="E5" s="1297"/>
      <c r="F5" s="1298">
        <f>SUM(F6,F62:F65)</f>
        <v>11176346398</v>
      </c>
      <c r="G5" s="1298">
        <f>SUM(G6,G62:G65)</f>
        <v>2393118644</v>
      </c>
      <c r="H5" s="1298">
        <f>SUM(H6,H62:H65)</f>
        <v>-115998252</v>
      </c>
      <c r="I5" s="1298">
        <f>SUM(I6,I62:I65)</f>
        <v>13554583220</v>
      </c>
      <c r="J5" s="1298">
        <f>SUM(J6,J62:J64)</f>
        <v>-21320454785</v>
      </c>
      <c r="K5" s="1298">
        <f>SUM(K6,K62:K64)</f>
        <v>15223219402</v>
      </c>
      <c r="L5" s="1299">
        <f>SUM(L6,L62:L64)</f>
        <v>-1387694872</v>
      </c>
      <c r="N5" s="1435" t="s">
        <v>2207</v>
      </c>
      <c r="O5" s="1443">
        <v>411907101</v>
      </c>
      <c r="P5" s="1444">
        <v>-7547679735</v>
      </c>
    </row>
    <row r="6" spans="4:16" s="952" customFormat="1" ht="18" customHeight="1">
      <c r="D6" s="1300" t="s">
        <v>1392</v>
      </c>
      <c r="E6" s="1301"/>
      <c r="F6" s="1302">
        <f t="shared" ref="F6:L6" si="0">SUM(F7,F8,F50)</f>
        <v>10241771173</v>
      </c>
      <c r="G6" s="1302">
        <f t="shared" si="0"/>
        <v>2218295859</v>
      </c>
      <c r="H6" s="1302">
        <f t="shared" si="0"/>
        <v>-199858079</v>
      </c>
      <c r="I6" s="1302">
        <f t="shared" si="0"/>
        <v>13424920358</v>
      </c>
      <c r="J6" s="1302">
        <f t="shared" si="0"/>
        <v>-21261163738</v>
      </c>
      <c r="K6" s="1302">
        <f t="shared" si="0"/>
        <v>14701684571</v>
      </c>
      <c r="L6" s="1303">
        <f t="shared" si="0"/>
        <v>-1920423146</v>
      </c>
      <c r="N6" s="1435" t="s">
        <v>2208</v>
      </c>
      <c r="O6" s="1443">
        <v>-9044916322</v>
      </c>
      <c r="P6" s="1444">
        <v>-23309511582</v>
      </c>
    </row>
    <row r="7" spans="4:16" s="952" customFormat="1" ht="18" customHeight="1">
      <c r="D7" s="1304" t="s">
        <v>2441</v>
      </c>
      <c r="E7" s="1305" t="s">
        <v>382</v>
      </c>
      <c r="F7" s="1306">
        <f>ROUND(SUMIF(CF.1!$F:$F,'CF(공)_1.0'!E7,CF.1!$U:$U),0)</f>
        <v>46029036772</v>
      </c>
      <c r="G7" s="1306">
        <v>-16103093025</v>
      </c>
      <c r="H7" s="1306">
        <v>-1122736577</v>
      </c>
      <c r="I7" s="1306">
        <v>-14901537446</v>
      </c>
      <c r="J7" s="1306">
        <v>2175396058</v>
      </c>
      <c r="K7" s="1306">
        <v>-23067872601</v>
      </c>
      <c r="L7" s="1320">
        <v>-48005522146</v>
      </c>
      <c r="N7" s="1435" t="s">
        <v>2209</v>
      </c>
      <c r="O7" s="1443">
        <v>7384115568</v>
      </c>
      <c r="P7" s="1444">
        <v>22604636019</v>
      </c>
    </row>
    <row r="8" spans="4:16" s="952" customFormat="1" ht="18" customHeight="1">
      <c r="D8" s="1304" t="s">
        <v>1393</v>
      </c>
      <c r="E8" s="1307"/>
      <c r="F8" s="1306">
        <f t="shared" ref="F8:L8" si="1">SUM(F9:F49)</f>
        <v>-38569652940</v>
      </c>
      <c r="G8" s="1306">
        <f t="shared" si="1"/>
        <v>30446241780</v>
      </c>
      <c r="H8" s="1306">
        <f t="shared" si="1"/>
        <v>13217775801</v>
      </c>
      <c r="I8" s="1306">
        <f t="shared" si="1"/>
        <v>21793731530</v>
      </c>
      <c r="J8" s="1306">
        <f t="shared" si="1"/>
        <v>1083911601</v>
      </c>
      <c r="K8" s="1306">
        <f t="shared" si="1"/>
        <v>21446164110</v>
      </c>
      <c r="L8" s="1320">
        <f t="shared" si="1"/>
        <v>46922482424</v>
      </c>
      <c r="N8" s="1435" t="s">
        <v>2210</v>
      </c>
      <c r="O8" s="1443">
        <v>-190300445</v>
      </c>
      <c r="P8" s="1444">
        <v>-176386430</v>
      </c>
    </row>
    <row r="9" spans="4:16" ht="18" customHeight="1">
      <c r="D9" s="1318" t="s">
        <v>2716</v>
      </c>
      <c r="E9" s="1309" t="s">
        <v>380</v>
      </c>
      <c r="F9" s="1313">
        <f>ROUND(SUMIF(CF.1!$F:$F,'CF(공)_1.0'!E9,CF.1!$U:$U),0)</f>
        <v>315254908</v>
      </c>
      <c r="G9" s="1313">
        <v>258216482</v>
      </c>
      <c r="H9" s="1313">
        <v>464597147</v>
      </c>
      <c r="I9" s="1313">
        <v>241042872</v>
      </c>
      <c r="J9" s="1313">
        <v>116907703</v>
      </c>
      <c r="K9" s="1313">
        <v>-1980322895</v>
      </c>
      <c r="L9" s="1887">
        <v>70238074</v>
      </c>
      <c r="N9" s="1435" t="s">
        <v>2211</v>
      </c>
      <c r="O9" s="1443">
        <v>1254048545</v>
      </c>
      <c r="P9" s="1444">
        <v>1090950612</v>
      </c>
    </row>
    <row r="10" spans="4:16" ht="18" customHeight="1">
      <c r="D10" s="1314" t="s">
        <v>2717</v>
      </c>
      <c r="E10" s="1312" t="s">
        <v>262</v>
      </c>
      <c r="F10" s="1313">
        <f>ROUND(SUMIF(CF.1!$F:$F,'CF(공)_1.0'!E10,CF.1!$U:$U),0)</f>
        <v>1438114849</v>
      </c>
      <c r="G10" s="1313">
        <v>1793869353</v>
      </c>
      <c r="H10" s="1313">
        <v>1327209602</v>
      </c>
      <c r="I10" s="1313">
        <v>883413247</v>
      </c>
      <c r="J10" s="1313">
        <v>445699323</v>
      </c>
      <c r="K10" s="1313">
        <v>1681402629</v>
      </c>
      <c r="L10" s="1887">
        <v>1094304358</v>
      </c>
      <c r="N10" s="1435" t="s">
        <v>2212</v>
      </c>
      <c r="O10" s="1443">
        <v>607214925</v>
      </c>
      <c r="P10" s="1444">
        <v>286464264</v>
      </c>
    </row>
    <row r="11" spans="4:16" ht="18" customHeight="1">
      <c r="D11" s="1314" t="s">
        <v>2718</v>
      </c>
      <c r="E11" s="1312" t="s">
        <v>488</v>
      </c>
      <c r="F11" s="1313">
        <f>+CF.1!U11+CF.1!U12</f>
        <v>3181367765</v>
      </c>
      <c r="G11" s="1313">
        <v>3981628346</v>
      </c>
      <c r="H11" s="1313">
        <v>2730694635</v>
      </c>
      <c r="I11" s="1313">
        <v>1787366989</v>
      </c>
      <c r="J11" s="1313">
        <v>916306606</v>
      </c>
      <c r="K11" s="1313">
        <v>3307331285</v>
      </c>
      <c r="L11" s="1887">
        <v>3630891654</v>
      </c>
      <c r="N11" s="1435" t="s">
        <v>2213</v>
      </c>
      <c r="O11" s="1443">
        <v>214584279</v>
      </c>
      <c r="P11" s="1444">
        <v>1849192734</v>
      </c>
    </row>
    <row r="12" spans="4:16" ht="18" customHeight="1">
      <c r="D12" s="1314" t="s">
        <v>2719</v>
      </c>
      <c r="E12" s="1312" t="s">
        <v>386</v>
      </c>
      <c r="F12" s="1313">
        <f>ROUND(SUMIF(CF.1!$F:$F,'CF(공)_1.0'!E12,CF.1!$U:$U),0)</f>
        <v>2714238500</v>
      </c>
      <c r="G12" s="1313">
        <v>3872968423</v>
      </c>
      <c r="H12" s="1313">
        <v>2889770633</v>
      </c>
      <c r="I12" s="1313">
        <v>1935563251</v>
      </c>
      <c r="J12" s="1313">
        <v>1038952376</v>
      </c>
      <c r="K12" s="1313">
        <v>6564079983</v>
      </c>
      <c r="L12" s="1887">
        <v>7923879010</v>
      </c>
      <c r="N12" s="1435" t="s">
        <v>2214</v>
      </c>
      <c r="O12" s="1443">
        <v>2579876493</v>
      </c>
      <c r="P12" s="1444">
        <v>2649938812</v>
      </c>
    </row>
    <row r="13" spans="4:16" ht="18" customHeight="1">
      <c r="D13" s="1314" t="s">
        <v>2720</v>
      </c>
      <c r="E13" s="1312" t="s">
        <v>758</v>
      </c>
      <c r="F13" s="1313">
        <f>ROUND(SUMIF(CF.1!$F:$F,'CF(공)_1.0'!E13,CF.1!$U:$U),0)</f>
        <v>-56133700</v>
      </c>
      <c r="G13" s="1313">
        <v>329722924</v>
      </c>
      <c r="H13" s="1313">
        <v>268215964</v>
      </c>
      <c r="I13" s="1313">
        <v>193291355</v>
      </c>
      <c r="J13" s="1313">
        <v>131581039</v>
      </c>
      <c r="K13" s="1313">
        <v>624260187</v>
      </c>
      <c r="L13" s="1887">
        <v>674683389</v>
      </c>
      <c r="N13" s="1435" t="s">
        <v>2215</v>
      </c>
      <c r="O13" s="1443">
        <v>4974888158</v>
      </c>
      <c r="P13" s="1444">
        <v>5884878451</v>
      </c>
    </row>
    <row r="14" spans="4:16" ht="18" customHeight="1">
      <c r="D14" s="1314" t="s">
        <v>2721</v>
      </c>
      <c r="E14" s="1312" t="s">
        <v>1416</v>
      </c>
      <c r="F14" s="1313">
        <f>ROUND(SUMIF(CF.1!$F:$F,'CF(공)_1.0'!E14,CF.1!$U:$U),0)</f>
        <v>11147782</v>
      </c>
      <c r="G14" s="1313">
        <v>-410162407</v>
      </c>
      <c r="H14" s="1313">
        <v>-222716469</v>
      </c>
      <c r="I14" s="1313">
        <v>-207056800</v>
      </c>
      <c r="J14" s="1313">
        <v>-79674763</v>
      </c>
      <c r="K14" s="1313">
        <v>-28983221</v>
      </c>
      <c r="L14" s="1887">
        <v>370148656</v>
      </c>
      <c r="N14" s="1435" t="s">
        <v>2216</v>
      </c>
      <c r="O14" s="1443">
        <v>-42916716</v>
      </c>
      <c r="P14" s="1444">
        <v>-158210584</v>
      </c>
    </row>
    <row r="15" spans="4:16" ht="18" customHeight="1">
      <c r="D15" s="1314" t="s">
        <v>2722</v>
      </c>
      <c r="E15" s="1312" t="s">
        <v>1768</v>
      </c>
      <c r="F15" s="1313">
        <f>ROUND(SUMIF(CF.1!$F:$F,'CF(공)_1.0'!E15,CF.1!$U:$U),0)</f>
        <v>0</v>
      </c>
      <c r="G15" s="1313">
        <v>1160000222</v>
      </c>
      <c r="H15" s="1313">
        <v>523004174</v>
      </c>
      <c r="I15" s="1313">
        <v>0</v>
      </c>
      <c r="J15" s="1313">
        <v>0</v>
      </c>
      <c r="K15" s="1313">
        <v>4200000000</v>
      </c>
      <c r="L15" s="1887">
        <v>0</v>
      </c>
      <c r="N15" s="1435" t="s">
        <v>2217</v>
      </c>
      <c r="O15" s="1443">
        <v>6083829</v>
      </c>
      <c r="P15" s="1444">
        <v>1193650</v>
      </c>
    </row>
    <row r="16" spans="4:16" ht="18" customHeight="1">
      <c r="D16" s="1314" t="s">
        <v>2723</v>
      </c>
      <c r="E16" s="1312" t="s">
        <v>1414</v>
      </c>
      <c r="F16" s="1313">
        <f>ROUND(SUMIF(CF.1!$F:$F,'CF(공)_1.0'!E16,CF.1!$U:$U),0)</f>
        <v>0</v>
      </c>
      <c r="G16" s="1313">
        <v>0</v>
      </c>
      <c r="H16" s="1313">
        <v>0</v>
      </c>
      <c r="I16" s="1313">
        <v>0</v>
      </c>
      <c r="J16" s="1313">
        <v>0</v>
      </c>
      <c r="K16" s="1313">
        <v>0</v>
      </c>
      <c r="L16" s="1887">
        <v>0</v>
      </c>
      <c r="N16" s="1435" t="s">
        <v>2218</v>
      </c>
      <c r="O16" s="1443">
        <v>125280914</v>
      </c>
      <c r="P16" s="1444">
        <v>460527432</v>
      </c>
    </row>
    <row r="17" spans="4:16" ht="18" customHeight="1">
      <c r="D17" s="1314" t="s">
        <v>2540</v>
      </c>
      <c r="E17" s="1312" t="s">
        <v>2541</v>
      </c>
      <c r="F17" s="1313">
        <f>ROUND(SUMIF(CF.1!$F:$F,'CF(공)_1.0'!E17,CF.1!$U:$U),0)</f>
        <v>70302627</v>
      </c>
      <c r="G17" s="1313">
        <v>1759198</v>
      </c>
      <c r="H17" s="1313">
        <v>-39836013</v>
      </c>
      <c r="I17" s="1313">
        <v>-39836013</v>
      </c>
      <c r="J17" s="1313">
        <v>0</v>
      </c>
      <c r="K17" s="1313">
        <v>-41664330</v>
      </c>
      <c r="L17" s="1887">
        <v>-126485643</v>
      </c>
      <c r="N17" s="1435" t="s">
        <v>2219</v>
      </c>
      <c r="O17" s="1443">
        <v>145026303</v>
      </c>
      <c r="P17" s="1444">
        <v>138454977</v>
      </c>
    </row>
    <row r="18" spans="4:16" ht="18" customHeight="1">
      <c r="D18" s="1314" t="s">
        <v>2724</v>
      </c>
      <c r="E18" s="1312" t="s">
        <v>1417</v>
      </c>
      <c r="F18" s="1313">
        <f>ROUND(SUMIF(CF.1!$F:$F,'CF(공)_1.0'!E18,CF.1!$U:$U),0)</f>
        <v>7476589</v>
      </c>
      <c r="G18" s="1313">
        <v>9882603</v>
      </c>
      <c r="H18" s="1313">
        <v>6700540</v>
      </c>
      <c r="I18" s="1313">
        <v>4426025</v>
      </c>
      <c r="J18" s="1313">
        <v>726466</v>
      </c>
      <c r="K18" s="1313">
        <v>15816486</v>
      </c>
      <c r="L18" s="1887">
        <v>3259565</v>
      </c>
      <c r="N18" s="1435" t="s">
        <v>2220</v>
      </c>
      <c r="O18" s="1443">
        <v>1000</v>
      </c>
      <c r="P18" s="1444">
        <v>25430480</v>
      </c>
    </row>
    <row r="19" spans="4:16" ht="18" customHeight="1">
      <c r="D19" s="1314" t="s">
        <v>2725</v>
      </c>
      <c r="E19" s="1312" t="s">
        <v>2055</v>
      </c>
      <c r="F19" s="1313">
        <f>ROUND(SUMIF(CF.1!$F:$F,'CF(공)_1.0'!E19,CF.1!$U:$U),0)</f>
        <v>-24366597</v>
      </c>
      <c r="G19" s="1313">
        <v>-4608270224</v>
      </c>
      <c r="H19" s="1313">
        <v>-3210841402</v>
      </c>
      <c r="I19" s="1313">
        <v>-575849774</v>
      </c>
      <c r="J19" s="1313">
        <v>-318497577</v>
      </c>
      <c r="K19" s="1313">
        <v>-2123496016</v>
      </c>
      <c r="L19" s="1887">
        <v>11063844077</v>
      </c>
      <c r="N19" s="1435" t="s">
        <v>2221</v>
      </c>
      <c r="O19" s="1443">
        <v>-2620696099</v>
      </c>
      <c r="P19" s="1444">
        <v>10641367768</v>
      </c>
    </row>
    <row r="20" spans="4:16" ht="18" customHeight="1">
      <c r="D20" s="1314" t="s">
        <v>1951</v>
      </c>
      <c r="E20" s="1312" t="s">
        <v>1951</v>
      </c>
      <c r="F20" s="1313">
        <f>ROUND(SUMIF(CF.1!$F:$F,'CF(공)_1.0'!E20,CF.1!$U:$U),0)</f>
        <v>418674455</v>
      </c>
      <c r="G20" s="1313">
        <v>2804774839</v>
      </c>
      <c r="H20" s="1313">
        <v>2774531952</v>
      </c>
      <c r="I20" s="1313">
        <v>101477550</v>
      </c>
      <c r="J20" s="1313">
        <v>101671692</v>
      </c>
      <c r="K20" s="1313">
        <v>1012691176</v>
      </c>
      <c r="L20" s="1887"/>
      <c r="N20" s="1435" t="s">
        <v>2309</v>
      </c>
      <c r="O20" s="1443">
        <v>997450462</v>
      </c>
      <c r="P20" s="1438"/>
    </row>
    <row r="21" spans="4:16" ht="18" customHeight="1">
      <c r="D21" s="1314" t="s">
        <v>2726</v>
      </c>
      <c r="E21" s="1312" t="s">
        <v>681</v>
      </c>
      <c r="F21" s="1313">
        <f>ROUND(SUMIF(CF.1!$F:$F,'CF(공)_1.0'!E21,CF.1!$U:$U),0)</f>
        <v>195958275</v>
      </c>
      <c r="G21" s="1313">
        <v>300912198</v>
      </c>
      <c r="H21" s="1313">
        <v>230445961</v>
      </c>
      <c r="I21" s="1313">
        <v>155924169</v>
      </c>
      <c r="J21" s="1313">
        <v>83985271</v>
      </c>
      <c r="K21" s="1313">
        <v>172075657</v>
      </c>
      <c r="L21" s="1887">
        <v>533101318</v>
      </c>
      <c r="N21" s="1435" t="s">
        <v>2222</v>
      </c>
      <c r="O21" s="1437"/>
      <c r="P21" s="1444">
        <v>127467924</v>
      </c>
    </row>
    <row r="22" spans="4:16" ht="18" customHeight="1">
      <c r="D22" s="1314" t="s">
        <v>2727</v>
      </c>
      <c r="E22" s="1312" t="s">
        <v>683</v>
      </c>
      <c r="F22" s="1313">
        <f>ROUND(SUMIF(CF.1!$F:$F,'CF(공)_1.0'!E22,CF.1!$U:$U),0)</f>
        <v>103356804</v>
      </c>
      <c r="G22" s="1313">
        <v>59793028</v>
      </c>
      <c r="H22" s="1313">
        <v>5163970</v>
      </c>
      <c r="I22" s="1313">
        <v>70474098</v>
      </c>
      <c r="J22" s="1313">
        <v>68396826</v>
      </c>
      <c r="K22" s="1313">
        <v>2170624184</v>
      </c>
      <c r="L22" s="1887">
        <v>409104361</v>
      </c>
      <c r="N22" s="1435" t="s">
        <v>2223</v>
      </c>
      <c r="O22" s="1437"/>
      <c r="P22" s="1444">
        <v>928751274</v>
      </c>
    </row>
    <row r="23" spans="4:16" ht="18" customHeight="1">
      <c r="D23" s="1314" t="s">
        <v>2728</v>
      </c>
      <c r="E23" s="1312" t="s">
        <v>732</v>
      </c>
      <c r="F23" s="1313">
        <f>ROUND(SUMIF(CF.1!$F:$F,'CF(공)_1.0'!E23,CF.1!$U:$U),0)</f>
        <v>62881122</v>
      </c>
      <c r="G23" s="1313">
        <v>0</v>
      </c>
      <c r="H23" s="1313">
        <v>0</v>
      </c>
      <c r="I23" s="1313">
        <v>0</v>
      </c>
      <c r="J23" s="1313">
        <v>0</v>
      </c>
      <c r="K23" s="1313">
        <v>0</v>
      </c>
      <c r="L23" s="1887">
        <v>127467924</v>
      </c>
      <c r="N23" s="1435" t="s">
        <v>2310</v>
      </c>
      <c r="O23" s="1443">
        <v>1000</v>
      </c>
      <c r="P23" s="1444">
        <v>15979275</v>
      </c>
    </row>
    <row r="24" spans="4:16" ht="18" customHeight="1">
      <c r="D24" s="1314" t="s">
        <v>2729</v>
      </c>
      <c r="E24" s="1312" t="s">
        <v>734</v>
      </c>
      <c r="F24" s="1313">
        <f>ROUND(SUMIF(CF.1!$F:$F,'CF(공)_1.0'!E24,CF.1!$U:$U),0)</f>
        <v>216671</v>
      </c>
      <c r="G24" s="1313">
        <v>8217770</v>
      </c>
      <c r="H24" s="1313">
        <v>6081752</v>
      </c>
      <c r="I24" s="1313">
        <v>0</v>
      </c>
      <c r="J24" s="1313">
        <v>0</v>
      </c>
      <c r="K24" s="1313">
        <v>598158</v>
      </c>
      <c r="L24" s="1887">
        <v>15979275</v>
      </c>
      <c r="N24" s="1435" t="s">
        <v>2224</v>
      </c>
      <c r="O24" s="1443">
        <v>-499863792</v>
      </c>
      <c r="P24" s="1444">
        <v>-1096334591</v>
      </c>
    </row>
    <row r="25" spans="4:16" ht="18" customHeight="1">
      <c r="D25" s="1314" t="s">
        <v>2730</v>
      </c>
      <c r="E25" s="1312" t="s">
        <v>686</v>
      </c>
      <c r="F25" s="1313">
        <f>ROUND(SUMIF(CF.1!$F:$F,'CF(공)_1.0'!E25,CF.1!$U:$U),0)</f>
        <v>242686686</v>
      </c>
      <c r="G25" s="1313">
        <v>585423259</v>
      </c>
      <c r="H25" s="1313">
        <v>0</v>
      </c>
      <c r="I25" s="1313">
        <v>0</v>
      </c>
      <c r="J25" s="1313">
        <v>0</v>
      </c>
      <c r="K25" s="1313">
        <v>5548640215</v>
      </c>
      <c r="L25" s="1887">
        <v>21824681843</v>
      </c>
      <c r="N25" s="1435" t="s">
        <v>2225</v>
      </c>
      <c r="O25" s="1443">
        <v>-144533089</v>
      </c>
      <c r="P25" s="1444">
        <v>-841087613</v>
      </c>
    </row>
    <row r="26" spans="4:16" ht="18" customHeight="1">
      <c r="D26" s="1318" t="s">
        <v>2731</v>
      </c>
      <c r="E26" s="1309" t="s">
        <v>687</v>
      </c>
      <c r="F26" s="1313">
        <f>ROUND(SUMIF(CF.1!$F:$F,'CF(공)_1.0'!E26,CF.1!$U:$U),0)</f>
        <v>0</v>
      </c>
      <c r="G26" s="1313">
        <v>0</v>
      </c>
      <c r="H26" s="1313">
        <v>0</v>
      </c>
      <c r="I26" s="1313">
        <v>0</v>
      </c>
      <c r="J26" s="1313">
        <v>0</v>
      </c>
      <c r="K26" s="1313">
        <v>1000</v>
      </c>
      <c r="L26" s="1887">
        <v>25430480</v>
      </c>
      <c r="N26" s="1435" t="s">
        <v>2226</v>
      </c>
      <c r="O26" s="1437"/>
      <c r="P26" s="1444">
        <v>-22362745</v>
      </c>
    </row>
    <row r="27" spans="4:16" ht="18" customHeight="1">
      <c r="D27" s="1318" t="s">
        <v>2732</v>
      </c>
      <c r="E27" s="1309" t="s">
        <v>481</v>
      </c>
      <c r="F27" s="1313">
        <f>ROUND(SUMIF(CF.1!$F:$F,'CF(공)_1.0'!E27,CF.1!$U:$U),0)</f>
        <v>0</v>
      </c>
      <c r="G27" s="1313">
        <v>0</v>
      </c>
      <c r="H27" s="1313">
        <v>0</v>
      </c>
      <c r="I27" s="1313">
        <v>0</v>
      </c>
      <c r="J27" s="1313">
        <v>0</v>
      </c>
      <c r="K27" s="1313">
        <v>0</v>
      </c>
      <c r="L27" s="1887">
        <v>0</v>
      </c>
      <c r="N27" s="1435" t="s">
        <v>2227</v>
      </c>
      <c r="O27" s="1437"/>
      <c r="P27" s="1444">
        <v>-221590</v>
      </c>
    </row>
    <row r="28" spans="4:16" ht="18" customHeight="1">
      <c r="D28" s="1318" t="s">
        <v>2733</v>
      </c>
      <c r="E28" s="1309" t="s">
        <v>377</v>
      </c>
      <c r="F28" s="1313">
        <f>ROUND(SUMIF(CF.1!$F:$F,'CF(공)_1.0'!E28,CF.1!$U:$U),0)</f>
        <v>0</v>
      </c>
      <c r="G28" s="1313">
        <v>0</v>
      </c>
      <c r="H28" s="1313">
        <v>0</v>
      </c>
      <c r="I28" s="1313">
        <v>0</v>
      </c>
      <c r="J28" s="1313">
        <v>0</v>
      </c>
      <c r="K28" s="1313">
        <v>0</v>
      </c>
      <c r="L28" s="1887">
        <v>0</v>
      </c>
      <c r="N28" s="1435" t="s">
        <v>2311</v>
      </c>
      <c r="O28" s="1443">
        <v>-22030199</v>
      </c>
      <c r="P28" s="1438"/>
    </row>
    <row r="29" spans="4:16" ht="18" customHeight="1">
      <c r="D29" s="1318" t="s">
        <v>2734</v>
      </c>
      <c r="E29" s="1309" t="s">
        <v>1952</v>
      </c>
      <c r="F29" s="1313">
        <f>ROUND(SUMIF(CF.1!$F:$F,'CF(공)_1.0'!E29,CF.1!$U:$U),0)</f>
        <v>0</v>
      </c>
      <c r="G29" s="1313">
        <v>773433</v>
      </c>
      <c r="H29" s="1313">
        <v>773433</v>
      </c>
      <c r="I29" s="1313">
        <v>0</v>
      </c>
      <c r="J29" s="1313">
        <v>0</v>
      </c>
      <c r="K29" s="1313">
        <v>0</v>
      </c>
      <c r="L29" s="1887"/>
      <c r="N29" s="1435" t="s">
        <v>2312</v>
      </c>
      <c r="O29" s="1437"/>
      <c r="P29" s="1444">
        <v>798641919</v>
      </c>
    </row>
    <row r="30" spans="4:16" ht="18" customHeight="1">
      <c r="D30" s="1318" t="s">
        <v>2735</v>
      </c>
      <c r="E30" s="1309" t="s">
        <v>1420</v>
      </c>
      <c r="F30" s="1313">
        <f>ROUND(SUMIF(CF.1!$F:$F,'CF(공)_1.0'!E30,CF.1!$U:$U),0)</f>
        <v>2394018200</v>
      </c>
      <c r="G30" s="1313">
        <v>0</v>
      </c>
      <c r="H30" s="1313">
        <v>0</v>
      </c>
      <c r="I30" s="1313">
        <v>0</v>
      </c>
      <c r="J30" s="1313">
        <v>0</v>
      </c>
      <c r="K30" s="1313">
        <v>996359683</v>
      </c>
      <c r="L30" s="1887">
        <v>0</v>
      </c>
      <c r="N30" s="1435" t="s">
        <v>2228</v>
      </c>
      <c r="O30" s="1443">
        <v>1629987820</v>
      </c>
      <c r="P30" s="1444">
        <v>-7105255631</v>
      </c>
    </row>
    <row r="31" spans="4:16" ht="18" customHeight="1">
      <c r="D31" s="1318" t="s">
        <v>2736</v>
      </c>
      <c r="E31" s="1315" t="s">
        <v>2201</v>
      </c>
      <c r="F31" s="1313">
        <f>ROUND(SUMIF(CF.1!$F:$F,'CF(공)_1.0'!E31,CF.1!$U:$U),0)</f>
        <v>0</v>
      </c>
      <c r="G31" s="1313">
        <v>23145377285</v>
      </c>
      <c r="H31" s="1313">
        <v>7995295060</v>
      </c>
      <c r="I31" s="1313">
        <v>18600112968</v>
      </c>
      <c r="J31" s="1313">
        <v>0</v>
      </c>
      <c r="K31" s="1313">
        <v>0</v>
      </c>
      <c r="L31" s="1887"/>
      <c r="N31" s="1435" t="s">
        <v>2229</v>
      </c>
      <c r="O31" s="1443">
        <v>3120271903</v>
      </c>
      <c r="P31" s="1444">
        <v>-8078032099</v>
      </c>
    </row>
    <row r="32" spans="4:16" ht="18" customHeight="1">
      <c r="D32" s="1318" t="s">
        <v>2737</v>
      </c>
      <c r="E32" s="1309" t="s">
        <v>1730</v>
      </c>
      <c r="F32" s="1313">
        <f>ROUND(SUMIF(CF.1!$F:$F,'CF(공)_1.0'!E32,CF.1!$U:$U),0)</f>
        <v>0</v>
      </c>
      <c r="G32" s="1313">
        <v>0</v>
      </c>
      <c r="H32" s="1313">
        <v>0</v>
      </c>
      <c r="I32" s="1313">
        <v>0</v>
      </c>
      <c r="J32" s="1313">
        <v>0</v>
      </c>
      <c r="K32" s="1313">
        <v>0</v>
      </c>
      <c r="L32" s="1887">
        <v>0</v>
      </c>
      <c r="N32" s="1435" t="s">
        <v>2230</v>
      </c>
      <c r="O32" s="1443">
        <v>-10694192465</v>
      </c>
      <c r="P32" s="1444">
        <v>2235438664</v>
      </c>
    </row>
    <row r="33" spans="4:16" ht="18" customHeight="1">
      <c r="D33" s="1318" t="s">
        <v>2738</v>
      </c>
      <c r="E33" s="1309" t="s">
        <v>1731</v>
      </c>
      <c r="F33" s="1313">
        <f>ROUND(SUMIF(CF.1!$F:$F,'CF(공)_1.0'!E33,CF.1!$U:$U),0)</f>
        <v>0</v>
      </c>
      <c r="G33" s="1313">
        <v>0</v>
      </c>
      <c r="H33" s="1313">
        <v>0</v>
      </c>
      <c r="I33" s="1313">
        <v>0</v>
      </c>
      <c r="J33" s="1313">
        <v>0</v>
      </c>
      <c r="K33" s="1313">
        <v>0</v>
      </c>
      <c r="L33" s="1887">
        <v>798641919</v>
      </c>
      <c r="N33" s="1435" t="s">
        <v>2231</v>
      </c>
      <c r="O33" s="1443">
        <v>-2700396485</v>
      </c>
      <c r="P33" s="1444">
        <v>-2124404261</v>
      </c>
    </row>
    <row r="34" spans="4:16" ht="18" customHeight="1">
      <c r="D34" s="1318" t="s">
        <v>2714</v>
      </c>
      <c r="E34" s="1315" t="s">
        <v>2715</v>
      </c>
      <c r="F34" s="1313">
        <f>ROUND(SUMIF(CF.1!$F:$F,'CF(공)_1.0'!E34,CF.1!$U:$U),0)</f>
        <v>766553853</v>
      </c>
      <c r="G34" s="1313"/>
      <c r="H34" s="1313"/>
      <c r="I34" s="1313"/>
      <c r="J34" s="1313"/>
      <c r="K34" s="1313"/>
      <c r="L34" s="1887"/>
      <c r="N34" s="1435" t="s">
        <v>2232</v>
      </c>
      <c r="O34" s="1443">
        <v>-55315563</v>
      </c>
      <c r="P34" s="1444">
        <v>-129134011</v>
      </c>
    </row>
    <row r="35" spans="4:16" ht="18" customHeight="1">
      <c r="D35" s="1318" t="s">
        <v>2549</v>
      </c>
      <c r="E35" s="1309" t="s">
        <v>2550</v>
      </c>
      <c r="F35" s="1313">
        <f>ROUND(SUMIF(CF.1!$F:$F,'CF(공)_1.0'!E35,CF.1!$U:$U),0)</f>
        <v>42135654</v>
      </c>
      <c r="G35" s="1313">
        <v>0</v>
      </c>
      <c r="H35" s="1313">
        <v>0</v>
      </c>
      <c r="I35" s="1313">
        <v>0</v>
      </c>
      <c r="J35" s="1313">
        <v>0</v>
      </c>
      <c r="K35" s="1313">
        <v>0</v>
      </c>
      <c r="L35" s="1887">
        <v>0</v>
      </c>
      <c r="N35" s="1435" t="s">
        <v>2233</v>
      </c>
      <c r="O35" s="1443">
        <v>1862686766</v>
      </c>
      <c r="P35" s="1444">
        <v>-2725450424</v>
      </c>
    </row>
    <row r="36" spans="4:16" ht="18" customHeight="1">
      <c r="D36" s="1318" t="s">
        <v>844</v>
      </c>
      <c r="E36" s="1309" t="s">
        <v>844</v>
      </c>
      <c r="F36" s="1313">
        <f>ROUND(SUMIF(CF.1!$F:$F,'CF(공)_1.0'!E36,CF.1!$U:$U),0)</f>
        <v>-816498671</v>
      </c>
      <c r="G36" s="1313">
        <v>0</v>
      </c>
      <c r="H36" s="1313">
        <v>0</v>
      </c>
      <c r="I36" s="1313">
        <v>0</v>
      </c>
      <c r="J36" s="1313">
        <v>0</v>
      </c>
      <c r="K36" s="1313">
        <v>0</v>
      </c>
      <c r="L36" s="1887">
        <v>0</v>
      </c>
      <c r="N36" s="1435" t="s">
        <v>2234</v>
      </c>
      <c r="O36" s="1443">
        <v>3721883583</v>
      </c>
      <c r="P36" s="1444">
        <v>9423078602</v>
      </c>
    </row>
    <row r="37" spans="4:16" ht="18" customHeight="1">
      <c r="D37" s="1318" t="s">
        <v>870</v>
      </c>
      <c r="E37" s="1309" t="s">
        <v>870</v>
      </c>
      <c r="F37" s="1313">
        <f>ROUND(SUMIF(CF.1!$F:$F,'CF(공)_1.0'!E37,CF.1!$U:$U),0)</f>
        <v>0</v>
      </c>
      <c r="G37" s="1313">
        <v>0</v>
      </c>
      <c r="H37" s="1313">
        <v>0</v>
      </c>
      <c r="I37" s="1313">
        <v>0</v>
      </c>
      <c r="J37" s="1313">
        <v>0</v>
      </c>
      <c r="K37" s="1313">
        <v>0</v>
      </c>
      <c r="L37" s="1887">
        <v>0</v>
      </c>
      <c r="N37" s="1435" t="s">
        <v>2235</v>
      </c>
      <c r="O37" s="1443">
        <v>9149539863</v>
      </c>
      <c r="P37" s="1444">
        <v>544138914</v>
      </c>
    </row>
    <row r="38" spans="4:16" ht="18" customHeight="1">
      <c r="D38" s="1318" t="s">
        <v>842</v>
      </c>
      <c r="E38" s="1309" t="s">
        <v>2599</v>
      </c>
      <c r="F38" s="1313">
        <f>ROUND(SUMIF(CF.1!$F:$F,'CF(공)_1.0'!E38,CF.1!$U:$U),0)</f>
        <v>0</v>
      </c>
      <c r="G38" s="1313">
        <v>0</v>
      </c>
      <c r="H38" s="1313">
        <v>0</v>
      </c>
      <c r="I38" s="1313">
        <v>0</v>
      </c>
      <c r="J38" s="1313">
        <v>0</v>
      </c>
      <c r="K38" s="1313">
        <v>0</v>
      </c>
      <c r="L38" s="1887">
        <v>0</v>
      </c>
      <c r="N38" s="1435"/>
      <c r="O38" s="1443"/>
      <c r="P38" s="1444"/>
    </row>
    <row r="39" spans="4:16" ht="18" customHeight="1">
      <c r="D39" s="1318" t="s">
        <v>2739</v>
      </c>
      <c r="E39" s="1309" t="s">
        <v>673</v>
      </c>
      <c r="F39" s="1313">
        <f>ROUND(SUMIF(CF.1!$F:$F,'CF(공)_1.0'!E39,CF.1!$U:$U),0)</f>
        <v>-1666986895</v>
      </c>
      <c r="G39" s="1313">
        <v>-709964407</v>
      </c>
      <c r="H39" s="1313">
        <v>-371299845</v>
      </c>
      <c r="I39" s="1313">
        <v>-157299824</v>
      </c>
      <c r="J39" s="1313">
        <v>-62679358</v>
      </c>
      <c r="K39" s="1313">
        <v>-595479755</v>
      </c>
      <c r="L39" s="1887">
        <v>-1373387026</v>
      </c>
      <c r="N39" s="1435" t="s">
        <v>2236</v>
      </c>
      <c r="O39" s="1443">
        <v>-2755049081</v>
      </c>
      <c r="P39" s="1444">
        <v>-6211572271</v>
      </c>
    </row>
    <row r="40" spans="4:16" ht="18" customHeight="1">
      <c r="D40" s="1318" t="s">
        <v>2740</v>
      </c>
      <c r="E40" s="1309" t="s">
        <v>675</v>
      </c>
      <c r="F40" s="1313">
        <f>ROUND(SUMIF(CF.1!$F:$F,'CF(공)_1.0'!E40,CF.1!$U:$U),0)</f>
        <v>-1557307639</v>
      </c>
      <c r="G40" s="1313">
        <v>-1318864233</v>
      </c>
      <c r="H40" s="1313">
        <v>-2134418611</v>
      </c>
      <c r="I40" s="1313">
        <v>-1193625006</v>
      </c>
      <c r="J40" s="1313">
        <v>-1359011653</v>
      </c>
      <c r="K40" s="1313">
        <v>-48978076</v>
      </c>
      <c r="L40" s="1887">
        <v>-102383090</v>
      </c>
      <c r="N40" s="1435" t="s">
        <v>2237</v>
      </c>
      <c r="O40" s="1443">
        <v>-15000000</v>
      </c>
      <c r="P40" s="1438"/>
    </row>
    <row r="41" spans="4:16" ht="18" customHeight="1">
      <c r="D41" s="1318" t="s">
        <v>2741</v>
      </c>
      <c r="E41" s="1309" t="s">
        <v>881</v>
      </c>
      <c r="F41" s="1313">
        <f>ROUND(SUMIF(CF.1!$F:$F,'CF(공)_1.0'!E41,CF.1!$U:$U),0)</f>
        <v>0</v>
      </c>
      <c r="G41" s="1313">
        <v>0</v>
      </c>
      <c r="H41" s="1313">
        <v>0</v>
      </c>
      <c r="I41" s="1313">
        <v>0</v>
      </c>
      <c r="J41" s="1313">
        <v>0</v>
      </c>
      <c r="K41" s="1313">
        <v>0</v>
      </c>
      <c r="L41" s="1887">
        <v>0</v>
      </c>
      <c r="N41" s="1435" t="s">
        <v>2238</v>
      </c>
      <c r="O41" s="1443">
        <v>-4440701</v>
      </c>
      <c r="P41" s="1444">
        <v>-39318745</v>
      </c>
    </row>
    <row r="42" spans="4:16" s="952" customFormat="1" ht="18" customHeight="1">
      <c r="D42" s="1318" t="s">
        <v>2742</v>
      </c>
      <c r="E42" s="1309" t="s">
        <v>1418</v>
      </c>
      <c r="F42" s="1313">
        <f>ROUND(SUMIF(CF.1!$F:$F,'CF(공)_1.0'!E42,CF.1!$U:$U),0)</f>
        <v>0</v>
      </c>
      <c r="G42" s="1313">
        <v>-770071633</v>
      </c>
      <c r="H42" s="1313">
        <v>0</v>
      </c>
      <c r="I42" s="1313">
        <v>0</v>
      </c>
      <c r="J42" s="1313">
        <v>0</v>
      </c>
      <c r="K42" s="1313">
        <v>0</v>
      </c>
      <c r="L42" s="1887">
        <v>-30066519</v>
      </c>
      <c r="N42" s="1435" t="s">
        <v>2239</v>
      </c>
      <c r="O42" s="1443">
        <v>478602272</v>
      </c>
      <c r="P42" s="1444">
        <v>1218874616</v>
      </c>
    </row>
    <row r="43" spans="4:16" ht="18" customHeight="1">
      <c r="D43" s="1318" t="s">
        <v>2743</v>
      </c>
      <c r="E43" s="1309" t="s">
        <v>1419</v>
      </c>
      <c r="F43" s="1313">
        <f>ROUND(SUMIF(CF.1!$F:$F,'CF(공)_1.0'!E43,CF.1!$U:$U),0)</f>
        <v>-3510625687</v>
      </c>
      <c r="G43" s="1313">
        <v>0</v>
      </c>
      <c r="H43" s="1313">
        <v>0</v>
      </c>
      <c r="I43" s="1313">
        <v>0</v>
      </c>
      <c r="J43" s="1313">
        <v>0</v>
      </c>
      <c r="K43" s="1313">
        <v>0</v>
      </c>
      <c r="L43" s="1887">
        <v>-10629611</v>
      </c>
      <c r="N43" s="1435" t="s">
        <v>2240</v>
      </c>
      <c r="O43" s="1443">
        <v>-125280914</v>
      </c>
      <c r="P43" s="1444">
        <v>-44179083</v>
      </c>
    </row>
    <row r="44" spans="4:16" ht="18" customHeight="1">
      <c r="D44" s="1316" t="s">
        <v>2542</v>
      </c>
      <c r="E44" s="1317" t="s">
        <v>2542</v>
      </c>
      <c r="F44" s="1313">
        <f>ROUND(SUMIF(CF.1!$F:$F,'CF(공)_1.0'!E44,CF.1!$U:$U),0)</f>
        <v>-41363014942</v>
      </c>
      <c r="G44" s="1313"/>
      <c r="H44" s="1313">
        <v>0</v>
      </c>
      <c r="I44" s="1313">
        <v>0</v>
      </c>
      <c r="J44" s="1313">
        <v>0</v>
      </c>
      <c r="K44" s="1313"/>
      <c r="L44" s="1887"/>
      <c r="N44" s="1435" t="s">
        <v>2242</v>
      </c>
      <c r="O44" s="1443">
        <v>-2403039302</v>
      </c>
      <c r="P44" s="1444">
        <v>-2104945132</v>
      </c>
    </row>
    <row r="45" spans="4:16" ht="18" customHeight="1">
      <c r="D45" s="1318" t="s">
        <v>2744</v>
      </c>
      <c r="E45" s="1309" t="s">
        <v>678</v>
      </c>
      <c r="F45" s="1313">
        <f>ROUND(SUMIF(CF.1!$F:$F,'CF(공)_1.0'!E45,CF.1!$U:$U),0)</f>
        <v>-63636363</v>
      </c>
      <c r="G45" s="1313">
        <v>-5241227</v>
      </c>
      <c r="H45" s="1313">
        <v>-5241227</v>
      </c>
      <c r="I45" s="1313">
        <v>-5241227</v>
      </c>
      <c r="J45" s="1313">
        <v>0</v>
      </c>
      <c r="K45" s="1313">
        <v>-2240200</v>
      </c>
      <c r="L45" s="1887">
        <v>-221590</v>
      </c>
      <c r="N45" s="1435" t="s">
        <v>2241</v>
      </c>
      <c r="O45" s="1443">
        <v>89398677</v>
      </c>
      <c r="P45" s="1444">
        <v>-912244074</v>
      </c>
    </row>
    <row r="46" spans="4:16" ht="18" customHeight="1">
      <c r="D46" s="1318" t="s">
        <v>2745</v>
      </c>
      <c r="E46" s="1309" t="s">
        <v>679</v>
      </c>
      <c r="F46" s="1313">
        <f>ROUND(SUMIF(CF.1!$F:$F,'CF(공)_1.0'!E46,CF.1!$U:$U),0)</f>
        <v>0</v>
      </c>
      <c r="G46" s="1313">
        <v>0</v>
      </c>
      <c r="H46" s="1313">
        <v>0</v>
      </c>
      <c r="I46" s="1313">
        <v>0</v>
      </c>
      <c r="J46" s="1313">
        <v>0</v>
      </c>
      <c r="K46" s="1313">
        <v>0</v>
      </c>
      <c r="L46" s="1887">
        <v>0</v>
      </c>
      <c r="N46" s="1842" t="s">
        <v>2243</v>
      </c>
      <c r="O46" s="1843">
        <v>255200000</v>
      </c>
      <c r="P46" s="1444">
        <v>5563414106</v>
      </c>
    </row>
    <row r="47" spans="4:16" ht="18" customHeight="1">
      <c r="D47" s="1318" t="s">
        <v>2746</v>
      </c>
      <c r="E47" s="1319" t="s">
        <v>818</v>
      </c>
      <c r="F47" s="1313">
        <f>ROUND(SUMIF(CF.1!$F:$F,'CF(공)_1.0'!E47,CF.1!$U:$U),0)</f>
        <v>0</v>
      </c>
      <c r="G47" s="1313">
        <v>-24157280</v>
      </c>
      <c r="H47" s="1313">
        <v>0</v>
      </c>
      <c r="I47" s="1313">
        <v>0</v>
      </c>
      <c r="J47" s="1313">
        <v>0</v>
      </c>
      <c r="K47" s="1313">
        <v>0</v>
      </c>
      <c r="L47" s="1887">
        <v>0</v>
      </c>
      <c r="N47" s="1842" t="s">
        <v>2244</v>
      </c>
      <c r="O47" s="1843">
        <v>255200000</v>
      </c>
      <c r="P47" s="1444">
        <v>171987000</v>
      </c>
    </row>
    <row r="48" spans="4:16" ht="18" customHeight="1">
      <c r="D48" s="1318" t="s">
        <v>2747</v>
      </c>
      <c r="E48" s="1319" t="s">
        <v>816</v>
      </c>
      <c r="F48" s="1313">
        <f>ROUND(SUMIF(CF.1!$F:$F,'CF(공)_1.0'!E48,CF.1!$U:$U),0)</f>
        <v>-1413694186</v>
      </c>
      <c r="G48" s="1313">
        <v>0</v>
      </c>
      <c r="H48" s="1313">
        <v>0</v>
      </c>
      <c r="I48" s="1313">
        <v>0</v>
      </c>
      <c r="J48" s="1313">
        <v>0</v>
      </c>
      <c r="K48" s="1313">
        <v>0</v>
      </c>
      <c r="L48" s="1887">
        <v>0</v>
      </c>
      <c r="N48" s="1842" t="s">
        <v>2313</v>
      </c>
      <c r="O48" s="1844"/>
      <c r="P48" s="1444">
        <v>5388699833</v>
      </c>
    </row>
    <row r="49" spans="2:16" ht="18" customHeight="1">
      <c r="D49" s="1318" t="s">
        <v>2748</v>
      </c>
      <c r="E49" s="1309" t="s">
        <v>1875</v>
      </c>
      <c r="F49" s="1313">
        <f>ROUND(SUMIF(CF.1!$F:$F,'CF(공)_1.0'!E49,CF.1!$U:$U),0)</f>
        <v>-61773000</v>
      </c>
      <c r="G49" s="1313">
        <v>-20346172</v>
      </c>
      <c r="H49" s="1313">
        <v>-20355455</v>
      </c>
      <c r="I49" s="1313">
        <v>-452350</v>
      </c>
      <c r="J49" s="1313">
        <v>-452350</v>
      </c>
      <c r="K49" s="1313">
        <v>-26552040</v>
      </c>
      <c r="L49" s="1887">
        <v>0</v>
      </c>
      <c r="N49" s="1842" t="s">
        <v>2245</v>
      </c>
      <c r="O49" s="1844"/>
      <c r="P49" s="1444">
        <v>2727273</v>
      </c>
    </row>
    <row r="50" spans="2:16" ht="18" customHeight="1">
      <c r="D50" s="1304" t="s">
        <v>1394</v>
      </c>
      <c r="E50" s="1307" t="s">
        <v>1421</v>
      </c>
      <c r="F50" s="1306">
        <f t="shared" ref="F50:L50" si="2">SUM(F51:F61)</f>
        <v>2782387341</v>
      </c>
      <c r="G50" s="1306">
        <f t="shared" si="2"/>
        <v>-12124852896</v>
      </c>
      <c r="H50" s="1306">
        <f t="shared" si="2"/>
        <v>-12294897303</v>
      </c>
      <c r="I50" s="1306">
        <f t="shared" si="2"/>
        <v>6532726274</v>
      </c>
      <c r="J50" s="1306">
        <f t="shared" si="2"/>
        <v>-24520471397</v>
      </c>
      <c r="K50" s="1306">
        <f t="shared" si="2"/>
        <v>16323393062</v>
      </c>
      <c r="L50" s="1320">
        <f t="shared" si="2"/>
        <v>-837383424</v>
      </c>
      <c r="N50" s="1842" t="s">
        <v>2246</v>
      </c>
      <c r="O50" s="1843">
        <v>-2658239302</v>
      </c>
      <c r="P50" s="1444">
        <v>-7668359238</v>
      </c>
    </row>
    <row r="51" spans="2:16" ht="18" customHeight="1">
      <c r="D51" s="1308" t="s">
        <v>2260</v>
      </c>
      <c r="E51" s="1309" t="s">
        <v>2265</v>
      </c>
      <c r="F51" s="1310">
        <f>ROUND(SUMIF(CF.1!$F:$F,'CF(공)_1.0'!E51,CF.1!$U:$U),0)</f>
        <v>-4874284394</v>
      </c>
      <c r="G51" s="1310">
        <v>3887328375</v>
      </c>
      <c r="H51" s="1310">
        <v>3690791273</v>
      </c>
      <c r="I51" s="1310">
        <v>4028969497</v>
      </c>
      <c r="J51" s="1310">
        <v>-21450196937</v>
      </c>
      <c r="K51" s="1310">
        <v>4621956912</v>
      </c>
      <c r="L51" s="1888">
        <v>-7539631953</v>
      </c>
      <c r="N51" s="1842" t="s">
        <v>2247</v>
      </c>
      <c r="O51" s="1843">
        <v>71898000</v>
      </c>
      <c r="P51" s="1444">
        <v>774787000</v>
      </c>
    </row>
    <row r="52" spans="2:16" ht="18" customHeight="1">
      <c r="D52" s="1308" t="s">
        <v>1395</v>
      </c>
      <c r="E52" s="1309" t="s">
        <v>1423</v>
      </c>
      <c r="F52" s="1310">
        <f>ROUND(SUMIF(CF.1!$F:$F,'CF(공)_1.0'!E52,CF.1!$U:$U),0)</f>
        <v>1082082760</v>
      </c>
      <c r="G52" s="1310">
        <v>-7080723379</v>
      </c>
      <c r="H52" s="1310">
        <v>-6431232790</v>
      </c>
      <c r="I52" s="1310">
        <v>1663164844</v>
      </c>
      <c r="J52" s="1310">
        <v>3275695854</v>
      </c>
      <c r="K52" s="1310">
        <v>-12441359886</v>
      </c>
      <c r="L52" s="1888">
        <v>-5385279428</v>
      </c>
      <c r="N52" s="1842" t="s">
        <v>2314</v>
      </c>
      <c r="O52" s="1844"/>
      <c r="P52" s="1444">
        <v>88476031</v>
      </c>
    </row>
    <row r="53" spans="2:16" ht="18" customHeight="1">
      <c r="D53" s="1308" t="s">
        <v>1396</v>
      </c>
      <c r="E53" s="1309" t="s">
        <v>1424</v>
      </c>
      <c r="F53" s="1310">
        <f>ROUND(SUMIF(CF.1!$F:$F,'CF(공)_1.0'!E53,CF.1!$U:$U),0)</f>
        <v>8423671241</v>
      </c>
      <c r="G53" s="1310">
        <v>-12069841856</v>
      </c>
      <c r="H53" s="1310">
        <v>-11089593096</v>
      </c>
      <c r="I53" s="1310">
        <v>-11277641059</v>
      </c>
      <c r="J53" s="1310">
        <v>-8193563886</v>
      </c>
      <c r="K53" s="1310">
        <v>-567874466</v>
      </c>
      <c r="L53" s="1888">
        <v>1812955479</v>
      </c>
      <c r="N53" s="1842" t="s">
        <v>2248</v>
      </c>
      <c r="O53" s="1843">
        <v>884739842</v>
      </c>
      <c r="P53" s="1444">
        <v>711753841</v>
      </c>
    </row>
    <row r="54" spans="2:16" s="710" customFormat="1" ht="18" customHeight="1">
      <c r="B54" s="509"/>
      <c r="C54" s="509"/>
      <c r="D54" s="1308" t="s">
        <v>2261</v>
      </c>
      <c r="E54" s="1309" t="s">
        <v>2266</v>
      </c>
      <c r="F54" s="1310">
        <f>ROUND(SUMIF(CF.1!$F:$F,'CF(공)_1.0'!E54,CF.1!$U:$U),0)</f>
        <v>-6597389970</v>
      </c>
      <c r="G54" s="1310">
        <v>-1220561921</v>
      </c>
      <c r="H54" s="1310">
        <v>-2603455458</v>
      </c>
      <c r="I54" s="1310">
        <v>-760260269</v>
      </c>
      <c r="J54" s="1310">
        <v>-163740554</v>
      </c>
      <c r="K54" s="1310">
        <v>3609608055</v>
      </c>
      <c r="L54" s="1888">
        <v>-2405454959</v>
      </c>
      <c r="M54" s="509"/>
      <c r="N54" s="1842" t="s">
        <v>2249</v>
      </c>
      <c r="O54" s="1843">
        <v>1701601460</v>
      </c>
      <c r="P54" s="1444">
        <v>4366743807</v>
      </c>
    </row>
    <row r="55" spans="2:16" s="710" customFormat="1" ht="18" customHeight="1">
      <c r="D55" s="1308" t="s">
        <v>1780</v>
      </c>
      <c r="E55" s="1309" t="s">
        <v>1956</v>
      </c>
      <c r="F55" s="1310">
        <f>ROUND(SUMIF(CF.1!$F:$F,'CF(공)_1.0'!E55,CF.1!$U:$U),0)</f>
        <v>0</v>
      </c>
      <c r="G55" s="1310">
        <v>0</v>
      </c>
      <c r="H55" s="1310">
        <v>0</v>
      </c>
      <c r="I55" s="1310">
        <v>0</v>
      </c>
      <c r="J55" s="1310">
        <v>0</v>
      </c>
      <c r="K55" s="1310">
        <v>0</v>
      </c>
      <c r="L55" s="1888">
        <v>-300136621</v>
      </c>
      <c r="N55" s="1842" t="s">
        <v>2315</v>
      </c>
      <c r="O55" s="1844"/>
      <c r="P55" s="1444">
        <v>926598559</v>
      </c>
    </row>
    <row r="56" spans="2:16" s="710" customFormat="1" ht="18" customHeight="1">
      <c r="D56" s="1308" t="s">
        <v>1679</v>
      </c>
      <c r="E56" s="1309" t="s">
        <v>1676</v>
      </c>
      <c r="F56" s="1310">
        <f>ROUND(SUMIF(CF.1!$F:$F,'CF(공)_1.0'!E56,CF.1!$U:$U),0)</f>
        <v>0</v>
      </c>
      <c r="G56" s="1310">
        <v>0</v>
      </c>
      <c r="H56" s="1310">
        <v>0</v>
      </c>
      <c r="I56" s="1310">
        <v>0</v>
      </c>
      <c r="J56" s="1310">
        <v>0</v>
      </c>
      <c r="K56" s="1310">
        <v>0</v>
      </c>
      <c r="L56" s="1888">
        <v>-129134010</v>
      </c>
      <c r="N56" s="1435" t="s">
        <v>2250</v>
      </c>
      <c r="O56" s="1437"/>
      <c r="P56" s="1444">
        <v>800000000</v>
      </c>
    </row>
    <row r="57" spans="2:16" s="952" customFormat="1" ht="18" customHeight="1">
      <c r="B57" s="710"/>
      <c r="C57" s="710"/>
      <c r="D57" s="1308" t="s">
        <v>2262</v>
      </c>
      <c r="E57" s="1309" t="s">
        <v>2267</v>
      </c>
      <c r="F57" s="1310">
        <f>ROUND(SUMIF(CF.1!$F:$F,'CF(공)_1.0'!E57,CF.1!$U:$U),0)</f>
        <v>4886265252</v>
      </c>
      <c r="G57" s="1310">
        <v>2254405636</v>
      </c>
      <c r="H57" s="1310">
        <v>3450364267</v>
      </c>
      <c r="I57" s="1310">
        <v>2000083732</v>
      </c>
      <c r="J57" s="1310">
        <v>1233595761</v>
      </c>
      <c r="K57" s="1310">
        <v>5338055248</v>
      </c>
      <c r="L57" s="1888">
        <v>14516220107</v>
      </c>
      <c r="M57" s="710"/>
      <c r="N57" s="1435" t="s">
        <v>2251</v>
      </c>
      <c r="O57" s="1443">
        <v>-1849543127</v>
      </c>
      <c r="P57" s="1444">
        <v>-2246194373</v>
      </c>
    </row>
    <row r="58" spans="2:16" s="952" customFormat="1" ht="18" customHeight="1">
      <c r="D58" s="1308" t="s">
        <v>2263</v>
      </c>
      <c r="E58" s="1312" t="s">
        <v>2268</v>
      </c>
      <c r="F58" s="1313">
        <f>ROUND(SUMIF(CF.1!$F:$F,'CF(공)_1.0'!E58,CF.1!$U:$U),0)</f>
        <v>2883110820</v>
      </c>
      <c r="G58" s="1310">
        <v>2792943706</v>
      </c>
      <c r="H58" s="1310">
        <v>2214460529</v>
      </c>
      <c r="I58" s="1310">
        <v>11372851623</v>
      </c>
      <c r="J58" s="1310">
        <v>1711429977</v>
      </c>
      <c r="K58" s="1310">
        <v>19556864340</v>
      </c>
      <c r="L58" s="1888">
        <v>2404203858</v>
      </c>
      <c r="N58" s="1435" t="s">
        <v>2252</v>
      </c>
      <c r="O58" s="1443">
        <v>-1849543127</v>
      </c>
      <c r="P58" s="1444">
        <v>-2246194373</v>
      </c>
    </row>
    <row r="59" spans="2:16" ht="18" customHeight="1">
      <c r="B59" s="952"/>
      <c r="C59" s="952"/>
      <c r="D59" s="1308" t="s">
        <v>1397</v>
      </c>
      <c r="E59" s="1309" t="s">
        <v>1428</v>
      </c>
      <c r="F59" s="1310">
        <f>ROUND(SUMIF(CF.1!$F:$F,'CF(공)_1.0'!E59,CF.1!$U:$U),0)</f>
        <v>-2938974663</v>
      </c>
      <c r="G59" s="1310">
        <v>1697929968</v>
      </c>
      <c r="H59" s="1310">
        <v>-1314839512</v>
      </c>
      <c r="I59" s="1310">
        <v>-609216258</v>
      </c>
      <c r="J59" s="1310">
        <v>-1042301141</v>
      </c>
      <c r="K59" s="1310">
        <v>-1666867878</v>
      </c>
      <c r="L59" s="1888">
        <v>-2594881411</v>
      </c>
      <c r="M59" s="952"/>
      <c r="N59" s="1435" t="s">
        <v>2253</v>
      </c>
      <c r="O59" s="1437"/>
      <c r="P59" s="1444">
        <v>465735790</v>
      </c>
    </row>
    <row r="60" spans="2:16" ht="18" customHeight="1">
      <c r="D60" s="1308" t="s">
        <v>1398</v>
      </c>
      <c r="E60" s="1309" t="s">
        <v>1429</v>
      </c>
      <c r="F60" s="1310">
        <f>ROUND(SUMIF(CF.1!$F:$F,'CF(공)_1.0'!E60,CF.1!$U:$U),0)</f>
        <v>0</v>
      </c>
      <c r="G60" s="1310">
        <v>38740390</v>
      </c>
      <c r="H60" s="1310">
        <v>0</v>
      </c>
      <c r="I60" s="1310">
        <v>0</v>
      </c>
      <c r="J60" s="1310">
        <v>0</v>
      </c>
      <c r="K60" s="1310">
        <v>-15000000</v>
      </c>
      <c r="L60" s="1888">
        <v>0</v>
      </c>
      <c r="N60" s="1435" t="s">
        <v>2254</v>
      </c>
      <c r="O60" s="1443">
        <v>1849543127</v>
      </c>
      <c r="P60" s="1444">
        <v>1778874676</v>
      </c>
    </row>
    <row r="61" spans="2:16" ht="18" customHeight="1">
      <c r="D61" s="1308" t="s">
        <v>2264</v>
      </c>
      <c r="E61" s="1309" t="s">
        <v>2269</v>
      </c>
      <c r="F61" s="1310">
        <f>ROUND(SUMIF(CF.1!$F:$F,'CF(공)_1.0'!E61,CF.1!$U:$U),0)</f>
        <v>-82093705</v>
      </c>
      <c r="G61" s="1310">
        <v>-2425073815</v>
      </c>
      <c r="H61" s="1310">
        <v>-211392516</v>
      </c>
      <c r="I61" s="1310">
        <v>114774164</v>
      </c>
      <c r="J61" s="1310">
        <v>108609529</v>
      </c>
      <c r="K61" s="1310">
        <v>-2111989263</v>
      </c>
      <c r="L61" s="1888">
        <v>-1216244486</v>
      </c>
      <c r="N61" s="1435"/>
      <c r="O61" s="1443"/>
      <c r="P61" s="1444"/>
    </row>
    <row r="62" spans="2:16" ht="18" customHeight="1">
      <c r="D62" s="1300" t="s">
        <v>1399</v>
      </c>
      <c r="E62" s="1301" t="s">
        <v>1007</v>
      </c>
      <c r="F62" s="1302">
        <f>ROUND(SUMIF(CF.1!$F:$F,'CF(공)_1.0'!E62,CF.1!$U:$U),0)</f>
        <v>1485778734</v>
      </c>
      <c r="G62" s="1302">
        <v>492727406</v>
      </c>
      <c r="H62" s="1302">
        <v>298904319</v>
      </c>
      <c r="I62" s="1302">
        <v>78809391</v>
      </c>
      <c r="J62" s="1302">
        <v>29213135</v>
      </c>
      <c r="K62" s="1302">
        <v>603439853</v>
      </c>
      <c r="L62" s="1889">
        <v>1450087305</v>
      </c>
      <c r="N62" s="1435" t="s">
        <v>2255</v>
      </c>
      <c r="O62" s="1437"/>
      <c r="P62" s="1444">
        <v>1583907</v>
      </c>
    </row>
    <row r="63" spans="2:16" ht="18" customHeight="1">
      <c r="D63" s="1304" t="s">
        <v>1400</v>
      </c>
      <c r="E63" s="1307" t="s">
        <v>1009</v>
      </c>
      <c r="F63" s="1306">
        <f>ROUND(SUMIF(CF.1!$F:$F,'CF(공)_1.0'!E63,CF.1!$U:$U),0)</f>
        <v>-169215977</v>
      </c>
      <c r="G63" s="1306">
        <v>-300912198</v>
      </c>
      <c r="H63" s="1306">
        <v>-230445961</v>
      </c>
      <c r="I63" s="1306">
        <v>-155924169</v>
      </c>
      <c r="J63" s="1306">
        <v>-83985271</v>
      </c>
      <c r="K63" s="1306">
        <v>-172075657</v>
      </c>
      <c r="L63" s="1890">
        <v>-46867293</v>
      </c>
      <c r="N63" s="1435" t="s">
        <v>2256</v>
      </c>
      <c r="O63" s="1443">
        <v>-3840675328</v>
      </c>
      <c r="P63" s="1444">
        <v>-11898819240</v>
      </c>
    </row>
    <row r="64" spans="2:16" ht="18" customHeight="1">
      <c r="D64" s="1300" t="s">
        <v>1401</v>
      </c>
      <c r="E64" s="1301" t="s">
        <v>1011</v>
      </c>
      <c r="F64" s="1302">
        <f>ROUND(SUMIF(CF.1!$F:$F,'CF(공)_1.0'!E64,CF.1!$U:$U),0)</f>
        <v>-381987532</v>
      </c>
      <c r="G64" s="1302">
        <v>-16992423</v>
      </c>
      <c r="H64" s="1302">
        <v>15401469</v>
      </c>
      <c r="I64" s="1302">
        <v>-1186210</v>
      </c>
      <c r="J64" s="1302">
        <v>-4518911</v>
      </c>
      <c r="K64" s="1302">
        <v>90170635</v>
      </c>
      <c r="L64" s="1889">
        <v>-870491738</v>
      </c>
      <c r="N64" s="1435" t="s">
        <v>2257</v>
      </c>
      <c r="O64" s="1443">
        <v>88901392676</v>
      </c>
      <c r="P64" s="1444">
        <v>95653360723</v>
      </c>
    </row>
    <row r="65" spans="2:16" ht="18" customHeight="1">
      <c r="D65" s="1300" t="s">
        <v>2712</v>
      </c>
      <c r="E65" s="1301" t="s">
        <v>2713</v>
      </c>
      <c r="F65" s="1302">
        <f>ROUND(SUMIF(CF.1!$F:$F,'CF(공)_1.0'!E65,CF.1!$U:$U),0)</f>
        <v>0</v>
      </c>
      <c r="G65" s="1302">
        <v>0</v>
      </c>
      <c r="H65" s="1302">
        <v>0</v>
      </c>
      <c r="I65" s="1302">
        <v>207963850</v>
      </c>
      <c r="J65" s="1302">
        <v>0</v>
      </c>
      <c r="K65" s="1302">
        <v>0</v>
      </c>
      <c r="L65" s="1889">
        <v>0</v>
      </c>
      <c r="N65" s="1435" t="s">
        <v>2258</v>
      </c>
      <c r="O65" s="1443">
        <v>201242394</v>
      </c>
      <c r="P65" s="1444">
        <v>963228519</v>
      </c>
    </row>
    <row r="66" spans="2:16" ht="18" customHeight="1">
      <c r="D66" s="1296" t="s">
        <v>1402</v>
      </c>
      <c r="E66" s="1297" t="s">
        <v>1402</v>
      </c>
      <c r="F66" s="1298">
        <f t="shared" ref="F66:L66" si="3">F67+F76</f>
        <v>-2319473700</v>
      </c>
      <c r="G66" s="1298">
        <f t="shared" si="3"/>
        <v>-36852424663</v>
      </c>
      <c r="H66" s="1298">
        <f t="shared" si="3"/>
        <v>-24805833690</v>
      </c>
      <c r="I66" s="1298">
        <f t="shared" si="3"/>
        <v>-23051732912</v>
      </c>
      <c r="J66" s="1298">
        <f t="shared" si="3"/>
        <v>-633116736</v>
      </c>
      <c r="K66" s="1298">
        <f t="shared" si="3"/>
        <v>-2470877528</v>
      </c>
      <c r="L66" s="1299">
        <f t="shared" si="3"/>
        <v>-2595990545</v>
      </c>
      <c r="N66" s="1845" t="s">
        <v>2259</v>
      </c>
      <c r="O66" s="1846">
        <v>85261959742</v>
      </c>
      <c r="P66" s="1847">
        <v>84717770002</v>
      </c>
    </row>
    <row r="67" spans="2:16" s="952" customFormat="1" ht="18" customHeight="1">
      <c r="B67" s="509"/>
      <c r="C67" s="509"/>
      <c r="D67" s="1304" t="s">
        <v>1403</v>
      </c>
      <c r="E67" s="1307" t="s">
        <v>1431</v>
      </c>
      <c r="F67" s="1306">
        <f t="shared" ref="F67:L67" si="4">SUM(F68:F75)</f>
        <v>24505922363</v>
      </c>
      <c r="G67" s="1306">
        <f t="shared" si="4"/>
        <v>27250000</v>
      </c>
      <c r="H67" s="1306">
        <f t="shared" si="4"/>
        <v>7250000</v>
      </c>
      <c r="I67" s="1306">
        <f t="shared" si="4"/>
        <v>7250000</v>
      </c>
      <c r="J67" s="1306">
        <f t="shared" si="4"/>
        <v>0</v>
      </c>
      <c r="K67" s="1306">
        <f t="shared" si="4"/>
        <v>2032106200</v>
      </c>
      <c r="L67" s="1320">
        <f t="shared" si="4"/>
        <v>5567041599</v>
      </c>
      <c r="M67" s="509"/>
    </row>
    <row r="68" spans="2:16" ht="18" customHeight="1">
      <c r="B68" s="952"/>
      <c r="C68" s="952"/>
      <c r="D68" s="1318" t="s">
        <v>2749</v>
      </c>
      <c r="E68" s="1309" t="s">
        <v>1432</v>
      </c>
      <c r="F68" s="1313">
        <f>ROUND(SUMIF(CF.1!$F:$F,'CF(공)_1.0'!E68,CF.1!$U:$U),0)</f>
        <v>0</v>
      </c>
      <c r="G68" s="1313">
        <v>0</v>
      </c>
      <c r="H68" s="1313">
        <v>0</v>
      </c>
      <c r="I68" s="1313">
        <v>0</v>
      </c>
      <c r="J68" s="1313">
        <v>0</v>
      </c>
      <c r="K68" s="1313">
        <v>347340000</v>
      </c>
      <c r="L68" s="1887">
        <v>0</v>
      </c>
      <c r="M68" s="952"/>
    </row>
    <row r="69" spans="2:16" ht="18" customHeight="1">
      <c r="B69" s="952"/>
      <c r="C69" s="952"/>
      <c r="D69" s="1318" t="s">
        <v>2750</v>
      </c>
      <c r="E69" s="1309" t="s">
        <v>1373</v>
      </c>
      <c r="F69" s="1313">
        <f>ROUND(SUMIF(CF.1!$F:$F,'CF(공)_1.0'!E69,CF.1!$U:$U),0)</f>
        <v>200000000</v>
      </c>
      <c r="G69" s="1313">
        <v>20000000</v>
      </c>
      <c r="H69" s="1313">
        <v>0</v>
      </c>
      <c r="I69" s="1313">
        <v>0</v>
      </c>
      <c r="J69" s="1313">
        <v>0</v>
      </c>
      <c r="K69" s="1313">
        <v>1677388000</v>
      </c>
      <c r="L69" s="1887">
        <v>171745000</v>
      </c>
      <c r="M69" s="952"/>
    </row>
    <row r="70" spans="2:16" ht="18" customHeight="1">
      <c r="D70" s="1318" t="s">
        <v>2751</v>
      </c>
      <c r="E70" s="1309" t="s">
        <v>1376</v>
      </c>
      <c r="F70" s="1313">
        <f>ROUND(SUMIF(CF.1!$F:$F,'CF(공)_1.0'!E70,CF.1!$U:$U),0)</f>
        <v>0</v>
      </c>
      <c r="G70" s="1313">
        <v>0</v>
      </c>
      <c r="H70" s="1313">
        <v>0</v>
      </c>
      <c r="I70" s="1313">
        <v>0</v>
      </c>
      <c r="J70" s="1313">
        <v>0</v>
      </c>
      <c r="K70" s="1313">
        <v>5000000</v>
      </c>
      <c r="L70" s="1887">
        <v>726000</v>
      </c>
      <c r="N70" s="1089"/>
      <c r="O70" s="925"/>
    </row>
    <row r="71" spans="2:16" ht="18" customHeight="1">
      <c r="D71" s="1318" t="s">
        <v>1021</v>
      </c>
      <c r="E71" s="1309" t="s">
        <v>1433</v>
      </c>
      <c r="F71" s="1313">
        <f>ROUND(SUMIF(CF.1!$F:$F,'CF(공)_1.0'!E71,CF.1!$U:$U),0)</f>
        <v>297306000</v>
      </c>
      <c r="G71" s="1313"/>
      <c r="H71" s="1313"/>
      <c r="I71" s="1313"/>
      <c r="J71" s="1313"/>
      <c r="K71" s="1313"/>
      <c r="L71" s="1887"/>
      <c r="N71" s="1089"/>
      <c r="O71" s="925"/>
    </row>
    <row r="72" spans="2:16" ht="18" customHeight="1">
      <c r="D72" s="1848" t="s">
        <v>2752</v>
      </c>
      <c r="E72" s="1321" t="s">
        <v>2575</v>
      </c>
      <c r="F72" s="1313">
        <f>ROUND(SUMIF(CF.1!$F:$F,'CF(공)_1.0'!E72,CF.1!$U:$U),0)</f>
        <v>23944980000</v>
      </c>
      <c r="G72" s="1313">
        <v>0</v>
      </c>
      <c r="H72" s="1313">
        <v>0</v>
      </c>
      <c r="I72" s="1313">
        <v>0</v>
      </c>
      <c r="J72" s="1313">
        <v>0</v>
      </c>
      <c r="K72" s="1313">
        <v>0</v>
      </c>
      <c r="L72" s="1887">
        <v>5388699833</v>
      </c>
      <c r="N72" s="1089"/>
      <c r="O72" s="925"/>
    </row>
    <row r="73" spans="2:16" ht="18" customHeight="1">
      <c r="D73" s="1318" t="s">
        <v>2753</v>
      </c>
      <c r="E73" s="1309" t="s">
        <v>1434</v>
      </c>
      <c r="F73" s="1313">
        <f>ROUND(SUMIF(CF.1!$F:$F,'CF(공)_1.0'!E73,CF.1!$U:$U),0)</f>
        <v>63636363</v>
      </c>
      <c r="G73" s="1313">
        <v>7250000</v>
      </c>
      <c r="H73" s="1313">
        <v>7250000</v>
      </c>
      <c r="I73" s="1313">
        <v>7250000</v>
      </c>
      <c r="J73" s="1313">
        <v>0</v>
      </c>
      <c r="K73" s="1313">
        <v>2378200</v>
      </c>
      <c r="L73" s="1887">
        <v>5870766</v>
      </c>
      <c r="N73" s="1089"/>
      <c r="O73" s="925"/>
    </row>
    <row r="74" spans="2:16" ht="18" customHeight="1">
      <c r="D74" s="1318" t="s">
        <v>2754</v>
      </c>
      <c r="E74" s="1309" t="s">
        <v>1435</v>
      </c>
      <c r="F74" s="1313">
        <f>ROUND(SUMIF(CF.1!$F:$F,'CF(공)_1.0'!E74,CF.1!$U:$U),0)</f>
        <v>0</v>
      </c>
      <c r="G74" s="1313">
        <v>0</v>
      </c>
      <c r="H74" s="1313">
        <v>0</v>
      </c>
      <c r="I74" s="1313">
        <v>0</v>
      </c>
      <c r="J74" s="1313">
        <v>0</v>
      </c>
      <c r="K74" s="1313">
        <v>0</v>
      </c>
      <c r="L74" s="1887">
        <v>0</v>
      </c>
      <c r="N74" s="1089"/>
      <c r="O74" s="925"/>
    </row>
    <row r="75" spans="2:16" ht="18" customHeight="1">
      <c r="D75" s="1318" t="s">
        <v>2755</v>
      </c>
      <c r="E75" s="1309" t="s">
        <v>1436</v>
      </c>
      <c r="F75" s="1313">
        <f>ROUND(SUMIF(CF.1!$F:$F,'CF(공)_1.0'!E75,CF.1!$U:$U),0)</f>
        <v>0</v>
      </c>
      <c r="G75" s="1313">
        <v>0</v>
      </c>
      <c r="H75" s="1313">
        <v>0</v>
      </c>
      <c r="I75" s="1313">
        <v>0</v>
      </c>
      <c r="J75" s="1313">
        <v>0</v>
      </c>
      <c r="K75" s="1313">
        <v>0</v>
      </c>
      <c r="L75" s="1887">
        <v>0</v>
      </c>
      <c r="N75" s="1089"/>
      <c r="O75" s="925"/>
    </row>
    <row r="76" spans="2:16" ht="18" customHeight="1">
      <c r="D76" s="1304" t="s">
        <v>1404</v>
      </c>
      <c r="E76" s="1307" t="s">
        <v>1437</v>
      </c>
      <c r="F76" s="1306">
        <f t="shared" ref="F76:L76" si="5">SUM(F77:F90)</f>
        <v>-26825396063</v>
      </c>
      <c r="G76" s="1306">
        <f t="shared" si="5"/>
        <v>-36879674663</v>
      </c>
      <c r="H76" s="1306">
        <f t="shared" si="5"/>
        <v>-24813083690</v>
      </c>
      <c r="I76" s="1306">
        <f t="shared" si="5"/>
        <v>-23058982912</v>
      </c>
      <c r="J76" s="1306">
        <f t="shared" si="5"/>
        <v>-633116736</v>
      </c>
      <c r="K76" s="1306">
        <f t="shared" si="5"/>
        <v>-4502983728</v>
      </c>
      <c r="L76" s="1320">
        <f t="shared" si="5"/>
        <v>-8163032144</v>
      </c>
      <c r="N76" s="1089"/>
      <c r="O76" s="925"/>
    </row>
    <row r="77" spans="2:16" ht="18" customHeight="1">
      <c r="D77" s="1318" t="s">
        <v>2756</v>
      </c>
      <c r="E77" s="1309" t="s">
        <v>1128</v>
      </c>
      <c r="F77" s="1310">
        <f>ROUND(SUMIF(CF.1!$F:$F,'CF(공)_1.0'!E77,CF.1!$U:$U),0)</f>
        <v>0</v>
      </c>
      <c r="G77" s="1310">
        <v>0</v>
      </c>
      <c r="H77" s="1310">
        <v>0</v>
      </c>
      <c r="I77" s="1310">
        <v>0</v>
      </c>
      <c r="J77" s="1310">
        <v>0</v>
      </c>
      <c r="K77" s="1310">
        <v>0</v>
      </c>
      <c r="L77" s="1888">
        <v>0</v>
      </c>
      <c r="N77" s="1089"/>
      <c r="O77" s="925"/>
    </row>
    <row r="78" spans="2:16" ht="18" customHeight="1">
      <c r="D78" s="1314" t="s">
        <v>2757</v>
      </c>
      <c r="E78" s="1312" t="s">
        <v>2392</v>
      </c>
      <c r="F78" s="1313">
        <f>ROUND(SUMIF(CF.1!$F:$F,'CF(공)_1.0'!E78,CF.1!$U:$U),0)</f>
        <v>0</v>
      </c>
      <c r="G78" s="1313">
        <v>-312435000</v>
      </c>
      <c r="H78" s="1313">
        <v>0</v>
      </c>
      <c r="I78" s="1310">
        <v>0</v>
      </c>
      <c r="J78" s="1310">
        <v>0</v>
      </c>
      <c r="K78" s="1310">
        <v>0</v>
      </c>
      <c r="L78" s="1888">
        <v>0</v>
      </c>
      <c r="N78" s="1089"/>
      <c r="O78" s="925"/>
      <c r="P78" s="925"/>
    </row>
    <row r="79" spans="2:16" s="925" customFormat="1" ht="18" customHeight="1">
      <c r="B79" s="509"/>
      <c r="C79" s="509"/>
      <c r="D79" s="1318" t="s">
        <v>2758</v>
      </c>
      <c r="E79" s="1309" t="s">
        <v>1136</v>
      </c>
      <c r="F79" s="1310">
        <f>ROUND(SUMIF(CF.1!$F:$F,'CF(공)_1.0'!E79,CF.1!$U:$U),0)</f>
        <v>0</v>
      </c>
      <c r="G79" s="1310">
        <v>0</v>
      </c>
      <c r="H79" s="1310">
        <v>-786563544</v>
      </c>
      <c r="I79" s="1310">
        <v>0</v>
      </c>
      <c r="J79" s="1310">
        <v>0</v>
      </c>
      <c r="K79" s="1310">
        <v>0</v>
      </c>
      <c r="L79" s="1888">
        <v>-352599000</v>
      </c>
      <c r="M79" s="509"/>
      <c r="N79" s="1089"/>
    </row>
    <row r="80" spans="2:16" s="925" customFormat="1" ht="18" customHeight="1">
      <c r="D80" s="1318" t="s">
        <v>2759</v>
      </c>
      <c r="E80" s="1309" t="s">
        <v>1372</v>
      </c>
      <c r="F80" s="1310">
        <f>ROUND(SUMIF(CF.1!$F:$F,'CF(공)_1.0'!E80,CF.1!$U:$U),0)</f>
        <v>-609216486</v>
      </c>
      <c r="G80" s="1310">
        <v>-802942063</v>
      </c>
      <c r="H80" s="1310">
        <v>0</v>
      </c>
      <c r="I80" s="1310">
        <v>-12504000</v>
      </c>
      <c r="J80" s="1310">
        <v>0</v>
      </c>
      <c r="K80" s="1310">
        <v>-1499086000</v>
      </c>
      <c r="L80" s="1888">
        <v>-317188000</v>
      </c>
      <c r="N80" s="1089"/>
      <c r="P80" s="509"/>
    </row>
    <row r="81" spans="2:16" ht="18" customHeight="1">
      <c r="B81" s="925"/>
      <c r="C81" s="925"/>
      <c r="D81" s="1318" t="s">
        <v>2760</v>
      </c>
      <c r="E81" s="1309" t="s">
        <v>1472</v>
      </c>
      <c r="F81" s="1310">
        <f>ROUND(SUMIF(CF.1!$F:$F,'CF(공)_1.0'!E81,CF.1!$U:$U),0)</f>
        <v>-500000</v>
      </c>
      <c r="G81" s="1310">
        <v>-80000000</v>
      </c>
      <c r="H81" s="1310">
        <v>0</v>
      </c>
      <c r="I81" s="1310">
        <v>0</v>
      </c>
      <c r="J81" s="1310">
        <v>0</v>
      </c>
      <c r="K81" s="1310">
        <v>0</v>
      </c>
      <c r="L81" s="1888">
        <v>-105000000</v>
      </c>
      <c r="M81" s="925"/>
      <c r="N81" s="1089"/>
      <c r="O81" s="925"/>
    </row>
    <row r="82" spans="2:16" s="952" customFormat="1" ht="18" customHeight="1">
      <c r="B82" s="509"/>
      <c r="C82" s="509"/>
      <c r="D82" s="1318" t="s">
        <v>2761</v>
      </c>
      <c r="E82" s="1309" t="s">
        <v>1682</v>
      </c>
      <c r="F82" s="1310">
        <f>ROUND(SUMIF(CF.1!$F:$F,'CF(공)_1.0'!E82,CF.1!$U:$U),0)</f>
        <v>0</v>
      </c>
      <c r="G82" s="1310">
        <v>0</v>
      </c>
      <c r="H82" s="1310">
        <v>0</v>
      </c>
      <c r="I82" s="1310">
        <v>0</v>
      </c>
      <c r="J82" s="1310">
        <v>0</v>
      </c>
      <c r="K82" s="1310">
        <v>0</v>
      </c>
      <c r="L82" s="1888">
        <v>0</v>
      </c>
      <c r="M82" s="509"/>
      <c r="N82" s="1322"/>
      <c r="O82" s="1119"/>
    </row>
    <row r="83" spans="2:16" ht="18" customHeight="1">
      <c r="B83" s="952"/>
      <c r="C83" s="952"/>
      <c r="D83" s="1318" t="s">
        <v>2762</v>
      </c>
      <c r="E83" s="1309" t="s">
        <v>1438</v>
      </c>
      <c r="F83" s="1310">
        <f>ROUND(SUMIF(CF.1!$F:$F,'CF(공)_1.0'!E83,CF.1!$U:$U),0)</f>
        <v>0</v>
      </c>
      <c r="G83" s="1310">
        <v>0</v>
      </c>
      <c r="H83" s="1310">
        <v>0</v>
      </c>
      <c r="I83" s="1310">
        <v>0</v>
      </c>
      <c r="J83" s="1310">
        <v>0</v>
      </c>
      <c r="K83" s="1310">
        <v>0</v>
      </c>
      <c r="L83" s="1888">
        <v>0</v>
      </c>
      <c r="M83" s="952"/>
      <c r="N83" s="1089"/>
      <c r="O83" s="925"/>
    </row>
    <row r="84" spans="2:16" ht="18" customHeight="1">
      <c r="D84" s="1318" t="s">
        <v>2551</v>
      </c>
      <c r="E84" s="1309" t="s">
        <v>2551</v>
      </c>
      <c r="F84" s="1310">
        <f>ROUND(SUMIF(CF.1!$F:$F,'CF(공)_1.0'!E84,CF.1!$U:$U),0)</f>
        <v>-20301223536</v>
      </c>
      <c r="G84" s="1310">
        <v>-30002038186</v>
      </c>
      <c r="H84" s="1310">
        <v>-20001800000</v>
      </c>
      <c r="I84" s="1310">
        <v>-20001800000</v>
      </c>
      <c r="J84" s="1310">
        <v>0</v>
      </c>
      <c r="K84" s="1310">
        <v>0</v>
      </c>
      <c r="L84" s="1888">
        <v>0</v>
      </c>
      <c r="N84" s="1089"/>
      <c r="O84" s="925"/>
    </row>
    <row r="85" spans="2:16" ht="18" customHeight="1">
      <c r="D85" s="1314" t="s">
        <v>2763</v>
      </c>
      <c r="E85" s="1312" t="s">
        <v>2200</v>
      </c>
      <c r="F85" s="1313">
        <f>ROUND(SUMIF(CF.1!$F:$F,'CF(공)_1.0'!E85,CF.1!$U:$U),0)</f>
        <v>-3011475000</v>
      </c>
      <c r="G85" s="1313">
        <v>-251229861</v>
      </c>
      <c r="H85" s="1313">
        <v>-251229861</v>
      </c>
      <c r="I85" s="1310">
        <v>-251229861</v>
      </c>
      <c r="J85" s="1310">
        <v>0</v>
      </c>
      <c r="K85" s="1313">
        <v>0</v>
      </c>
      <c r="L85" s="1887">
        <v>0</v>
      </c>
      <c r="N85" s="1089"/>
      <c r="O85" s="925"/>
    </row>
    <row r="86" spans="2:16" s="952" customFormat="1" ht="18" customHeight="1">
      <c r="B86" s="509"/>
      <c r="C86" s="509"/>
      <c r="D86" s="1314" t="s">
        <v>2764</v>
      </c>
      <c r="E86" s="1312" t="s">
        <v>1474</v>
      </c>
      <c r="F86" s="1313">
        <f>ROUND(SUMIF(CF.1!$F:$F,'CF(공)_1.0'!E86,CF.1!$U:$U),0)</f>
        <v>0</v>
      </c>
      <c r="G86" s="1313">
        <v>-1479793071</v>
      </c>
      <c r="H86" s="1313">
        <v>-1479793071</v>
      </c>
      <c r="I86" s="1313">
        <v>-1479793071</v>
      </c>
      <c r="J86" s="1313">
        <v>0</v>
      </c>
      <c r="K86" s="1313">
        <v>0</v>
      </c>
      <c r="L86" s="1887">
        <v>0</v>
      </c>
      <c r="M86" s="509"/>
    </row>
    <row r="87" spans="2:16" ht="18" customHeight="1">
      <c r="B87" s="952"/>
      <c r="C87" s="952"/>
      <c r="D87" s="1314" t="s">
        <v>2765</v>
      </c>
      <c r="E87" s="1312" t="s">
        <v>1729</v>
      </c>
      <c r="F87" s="1313">
        <f>ROUND(SUMIF(CF.1!$F:$F,'CF(공)_1.0'!E87,CF.1!$U:$U),0)</f>
        <v>0</v>
      </c>
      <c r="G87" s="1313">
        <v>0</v>
      </c>
      <c r="H87" s="1313">
        <v>0</v>
      </c>
      <c r="I87" s="1313">
        <v>0</v>
      </c>
      <c r="J87" s="1313">
        <v>0</v>
      </c>
      <c r="K87" s="1313">
        <v>0</v>
      </c>
      <c r="L87" s="1887">
        <v>-926598559</v>
      </c>
      <c r="M87" s="952"/>
      <c r="N87" s="925"/>
      <c r="O87" s="925"/>
      <c r="P87" s="925"/>
    </row>
    <row r="88" spans="2:16" s="925" customFormat="1" ht="18" customHeight="1">
      <c r="B88" s="509"/>
      <c r="C88" s="509"/>
      <c r="D88" s="1318" t="s">
        <v>2766</v>
      </c>
      <c r="E88" s="1309" t="s">
        <v>1440</v>
      </c>
      <c r="F88" s="1310">
        <f>ROUND(SUMIF(CF.1!$F:$F,'CF(공)_1.0'!E88,CF.1!$U:$U),0)</f>
        <v>-645296381</v>
      </c>
      <c r="G88" s="1310">
        <v>-2139025545</v>
      </c>
      <c r="H88" s="1310">
        <v>-1056056242</v>
      </c>
      <c r="I88" s="1310">
        <v>-714339841</v>
      </c>
      <c r="J88" s="1310">
        <v>-481404989</v>
      </c>
      <c r="K88" s="1310">
        <v>-1030872652</v>
      </c>
      <c r="L88" s="1888">
        <v>-957015654</v>
      </c>
      <c r="M88" s="509"/>
    </row>
    <row r="89" spans="2:16" s="925" customFormat="1" ht="18" customHeight="1">
      <c r="D89" s="1318" t="s">
        <v>2767</v>
      </c>
      <c r="E89" s="1309" t="s">
        <v>1441</v>
      </c>
      <c r="F89" s="1310">
        <f>ROUND(SUMIF(CF.1!$F:$F,'CF(공)_1.0'!E89,CF.1!$U:$U),0)</f>
        <v>-2257684660</v>
      </c>
      <c r="G89" s="1310">
        <v>-1812210937</v>
      </c>
      <c r="H89" s="1310">
        <v>-1237640972</v>
      </c>
      <c r="I89" s="1310">
        <v>-599316139</v>
      </c>
      <c r="J89" s="1310">
        <v>-151711747</v>
      </c>
      <c r="K89" s="1310">
        <v>-1973025076</v>
      </c>
      <c r="L89" s="1888">
        <v>-4704630931</v>
      </c>
      <c r="N89" s="509"/>
      <c r="O89" s="509"/>
      <c r="P89" s="509"/>
    </row>
    <row r="90" spans="2:16" ht="18" customHeight="1">
      <c r="B90" s="925"/>
      <c r="C90" s="925"/>
      <c r="D90" s="1318" t="s">
        <v>2768</v>
      </c>
      <c r="E90" s="1309" t="s">
        <v>1473</v>
      </c>
      <c r="F90" s="1310">
        <f>ROUND(SUMIF(CF.1!$F:$F,'CF(공)_1.0'!E90,CF.1!$U:$U),0)</f>
        <v>0</v>
      </c>
      <c r="G90" s="1310">
        <v>0</v>
      </c>
      <c r="H90" s="1310">
        <v>0</v>
      </c>
      <c r="I90" s="1310">
        <v>0</v>
      </c>
      <c r="J90" s="1310">
        <v>0</v>
      </c>
      <c r="K90" s="1310">
        <v>0</v>
      </c>
      <c r="L90" s="1888">
        <v>-800000000</v>
      </c>
      <c r="M90" s="925"/>
    </row>
    <row r="91" spans="2:16" ht="18" customHeight="1">
      <c r="D91" s="1296" t="s">
        <v>1405</v>
      </c>
      <c r="E91" s="1297" t="s">
        <v>1405</v>
      </c>
      <c r="F91" s="1298">
        <f t="shared" ref="F91:L91" si="6">F92+F97</f>
        <v>-2079841945</v>
      </c>
      <c r="G91" s="1298">
        <f t="shared" si="6"/>
        <v>68109892699</v>
      </c>
      <c r="H91" s="1298">
        <f t="shared" si="6"/>
        <v>68574419310</v>
      </c>
      <c r="I91" s="1298">
        <f t="shared" si="6"/>
        <v>69007965130</v>
      </c>
      <c r="J91" s="1298">
        <f t="shared" si="6"/>
        <v>-486192626</v>
      </c>
      <c r="K91" s="1298">
        <f t="shared" si="6"/>
        <v>-2329330151</v>
      </c>
      <c r="L91" s="1299">
        <f t="shared" si="6"/>
        <v>-2965409032</v>
      </c>
    </row>
    <row r="92" spans="2:16" s="952" customFormat="1" ht="18" customHeight="1">
      <c r="B92" s="509"/>
      <c r="C92" s="509"/>
      <c r="D92" s="1304" t="s">
        <v>1406</v>
      </c>
      <c r="E92" s="1307" t="s">
        <v>1442</v>
      </c>
      <c r="F92" s="1306">
        <f>SUM(F93:F96)</f>
        <v>2468977</v>
      </c>
      <c r="G92" s="1306">
        <f t="shared" ref="G92:L92" si="7">SUM(G93:G96)</f>
        <v>70000001417</v>
      </c>
      <c r="H92" s="1306">
        <f t="shared" si="7"/>
        <v>70000001417</v>
      </c>
      <c r="I92" s="1306">
        <f t="shared" si="7"/>
        <v>70000001417</v>
      </c>
      <c r="J92" s="1306">
        <f t="shared" si="7"/>
        <v>0</v>
      </c>
      <c r="K92" s="1306">
        <f t="shared" si="7"/>
        <v>0</v>
      </c>
      <c r="L92" s="1320">
        <f t="shared" si="7"/>
        <v>0</v>
      </c>
      <c r="M92" s="509"/>
    </row>
    <row r="93" spans="2:16" s="952" customFormat="1" ht="18" customHeight="1">
      <c r="D93" s="1311" t="s">
        <v>1407</v>
      </c>
      <c r="E93" s="1312" t="s">
        <v>532</v>
      </c>
      <c r="F93" s="1313">
        <f>ROUND(SUMIF(CF.1!$F:$F,'CF(공)_1.0'!E93,CF.1!$U:$U),0)</f>
        <v>0</v>
      </c>
      <c r="G93" s="1313">
        <v>0</v>
      </c>
      <c r="H93" s="1313">
        <v>0</v>
      </c>
      <c r="I93" s="1313">
        <v>0</v>
      </c>
      <c r="J93" s="1313">
        <v>0</v>
      </c>
      <c r="K93" s="1313">
        <v>0</v>
      </c>
      <c r="L93" s="1887">
        <v>0</v>
      </c>
    </row>
    <row r="94" spans="2:16" s="952" customFormat="1" ht="18" customHeight="1">
      <c r="D94" s="1311" t="s">
        <v>2556</v>
      </c>
      <c r="E94" s="1312" t="s">
        <v>2555</v>
      </c>
      <c r="F94" s="1313">
        <f>ROUND(SUMIF(CF.1!$F:$F,'CF(공)_1.0'!E94,CF.1!$U:$U),0)</f>
        <v>0</v>
      </c>
      <c r="G94" s="1313">
        <v>70000001417</v>
      </c>
      <c r="H94" s="1313">
        <v>70000001417</v>
      </c>
      <c r="I94" s="1313">
        <v>70000001417</v>
      </c>
      <c r="J94" s="1313">
        <v>0</v>
      </c>
      <c r="K94" s="1313">
        <v>0</v>
      </c>
      <c r="L94" s="1887">
        <v>0</v>
      </c>
    </row>
    <row r="95" spans="2:16" s="952" customFormat="1" ht="18" customHeight="1">
      <c r="D95" s="1311" t="s">
        <v>1771</v>
      </c>
      <c r="E95" s="1312" t="s">
        <v>1243</v>
      </c>
      <c r="F95" s="1313">
        <f>ROUND(SUMIF(CF.1!$F:$F,'CF(공)_1.0'!E95,CF.1!$U:$U),0)</f>
        <v>0</v>
      </c>
      <c r="G95" s="1313">
        <v>0</v>
      </c>
      <c r="H95" s="1313">
        <v>0</v>
      </c>
      <c r="I95" s="1313">
        <v>0</v>
      </c>
      <c r="J95" s="1310">
        <v>0</v>
      </c>
      <c r="K95" s="1313">
        <v>0</v>
      </c>
      <c r="L95" s="1887">
        <v>0</v>
      </c>
    </row>
    <row r="96" spans="2:16" s="952" customFormat="1" ht="18" customHeight="1">
      <c r="D96" s="1882" t="s">
        <v>2889</v>
      </c>
      <c r="E96" s="1880" t="s">
        <v>1259</v>
      </c>
      <c r="F96" s="1881">
        <f>ROUND(SUMIF(CF.1!$F:$F,'CF(공)_1.0'!E96,CF.1!$U:$U),0)</f>
        <v>2468977</v>
      </c>
      <c r="G96" s="1881">
        <v>0</v>
      </c>
      <c r="H96" s="1881">
        <v>0</v>
      </c>
      <c r="I96" s="1881">
        <v>0</v>
      </c>
      <c r="J96" s="1881">
        <v>0</v>
      </c>
      <c r="K96" s="1881">
        <v>0</v>
      </c>
      <c r="L96" s="1891">
        <v>0</v>
      </c>
    </row>
    <row r="97" spans="2:13" ht="18" customHeight="1">
      <c r="B97" s="952"/>
      <c r="C97" s="952"/>
      <c r="D97" s="1304" t="s">
        <v>1408</v>
      </c>
      <c r="E97" s="1307" t="s">
        <v>1443</v>
      </c>
      <c r="F97" s="1306">
        <f t="shared" ref="F97:L97" si="8">SUM(F98:F101)</f>
        <v>-2082310922</v>
      </c>
      <c r="G97" s="1306">
        <f t="shared" si="8"/>
        <v>-1890108718</v>
      </c>
      <c r="H97" s="1306">
        <f t="shared" si="8"/>
        <v>-1425582107</v>
      </c>
      <c r="I97" s="1306">
        <f t="shared" si="8"/>
        <v>-992036287</v>
      </c>
      <c r="J97" s="1306">
        <f t="shared" si="8"/>
        <v>-486192626</v>
      </c>
      <c r="K97" s="1306">
        <f t="shared" si="8"/>
        <v>-2329330151</v>
      </c>
      <c r="L97" s="1320">
        <f t="shared" si="8"/>
        <v>-2965409032</v>
      </c>
      <c r="M97" s="952"/>
    </row>
    <row r="98" spans="2:13" ht="18" customHeight="1">
      <c r="D98" s="1308" t="s">
        <v>1409</v>
      </c>
      <c r="E98" s="1309" t="s">
        <v>1295</v>
      </c>
      <c r="F98" s="1310">
        <f>ROUND(SUMIF(CF.1!$F:$F,'CF(공)_1.0'!E98,CF.1!$U:$U),0)</f>
        <v>0</v>
      </c>
      <c r="G98" s="1310">
        <v>0</v>
      </c>
      <c r="H98" s="1838">
        <v>0</v>
      </c>
      <c r="I98" s="1310">
        <v>0</v>
      </c>
      <c r="J98" s="1310">
        <v>0</v>
      </c>
      <c r="K98" s="1310">
        <v>0</v>
      </c>
      <c r="L98" s="1888">
        <v>0</v>
      </c>
    </row>
    <row r="99" spans="2:13" ht="18" customHeight="1">
      <c r="D99" s="1308" t="s">
        <v>1475</v>
      </c>
      <c r="E99" s="1309" t="s">
        <v>1281</v>
      </c>
      <c r="F99" s="1310">
        <f>ROUND(SUMIF(CF.1!$F:$F,'CF(공)_1.0'!E99,CF.1!$U:$U),0)</f>
        <v>0</v>
      </c>
      <c r="G99" s="1310">
        <v>0</v>
      </c>
      <c r="H99" s="1838">
        <v>0</v>
      </c>
      <c r="I99" s="1310">
        <v>0</v>
      </c>
      <c r="J99" s="1310">
        <v>0</v>
      </c>
      <c r="K99" s="1310">
        <v>0</v>
      </c>
      <c r="L99" s="1888">
        <v>-465735790</v>
      </c>
    </row>
    <row r="100" spans="2:13" ht="18" customHeight="1">
      <c r="D100" s="1308" t="s">
        <v>2552</v>
      </c>
      <c r="E100" s="1309" t="s">
        <v>2553</v>
      </c>
      <c r="F100" s="1310">
        <f>ROUND(SUMIF(CF.1!$F:$F,'CF(공)_1.0'!E100,CF.1!$U:$U),0)</f>
        <v>-2082310922</v>
      </c>
      <c r="G100" s="1310">
        <v>-1890108718</v>
      </c>
      <c r="H100" s="1838">
        <v>-1425582107</v>
      </c>
      <c r="I100" s="1310">
        <v>-992036287</v>
      </c>
      <c r="J100" s="1310">
        <v>-486192626</v>
      </c>
      <c r="K100" s="1310">
        <v>-2329330151</v>
      </c>
      <c r="L100" s="1888">
        <v>-2491608053</v>
      </c>
    </row>
    <row r="101" spans="2:13" ht="18" customHeight="1">
      <c r="D101" s="1308" t="s">
        <v>1681</v>
      </c>
      <c r="E101" s="1309" t="s">
        <v>1313</v>
      </c>
      <c r="F101" s="1310">
        <f>ROUND(SUMIF(CF.1!$F:$F,'CF(공)_1.0'!E101,CF.1!$U:$U),0)</f>
        <v>0</v>
      </c>
      <c r="G101" s="1310">
        <v>0</v>
      </c>
      <c r="H101" s="1838">
        <v>0</v>
      </c>
      <c r="I101" s="1310">
        <v>0</v>
      </c>
      <c r="J101" s="1310">
        <v>0</v>
      </c>
      <c r="K101" s="1310">
        <v>0</v>
      </c>
      <c r="L101" s="1888">
        <v>-8065189</v>
      </c>
    </row>
    <row r="102" spans="2:13" ht="18" customHeight="1">
      <c r="D102" s="1296" t="s">
        <v>1410</v>
      </c>
      <c r="E102" s="1297" t="s">
        <v>1410</v>
      </c>
      <c r="F102" s="1298">
        <f t="shared" ref="F102:L102" si="9">F91+F66+F5</f>
        <v>6777030753</v>
      </c>
      <c r="G102" s="1298">
        <f t="shared" si="9"/>
        <v>33650586680</v>
      </c>
      <c r="H102" s="1298">
        <f t="shared" si="9"/>
        <v>43652587368</v>
      </c>
      <c r="I102" s="1298">
        <f t="shared" si="9"/>
        <v>59510815438</v>
      </c>
      <c r="J102" s="1298">
        <f t="shared" si="9"/>
        <v>-22439764147</v>
      </c>
      <c r="K102" s="1298">
        <f t="shared" si="9"/>
        <v>10423011723</v>
      </c>
      <c r="L102" s="1299">
        <f t="shared" si="9"/>
        <v>-6949094449</v>
      </c>
    </row>
    <row r="103" spans="2:13" ht="18" customHeight="1">
      <c r="D103" s="1296" t="s">
        <v>1411</v>
      </c>
      <c r="E103" s="1297" t="s">
        <v>1411</v>
      </c>
      <c r="F103" s="1298">
        <f>T_BS!AG8</f>
        <v>132018644520</v>
      </c>
      <c r="G103" s="1298">
        <v>97271207132</v>
      </c>
      <c r="H103" s="1298">
        <v>97271207132</v>
      </c>
      <c r="I103" s="1298">
        <v>97271207132</v>
      </c>
      <c r="J103" s="1298">
        <v>97271207132</v>
      </c>
      <c r="K103" s="1298">
        <v>88901392676</v>
      </c>
      <c r="L103" s="1299">
        <v>95653360723</v>
      </c>
    </row>
    <row r="104" spans="2:13" ht="18" customHeight="1">
      <c r="D104" s="1296" t="s">
        <v>1412</v>
      </c>
      <c r="E104" s="1323" t="s">
        <v>1412</v>
      </c>
      <c r="F104" s="1298">
        <f>CF.1!U345</f>
        <v>1334300764</v>
      </c>
      <c r="G104" s="1298">
        <v>1096850708</v>
      </c>
      <c r="H104" s="1298">
        <v>1995338151</v>
      </c>
      <c r="I104" s="1298">
        <v>927376871</v>
      </c>
      <c r="J104" s="1298">
        <v>1078713447</v>
      </c>
      <c r="K104" s="1298">
        <v>-2053197267</v>
      </c>
      <c r="L104" s="1299">
        <v>197126402</v>
      </c>
    </row>
    <row r="105" spans="2:13" ht="18" customHeight="1" thickBot="1">
      <c r="D105" s="1324" t="s">
        <v>1413</v>
      </c>
      <c r="E105" s="1325" t="s">
        <v>1413</v>
      </c>
      <c r="F105" s="1326">
        <f t="shared" ref="F105:L105" si="10">SUM(F102:F104)</f>
        <v>140129976037</v>
      </c>
      <c r="G105" s="1326">
        <f t="shared" si="10"/>
        <v>132018644520</v>
      </c>
      <c r="H105" s="1326">
        <f t="shared" si="10"/>
        <v>142919132651</v>
      </c>
      <c r="I105" s="1326">
        <f t="shared" si="10"/>
        <v>157709399441</v>
      </c>
      <c r="J105" s="1326">
        <f t="shared" si="10"/>
        <v>75910156432</v>
      </c>
      <c r="K105" s="1326">
        <f t="shared" si="10"/>
        <v>97271207132</v>
      </c>
      <c r="L105" s="1327">
        <f t="shared" si="10"/>
        <v>88901392676</v>
      </c>
    </row>
    <row r="106" spans="2:13" ht="18" customHeight="1">
      <c r="F106" s="840" t="b">
        <f>CF.1!U355=F105</f>
        <v>0</v>
      </c>
      <c r="G106" s="540"/>
    </row>
    <row r="107" spans="2:13" ht="18" customHeight="1">
      <c r="F107" s="840" t="b">
        <f>F105=T_BS!X8</f>
        <v>0</v>
      </c>
      <c r="G107" s="540" t="b">
        <f>G105=T_BS!AG8</f>
        <v>1</v>
      </c>
      <c r="H107" s="540" t="b">
        <f>H105=T_BS!AI8</f>
        <v>1</v>
      </c>
      <c r="I107" s="540" t="b">
        <f>I105=T_BS!AJ8</f>
        <v>1</v>
      </c>
      <c r="J107" s="540" t="b">
        <f>J105=T_BS!AK8</f>
        <v>1</v>
      </c>
    </row>
    <row r="109" spans="2:13" ht="18" customHeight="1">
      <c r="F109" s="509">
        <f>CF.1!U355-F105</f>
        <v>10112258260</v>
      </c>
    </row>
  </sheetData>
  <autoFilter ref="D4:L107"/>
  <phoneticPr fontId="21" type="noConversion"/>
  <pageMargins left="0.7" right="0.7" top="0.75" bottom="0.75" header="0.3" footer="0.3"/>
  <pageSetup paperSize="9" orientation="portrait" r:id="rId1"/>
  <ignoredErrors>
    <ignoredError sqref="K5:L7 G50:H50 I50:J50 I5:J5 K9:L10 K72:L76 K12:L14 K50:L64 G5:H5 K66:L70 G93:K103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theme="5" tint="0.39997558519241921"/>
  </sheetPr>
  <dimension ref="D3:J86"/>
  <sheetViews>
    <sheetView showGridLines="0" zoomScale="85" zoomScaleNormal="85" workbookViewId="0">
      <pane xSplit="4" ySplit="4" topLeftCell="E5" activePane="bottomRight" state="frozen"/>
      <selection activeCell="J21" sqref="J21"/>
      <selection pane="topRight" activeCell="J21" sqref="J21"/>
      <selection pane="bottomLeft" activeCell="J21" sqref="J21"/>
      <selection pane="bottomRight" activeCell="K18" sqref="K18"/>
    </sheetView>
  </sheetViews>
  <sheetFormatPr defaultColWidth="8.75" defaultRowHeight="18" customHeight="1"/>
  <cols>
    <col min="1" max="3" width="2.375" style="3" customWidth="1"/>
    <col min="4" max="4" width="35.875" style="3" bestFit="1" customWidth="1"/>
    <col min="5" max="5" width="35.875" style="3" customWidth="1"/>
    <col min="6" max="9" width="22.25" style="5" customWidth="1"/>
    <col min="10" max="10" width="15.625" style="3" bestFit="1" customWidth="1"/>
    <col min="11" max="12" width="14.375" style="3" customWidth="1"/>
    <col min="13" max="16384" width="8.75" style="3"/>
  </cols>
  <sheetData>
    <row r="3" spans="4:10" s="2" customFormat="1" ht="18" customHeight="1" thickBot="1">
      <c r="F3" s="4"/>
      <c r="G3" s="145" t="e">
        <f>'BS(공)'!G8=G84</f>
        <v>#REF!</v>
      </c>
      <c r="H3" s="4"/>
      <c r="I3" s="4"/>
    </row>
    <row r="4" spans="4:10" ht="18" customHeight="1">
      <c r="D4" s="146" t="s">
        <v>1476</v>
      </c>
      <c r="E4" s="147" t="s">
        <v>17</v>
      </c>
      <c r="F4" s="2096" t="s">
        <v>1884</v>
      </c>
      <c r="G4" s="2097"/>
      <c r="H4" s="2096" t="s">
        <v>1769</v>
      </c>
      <c r="I4" s="2098"/>
    </row>
    <row r="5" spans="4:10" s="2" customFormat="1" ht="18" customHeight="1">
      <c r="D5" s="148" t="s">
        <v>1391</v>
      </c>
      <c r="E5" s="149"/>
      <c r="F5" s="150"/>
      <c r="G5" s="150" t="e">
        <f>SUM(F6,F50:F52)</f>
        <v>#REF!</v>
      </c>
      <c r="H5" s="150"/>
      <c r="I5" s="151">
        <f>SUM(H6,H50:H52)</f>
        <v>13641616776</v>
      </c>
      <c r="J5" s="4"/>
    </row>
    <row r="6" spans="4:10" s="2" customFormat="1" ht="18" customHeight="1">
      <c r="D6" s="152" t="s">
        <v>1392</v>
      </c>
      <c r="E6" s="153"/>
      <c r="F6" s="154">
        <f>SUM(F7:F8,F39)</f>
        <v>56346070977</v>
      </c>
      <c r="G6" s="154"/>
      <c r="H6" s="154">
        <f>SUM(H7:H8,H39)</f>
        <v>13994440937</v>
      </c>
      <c r="I6" s="155"/>
    </row>
    <row r="7" spans="4:10" s="2" customFormat="1" ht="18" customHeight="1">
      <c r="D7" s="156" t="s">
        <v>1770</v>
      </c>
      <c r="E7" s="157"/>
      <c r="F7" s="158">
        <f>'CF(공)_1.0'!F7</f>
        <v>46029036772</v>
      </c>
      <c r="G7" s="158"/>
      <c r="H7" s="158">
        <v>-21314253571</v>
      </c>
      <c r="I7" s="159"/>
      <c r="J7" s="2" t="b">
        <f>'IS(공)'!H19=F7</f>
        <v>0</v>
      </c>
    </row>
    <row r="8" spans="4:10" s="2" customFormat="1" ht="18" customHeight="1">
      <c r="D8" s="156" t="s">
        <v>1477</v>
      </c>
      <c r="E8" s="157"/>
      <c r="F8" s="158">
        <f>SUM(F9:F38)</f>
        <v>3750254867</v>
      </c>
      <c r="G8" s="158"/>
      <c r="H8" s="158">
        <f>SUM(H9:H38)</f>
        <v>30137381117</v>
      </c>
      <c r="I8" s="159"/>
      <c r="J8" s="4">
        <f>F8-'CF(공)_1.0'!F8</f>
        <v>42319907807</v>
      </c>
    </row>
    <row r="9" spans="4:10" ht="18" customHeight="1">
      <c r="D9" s="160" t="s">
        <v>380</v>
      </c>
      <c r="E9" s="161" t="s">
        <v>380</v>
      </c>
      <c r="F9" s="162">
        <f>ROUND(SUMIF('CF(공)_1.0'!$E:$E,'CF(공)_2.0'!E9,'CF(공)_1.0'!$F:$F),0)</f>
        <v>315254908</v>
      </c>
      <c r="G9" s="162"/>
      <c r="H9" s="162">
        <v>727208752</v>
      </c>
      <c r="I9" s="163"/>
    </row>
    <row r="10" spans="4:10" ht="18" customHeight="1">
      <c r="D10" s="160" t="s">
        <v>262</v>
      </c>
      <c r="E10" s="161" t="s">
        <v>262</v>
      </c>
      <c r="F10" s="162">
        <f>ROUND(SUMIF('CF(공)_1.0'!$E:$E,'CF(공)_2.0'!E10,'CF(공)_1.0'!$F:$F),0)</f>
        <v>1438114849</v>
      </c>
      <c r="G10" s="162"/>
      <c r="H10" s="162">
        <v>903714587</v>
      </c>
      <c r="I10" s="163"/>
    </row>
    <row r="11" spans="4:10" ht="18" customHeight="1">
      <c r="D11" s="160" t="s">
        <v>488</v>
      </c>
      <c r="E11" s="161" t="s">
        <v>488</v>
      </c>
      <c r="F11" s="162">
        <f>ROUND(SUMIF('CF(공)_1.0'!$E:$E,'CF(공)_2.0'!E11,'CF(공)_1.0'!$F:$F),0)</f>
        <v>3181367765</v>
      </c>
      <c r="G11" s="162"/>
      <c r="H11" s="162">
        <v>968110787</v>
      </c>
      <c r="I11" s="163"/>
    </row>
    <row r="12" spans="4:10" ht="18" customHeight="1">
      <c r="D12" s="160" t="s">
        <v>386</v>
      </c>
      <c r="E12" s="161" t="s">
        <v>386</v>
      </c>
      <c r="F12" s="162">
        <f>ROUND(SUMIF('CF(공)_1.0'!$E:$E,'CF(공)_2.0'!E12,'CF(공)_1.0'!$F:$F),0)</f>
        <v>2714238500</v>
      </c>
      <c r="G12" s="162"/>
      <c r="H12" s="162">
        <v>6624197748</v>
      </c>
      <c r="I12" s="163"/>
    </row>
    <row r="13" spans="4:10" ht="18" customHeight="1">
      <c r="D13" s="160" t="s">
        <v>758</v>
      </c>
      <c r="E13" s="161" t="s">
        <v>758</v>
      </c>
      <c r="F13" s="162">
        <f>ROUND(SUMIF('CF(공)_1.0'!$E:$E,'CF(공)_2.0'!E13,'CF(공)_1.0'!$F:$F),0)</f>
        <v>-56133700</v>
      </c>
      <c r="G13" s="162"/>
      <c r="H13" s="162">
        <v>0</v>
      </c>
      <c r="I13" s="163"/>
    </row>
    <row r="14" spans="4:10" ht="18" customHeight="1">
      <c r="D14" s="160" t="s">
        <v>1416</v>
      </c>
      <c r="E14" s="161" t="s">
        <v>1416</v>
      </c>
      <c r="F14" s="162">
        <f>ROUND(SUMIF('CF(공)_1.0'!$E:$E,'CF(공)_2.0'!E14,'CF(공)_1.0'!$F:$F),0)</f>
        <v>11147782</v>
      </c>
      <c r="G14" s="162"/>
      <c r="H14" s="162">
        <v>650257159</v>
      </c>
      <c r="I14" s="163"/>
    </row>
    <row r="15" spans="4:10" ht="18" customHeight="1">
      <c r="D15" s="160" t="s">
        <v>1768</v>
      </c>
      <c r="E15" s="161" t="s">
        <v>1768</v>
      </c>
      <c r="F15" s="162">
        <f>ROUND(SUMIF('CF(공)_1.0'!$E:$E,'CF(공)_2.0'!E15,'CF(공)_1.0'!$F:$F),0)</f>
        <v>0</v>
      </c>
      <c r="G15" s="162"/>
      <c r="H15" s="162">
        <v>0</v>
      </c>
      <c r="I15" s="163"/>
    </row>
    <row r="16" spans="4:10" ht="18" customHeight="1">
      <c r="D16" s="160" t="s">
        <v>1414</v>
      </c>
      <c r="E16" s="161" t="s">
        <v>1414</v>
      </c>
      <c r="F16" s="162">
        <f>ROUND(SUMIF('CF(공)_1.0'!$E:$E,'CF(공)_2.0'!E16,'CF(공)_1.0'!$F:$F),0)</f>
        <v>0</v>
      </c>
      <c r="G16" s="162"/>
      <c r="H16" s="162">
        <v>0</v>
      </c>
      <c r="I16" s="163"/>
    </row>
    <row r="17" spans="4:9" ht="18" customHeight="1">
      <c r="D17" s="160" t="s">
        <v>1415</v>
      </c>
      <c r="E17" s="161" t="s">
        <v>1415</v>
      </c>
      <c r="F17" s="162">
        <f>ROUND(SUMIF('CF(공)_1.0'!$E:$E,'CF(공)_2.0'!E17,'CF(공)_1.0'!$F:$F),0)</f>
        <v>0</v>
      </c>
      <c r="G17" s="162"/>
      <c r="H17" s="162">
        <v>0</v>
      </c>
      <c r="I17" s="163"/>
    </row>
    <row r="18" spans="4:9" ht="18" customHeight="1">
      <c r="D18" s="160" t="s">
        <v>1417</v>
      </c>
      <c r="E18" s="161" t="s">
        <v>1417</v>
      </c>
      <c r="F18" s="162">
        <f>ROUND(SUMIF('CF(공)_1.0'!$E:$E,'CF(공)_2.0'!E18,'CF(공)_1.0'!$F:$F),0)</f>
        <v>7476589</v>
      </c>
      <c r="G18" s="162"/>
      <c r="H18" s="162">
        <v>7832710</v>
      </c>
      <c r="I18" s="163"/>
    </row>
    <row r="19" spans="4:9" ht="18" customHeight="1">
      <c r="D19" s="160" t="s">
        <v>1733</v>
      </c>
      <c r="E19" s="161" t="s">
        <v>1733</v>
      </c>
      <c r="F19" s="162">
        <f>ROUND(SUMIF('CF(공)_1.0'!$E:$E,'CF(공)_2.0'!E19,'CF(공)_1.0'!$F:$F),0)</f>
        <v>0</v>
      </c>
      <c r="G19" s="162"/>
      <c r="H19" s="162">
        <v>0</v>
      </c>
      <c r="I19" s="163"/>
    </row>
    <row r="20" spans="4:9" ht="18" customHeight="1">
      <c r="D20" s="160" t="s">
        <v>738</v>
      </c>
      <c r="E20" s="161" t="s">
        <v>738</v>
      </c>
      <c r="F20" s="162">
        <f>ROUND(SUMIF('CF(공)_1.0'!$E:$E,'CF(공)_2.0'!E20,'CF(공)_1.0'!$F:$F),0)</f>
        <v>0</v>
      </c>
      <c r="G20" s="162"/>
      <c r="H20" s="162">
        <v>3018808147</v>
      </c>
      <c r="I20" s="163"/>
    </row>
    <row r="21" spans="4:9" ht="18" customHeight="1">
      <c r="D21" s="160" t="s">
        <v>681</v>
      </c>
      <c r="E21" s="161" t="s">
        <v>681</v>
      </c>
      <c r="F21" s="162">
        <f>ROUND(SUMIF('CF(공)_1.0'!$E:$E,'CF(공)_2.0'!E21,'CF(공)_1.0'!$F:$F),0)</f>
        <v>195958275</v>
      </c>
      <c r="G21" s="162"/>
      <c r="H21" s="162">
        <v>421425170</v>
      </c>
      <c r="I21" s="163"/>
    </row>
    <row r="22" spans="4:9" ht="18" customHeight="1">
      <c r="D22" s="160" t="s">
        <v>683</v>
      </c>
      <c r="E22" s="161" t="s">
        <v>683</v>
      </c>
      <c r="F22" s="162">
        <f>ROUND(SUMIF('CF(공)_1.0'!$E:$E,'CF(공)_2.0'!E22,'CF(공)_1.0'!$F:$F),0)</f>
        <v>103356804</v>
      </c>
      <c r="G22" s="162"/>
      <c r="H22" s="162">
        <v>120370359</v>
      </c>
      <c r="I22" s="163"/>
    </row>
    <row r="23" spans="4:9" ht="18" customHeight="1">
      <c r="D23" s="160" t="s">
        <v>732</v>
      </c>
      <c r="E23" s="161" t="s">
        <v>732</v>
      </c>
      <c r="F23" s="162">
        <f>ROUND(SUMIF('CF(공)_1.0'!$E:$E,'CF(공)_2.0'!E23,'CF(공)_1.0'!$F:$F),0)</f>
        <v>62881122</v>
      </c>
      <c r="G23" s="162"/>
      <c r="H23" s="162">
        <v>0</v>
      </c>
      <c r="I23" s="163"/>
    </row>
    <row r="24" spans="4:9" ht="18" customHeight="1">
      <c r="D24" s="160" t="s">
        <v>734</v>
      </c>
      <c r="E24" s="161" t="s">
        <v>734</v>
      </c>
      <c r="F24" s="162">
        <f>ROUND(SUMIF('CF(공)_1.0'!$E:$E,'CF(공)_2.0'!E24,'CF(공)_1.0'!$F:$F),0)</f>
        <v>216671</v>
      </c>
      <c r="G24" s="162"/>
      <c r="H24" s="162">
        <v>0</v>
      </c>
      <c r="I24" s="163"/>
    </row>
    <row r="25" spans="4:9" ht="18" customHeight="1">
      <c r="D25" s="160" t="s">
        <v>686</v>
      </c>
      <c r="E25" s="161" t="s">
        <v>686</v>
      </c>
      <c r="F25" s="162">
        <f>ROUND(SUMIF('CF(공)_1.0'!$E:$E,'CF(공)_2.0'!E25,'CF(공)_1.0'!$F:$F),0)</f>
        <v>242686686</v>
      </c>
      <c r="G25" s="162"/>
      <c r="H25" s="162">
        <v>18961996554</v>
      </c>
      <c r="I25" s="163"/>
    </row>
    <row r="26" spans="4:9" ht="18" customHeight="1">
      <c r="D26" s="160" t="s">
        <v>481</v>
      </c>
      <c r="E26" s="161" t="s">
        <v>481</v>
      </c>
      <c r="F26" s="162">
        <f>ROUND(SUMIF('CF(공)_1.0'!$E:$E,'CF(공)_2.0'!E26,'CF(공)_1.0'!$F:$F),0)</f>
        <v>0</v>
      </c>
      <c r="G26" s="162"/>
      <c r="H26" s="162">
        <v>27763957</v>
      </c>
      <c r="I26" s="163"/>
    </row>
    <row r="27" spans="4:9" ht="18" customHeight="1">
      <c r="D27" s="160" t="s">
        <v>687</v>
      </c>
      <c r="E27" s="161" t="s">
        <v>687</v>
      </c>
      <c r="F27" s="162">
        <f>ROUND(SUMIF('CF(공)_1.0'!$E:$E,'CF(공)_2.0'!E27,'CF(공)_1.0'!$F:$F),0)</f>
        <v>0</v>
      </c>
      <c r="G27" s="162"/>
      <c r="H27" s="162">
        <v>8137014</v>
      </c>
      <c r="I27" s="163"/>
    </row>
    <row r="28" spans="4:9" ht="18" customHeight="1">
      <c r="D28" s="160" t="s">
        <v>673</v>
      </c>
      <c r="E28" s="161" t="s">
        <v>673</v>
      </c>
      <c r="F28" s="162">
        <f>ROUND(SUMIF('CF(공)_1.0'!$E:$E,'CF(공)_2.0'!E28,'CF(공)_1.0'!$F:$F),0)</f>
        <v>-1666986895</v>
      </c>
      <c r="G28" s="162"/>
      <c r="H28" s="162">
        <v>-924728239</v>
      </c>
      <c r="I28" s="163"/>
    </row>
    <row r="29" spans="4:9" ht="18" customHeight="1">
      <c r="D29" s="160" t="s">
        <v>675</v>
      </c>
      <c r="E29" s="161" t="s">
        <v>675</v>
      </c>
      <c r="F29" s="162">
        <f>ROUND(SUMIF('CF(공)_1.0'!$E:$E,'CF(공)_2.0'!E29,'CF(공)_1.0'!$F:$F),0)</f>
        <v>-1557307639</v>
      </c>
      <c r="G29" s="162"/>
      <c r="H29" s="162">
        <v>-336870792</v>
      </c>
      <c r="I29" s="163"/>
    </row>
    <row r="30" spans="4:9" ht="18" customHeight="1">
      <c r="D30" s="160" t="s">
        <v>881</v>
      </c>
      <c r="E30" s="161" t="s">
        <v>881</v>
      </c>
      <c r="F30" s="162">
        <f>ROUND(SUMIF('CF(공)_1.0'!$E:$E,'CF(공)_2.0'!E30,'CF(공)_1.0'!$F:$F),0)</f>
        <v>0</v>
      </c>
      <c r="G30" s="162"/>
      <c r="H30" s="162">
        <v>0</v>
      </c>
      <c r="I30" s="163"/>
    </row>
    <row r="31" spans="4:9" ht="18" customHeight="1">
      <c r="D31" s="160" t="s">
        <v>1418</v>
      </c>
      <c r="E31" s="161" t="s">
        <v>1418</v>
      </c>
      <c r="F31" s="162">
        <f>ROUND(SUMIF('CF(공)_1.0'!$E:$E,'CF(공)_2.0'!E31,'CF(공)_1.0'!$F:$F),0)</f>
        <v>0</v>
      </c>
      <c r="G31" s="162"/>
      <c r="H31" s="162">
        <v>-46435516</v>
      </c>
      <c r="I31" s="163"/>
    </row>
    <row r="32" spans="4:9" ht="18" customHeight="1">
      <c r="D32" s="160" t="s">
        <v>1419</v>
      </c>
      <c r="E32" s="161" t="s">
        <v>1419</v>
      </c>
      <c r="F32" s="162">
        <f>ROUND(SUMIF('CF(공)_1.0'!$E:$E,'CF(공)_2.0'!E32,'CF(공)_1.0'!$F:$F),0)</f>
        <v>-3510625687</v>
      </c>
      <c r="G32" s="162"/>
      <c r="H32" s="162">
        <v>-3474243</v>
      </c>
      <c r="I32" s="163"/>
    </row>
    <row r="33" spans="4:9" ht="18" customHeight="1">
      <c r="D33" s="160" t="s">
        <v>1420</v>
      </c>
      <c r="E33" s="161" t="s">
        <v>1420</v>
      </c>
      <c r="F33" s="162">
        <f>ROUND(SUMIF('CF(공)_1.0'!$E:$E,'CF(공)_2.0'!E33,'CF(공)_1.0'!$F:$F),0)</f>
        <v>2394018200</v>
      </c>
      <c r="G33" s="162"/>
      <c r="H33" s="162">
        <v>21976536</v>
      </c>
      <c r="I33" s="163"/>
    </row>
    <row r="34" spans="4:9" ht="18" customHeight="1">
      <c r="D34" s="160" t="s">
        <v>678</v>
      </c>
      <c r="E34" s="161" t="s">
        <v>678</v>
      </c>
      <c r="F34" s="162">
        <f>ROUND(SUMIF('CF(공)_1.0'!$E:$E,'CF(공)_2.0'!E34,'CF(공)_1.0'!$F:$F),0)</f>
        <v>-63636363</v>
      </c>
      <c r="G34" s="162"/>
      <c r="H34" s="162">
        <v>-6012061</v>
      </c>
      <c r="I34" s="163"/>
    </row>
    <row r="35" spans="4:9" ht="18" customHeight="1">
      <c r="D35" s="160" t="s">
        <v>679</v>
      </c>
      <c r="E35" s="161" t="s">
        <v>679</v>
      </c>
      <c r="F35" s="162">
        <f>ROUND(SUMIF('CF(공)_1.0'!$E:$E,'CF(공)_2.0'!E35,'CF(공)_1.0'!$F:$F),0)</f>
        <v>0</v>
      </c>
      <c r="G35" s="162"/>
      <c r="H35" s="162">
        <v>-6897512</v>
      </c>
      <c r="I35" s="163"/>
    </row>
    <row r="36" spans="4:9" ht="18" customHeight="1">
      <c r="D36" s="160" t="s">
        <v>1731</v>
      </c>
      <c r="E36" s="161" t="s">
        <v>1731</v>
      </c>
      <c r="F36" s="162">
        <f>ROUND(SUMIF('CF(공)_1.0'!$E:$E,'CF(공)_2.0'!E36,'CF(공)_1.0'!$F:$F),0)</f>
        <v>0</v>
      </c>
      <c r="G36" s="162"/>
      <c r="H36" s="162">
        <v>0</v>
      </c>
      <c r="I36" s="163"/>
    </row>
    <row r="37" spans="4:9" ht="18" customHeight="1">
      <c r="D37" s="160" t="s">
        <v>1471</v>
      </c>
      <c r="E37" s="161" t="s">
        <v>1471</v>
      </c>
      <c r="F37" s="162">
        <f>ROUND(SUMIF('CF(공)_1.0'!$E:$E,'CF(공)_2.0'!E37,'CF(공)_1.0'!$F:$F),0)</f>
        <v>0</v>
      </c>
      <c r="G37" s="162"/>
      <c r="H37" s="162">
        <v>0</v>
      </c>
      <c r="I37" s="163"/>
    </row>
    <row r="38" spans="4:9" ht="18" customHeight="1">
      <c r="D38" s="160" t="s">
        <v>1883</v>
      </c>
      <c r="E38" s="161" t="s">
        <v>901</v>
      </c>
      <c r="F38" s="162">
        <f>ROUND(SUMIF('CF(공)_1.0'!$E:$E,'CF(공)_2.0'!E38,'CF(공)_1.0'!$F:$F),0)</f>
        <v>-61773000</v>
      </c>
      <c r="G38" s="162"/>
      <c r="H38" s="162">
        <v>-1000000000</v>
      </c>
      <c r="I38" s="163"/>
    </row>
    <row r="39" spans="4:9" s="2" customFormat="1" ht="18" customHeight="1">
      <c r="D39" s="156" t="s">
        <v>1421</v>
      </c>
      <c r="E39" s="157"/>
      <c r="F39" s="158">
        <f>SUM(F40:F49)</f>
        <v>6566779338</v>
      </c>
      <c r="G39" s="158"/>
      <c r="H39" s="158">
        <f>SUM(H40:H49)</f>
        <v>5171313391</v>
      </c>
      <c r="I39" s="159"/>
    </row>
    <row r="40" spans="4:9" ht="18" customHeight="1">
      <c r="D40" s="160" t="s">
        <v>1422</v>
      </c>
      <c r="E40" s="161" t="s">
        <v>1422</v>
      </c>
      <c r="F40" s="162">
        <f>ROUND(SUMIF('CF(공)_1.0'!$E:$E,'CF(공)_2.0'!E40,'CF(공)_1.0'!$F:$F),0)</f>
        <v>0</v>
      </c>
      <c r="G40" s="162"/>
      <c r="H40" s="162">
        <v>-9662593697</v>
      </c>
      <c r="I40" s="163"/>
    </row>
    <row r="41" spans="4:9" ht="18" customHeight="1">
      <c r="D41" s="160" t="s">
        <v>1423</v>
      </c>
      <c r="E41" s="161" t="s">
        <v>1423</v>
      </c>
      <c r="F41" s="162">
        <f>ROUND(SUMIF('CF(공)_1.0'!$E:$E,'CF(공)_2.0'!E41,'CF(공)_1.0'!$F:$F),0)</f>
        <v>1082082760</v>
      </c>
      <c r="G41" s="162"/>
      <c r="H41" s="162">
        <v>-4567827388</v>
      </c>
      <c r="I41" s="163"/>
    </row>
    <row r="42" spans="4:9" ht="18" customHeight="1">
      <c r="D42" s="160" t="s">
        <v>1424</v>
      </c>
      <c r="E42" s="161" t="s">
        <v>1424</v>
      </c>
      <c r="F42" s="162">
        <f>ROUND(SUMIF('CF(공)_1.0'!$E:$E,'CF(공)_2.0'!E42,'CF(공)_1.0'!$F:$F),0)</f>
        <v>8423671241</v>
      </c>
      <c r="G42" s="162"/>
      <c r="H42" s="162">
        <v>120496256</v>
      </c>
      <c r="I42" s="163"/>
    </row>
    <row r="43" spans="4:9" ht="18" customHeight="1">
      <c r="D43" s="160" t="s">
        <v>1425</v>
      </c>
      <c r="E43" s="161" t="s">
        <v>1425</v>
      </c>
      <c r="F43" s="162">
        <f>ROUND(SUMIF('CF(공)_1.0'!$E:$E,'CF(공)_2.0'!E43,'CF(공)_1.0'!$F:$F),0)</f>
        <v>0</v>
      </c>
      <c r="G43" s="162"/>
      <c r="H43" s="162">
        <v>-4423441156</v>
      </c>
      <c r="I43" s="163"/>
    </row>
    <row r="44" spans="4:9" ht="18" customHeight="1">
      <c r="D44" s="160" t="s">
        <v>1779</v>
      </c>
      <c r="E44" s="161" t="s">
        <v>1779</v>
      </c>
      <c r="F44" s="162">
        <f>ROUND(SUMIF('CF(공)_1.0'!$E:$E,'CF(공)_2.0'!E44,'CF(공)_1.0'!$F:$F),0)</f>
        <v>0</v>
      </c>
      <c r="G44" s="162"/>
      <c r="H44" s="162"/>
      <c r="I44" s="163"/>
    </row>
    <row r="45" spans="4:9" ht="18" customHeight="1">
      <c r="D45" s="160" t="s">
        <v>1676</v>
      </c>
      <c r="E45" s="161" t="s">
        <v>1676</v>
      </c>
      <c r="F45" s="162">
        <f>ROUND(SUMIF('CF(공)_1.0'!$E:$E,'CF(공)_2.0'!E45,'CF(공)_1.0'!$F:$F),0)</f>
        <v>0</v>
      </c>
      <c r="G45" s="162"/>
      <c r="H45" s="162" t="s">
        <v>611</v>
      </c>
      <c r="I45" s="163"/>
    </row>
    <row r="46" spans="4:9" ht="18" customHeight="1">
      <c r="D46" s="160" t="s">
        <v>1426</v>
      </c>
      <c r="E46" s="161" t="s">
        <v>1426</v>
      </c>
      <c r="F46" s="162">
        <f>ROUND(SUMIF('CF(공)_1.0'!$E:$E,'CF(공)_2.0'!E46,'CF(공)_1.0'!$F:$F),0)</f>
        <v>0</v>
      </c>
      <c r="G46" s="162"/>
      <c r="H46" s="162">
        <v>10560214059</v>
      </c>
      <c r="I46" s="163"/>
    </row>
    <row r="47" spans="4:9" ht="18" customHeight="1">
      <c r="D47" s="160" t="s">
        <v>1427</v>
      </c>
      <c r="E47" s="161" t="s">
        <v>1427</v>
      </c>
      <c r="F47" s="162">
        <f>ROUND(SUMIF('CF(공)_1.0'!$E:$E,'CF(공)_2.0'!E47,'CF(공)_1.0'!$F:$F),0)</f>
        <v>0</v>
      </c>
      <c r="G47" s="162"/>
      <c r="H47" s="162">
        <v>2463385876</v>
      </c>
      <c r="I47" s="163"/>
    </row>
    <row r="48" spans="4:9" ht="18" customHeight="1">
      <c r="D48" s="160" t="s">
        <v>1428</v>
      </c>
      <c r="E48" s="161" t="s">
        <v>1428</v>
      </c>
      <c r="F48" s="162">
        <f>ROUND(SUMIF('CF(공)_1.0'!$E:$E,'CF(공)_2.0'!E48,'CF(공)_1.0'!$F:$F),0)</f>
        <v>-2938974663</v>
      </c>
      <c r="G48" s="162"/>
      <c r="H48" s="162">
        <v>12005959229</v>
      </c>
      <c r="I48" s="163"/>
    </row>
    <row r="49" spans="4:10" ht="18" customHeight="1">
      <c r="D49" s="160" t="s">
        <v>1430</v>
      </c>
      <c r="E49" s="161" t="s">
        <v>1430</v>
      </c>
      <c r="F49" s="162">
        <f>ROUND(SUMIF('CF(공)_1.0'!$E:$E,'CF(공)_2.0'!E49,'CF(공)_1.0'!$F:$F),0)</f>
        <v>0</v>
      </c>
      <c r="G49" s="162"/>
      <c r="H49" s="162">
        <v>-1324879788</v>
      </c>
      <c r="I49" s="163"/>
    </row>
    <row r="50" spans="4:10" ht="18" customHeight="1">
      <c r="D50" s="152" t="s">
        <v>1399</v>
      </c>
      <c r="E50" s="153" t="s">
        <v>1007</v>
      </c>
      <c r="F50" s="154" t="e">
        <f>'CF(공)_1.0'!#REF!</f>
        <v>#REF!</v>
      </c>
      <c r="G50" s="154"/>
      <c r="H50" s="154">
        <v>768265231</v>
      </c>
      <c r="I50" s="155"/>
    </row>
    <row r="51" spans="4:10" ht="18" customHeight="1">
      <c r="D51" s="152" t="s">
        <v>1400</v>
      </c>
      <c r="E51" s="153" t="s">
        <v>1009</v>
      </c>
      <c r="F51" s="154" t="e">
        <f>'CF(공)_1.0'!#REF!</f>
        <v>#REF!</v>
      </c>
      <c r="G51" s="154"/>
      <c r="H51" s="154">
        <v>-75990852</v>
      </c>
      <c r="I51" s="155"/>
    </row>
    <row r="52" spans="4:10" ht="18" customHeight="1">
      <c r="D52" s="152" t="s">
        <v>1401</v>
      </c>
      <c r="E52" s="153" t="s">
        <v>1011</v>
      </c>
      <c r="F52" s="154" t="e">
        <f>'CF(공)_1.0'!#REF!</f>
        <v>#REF!</v>
      </c>
      <c r="G52" s="154"/>
      <c r="H52" s="154">
        <v>-1045098540</v>
      </c>
      <c r="I52" s="155"/>
    </row>
    <row r="53" spans="4:10" s="2" customFormat="1" ht="18" customHeight="1">
      <c r="D53" s="148" t="s">
        <v>1402</v>
      </c>
      <c r="E53" s="149"/>
      <c r="F53" s="150"/>
      <c r="G53" s="150">
        <f>SUM(F54,F60)</f>
        <v>-2951755164</v>
      </c>
      <c r="H53" s="150"/>
      <c r="I53" s="151">
        <f>SUM(H54,H60)</f>
        <v>-10169433987</v>
      </c>
      <c r="J53" s="4" t="b">
        <f>G53-'CF(공)_1.0'!F66=0</f>
        <v>0</v>
      </c>
    </row>
    <row r="54" spans="4:10" s="2" customFormat="1" ht="18" customHeight="1">
      <c r="D54" s="156" t="s">
        <v>1431</v>
      </c>
      <c r="E54" s="157"/>
      <c r="F54" s="158">
        <f>SUM(F55:F59)</f>
        <v>560942363</v>
      </c>
      <c r="G54" s="158"/>
      <c r="H54" s="158">
        <f>SUM(H55:H59)</f>
        <v>61819543667</v>
      </c>
      <c r="I54" s="159"/>
    </row>
    <row r="55" spans="4:10" ht="18" customHeight="1">
      <c r="D55" s="160" t="s">
        <v>1373</v>
      </c>
      <c r="E55" s="161" t="s">
        <v>1373</v>
      </c>
      <c r="F55" s="162">
        <f>ROUND(SUMIF('CF(공)_1.0'!$E:$E,'CF(공)_2.0'!E55,'CF(공)_1.0'!$F:$F),0)</f>
        <v>200000000</v>
      </c>
      <c r="G55" s="162"/>
      <c r="H55" s="162">
        <v>196574806</v>
      </c>
      <c r="I55" s="163"/>
    </row>
    <row r="56" spans="4:10" ht="18" customHeight="1">
      <c r="D56" s="160" t="s">
        <v>1376</v>
      </c>
      <c r="E56" s="161" t="s">
        <v>1376</v>
      </c>
      <c r="F56" s="162">
        <f>ROUND(SUMIF('CF(공)_1.0'!$E:$E,'CF(공)_2.0'!E56,'CF(공)_1.0'!$F:$F),0)</f>
        <v>0</v>
      </c>
      <c r="G56" s="162"/>
      <c r="H56" s="162">
        <v>18000000</v>
      </c>
      <c r="I56" s="163"/>
    </row>
    <row r="57" spans="4:10" ht="18" customHeight="1">
      <c r="D57" s="160" t="s">
        <v>1433</v>
      </c>
      <c r="E57" s="161" t="s">
        <v>1433</v>
      </c>
      <c r="F57" s="162">
        <f>ROUND(SUMIF('CF(공)_1.0'!$E:$E,'CF(공)_2.0'!E57,'CF(공)_1.0'!$F:$F),0)</f>
        <v>297306000</v>
      </c>
      <c r="G57" s="162"/>
      <c r="H57" s="162">
        <v>61586457593</v>
      </c>
      <c r="I57" s="163"/>
    </row>
    <row r="58" spans="4:10" ht="18" customHeight="1">
      <c r="D58" s="160" t="s">
        <v>1434</v>
      </c>
      <c r="E58" s="161" t="s">
        <v>1434</v>
      </c>
      <c r="F58" s="162">
        <f>ROUND(SUMIF('CF(공)_1.0'!$E:$E,'CF(공)_2.0'!E58,'CF(공)_1.0'!$F:$F),0)</f>
        <v>63636363</v>
      </c>
      <c r="G58" s="162"/>
      <c r="H58" s="162">
        <v>9545268</v>
      </c>
      <c r="I58" s="163"/>
    </row>
    <row r="59" spans="4:10" ht="18" customHeight="1">
      <c r="D59" s="160" t="s">
        <v>1435</v>
      </c>
      <c r="E59" s="161" t="s">
        <v>1435</v>
      </c>
      <c r="F59" s="162">
        <v>0</v>
      </c>
      <c r="G59" s="162"/>
      <c r="H59" s="162">
        <v>8966000</v>
      </c>
      <c r="I59" s="163"/>
    </row>
    <row r="60" spans="4:10" s="2" customFormat="1" ht="18" customHeight="1">
      <c r="D60" s="156" t="s">
        <v>1437</v>
      </c>
      <c r="E60" s="157"/>
      <c r="F60" s="158">
        <f>-SUM(F61:F72)</f>
        <v>-3512697527</v>
      </c>
      <c r="G60" s="158"/>
      <c r="H60" s="158">
        <f>-SUM(H61:H72)</f>
        <v>-71988977654</v>
      </c>
      <c r="I60" s="159"/>
    </row>
    <row r="61" spans="4:10" ht="18" customHeight="1">
      <c r="D61" s="160" t="s">
        <v>1372</v>
      </c>
      <c r="E61" s="161" t="s">
        <v>1372</v>
      </c>
      <c r="F61" s="162">
        <f>-ROUND(SUMIF('CF(공)_1.0'!$E:$E,'CF(공)_2.0'!E61,'CF(공)_1.0'!$F:$F),0)</f>
        <v>609216486</v>
      </c>
      <c r="G61" s="162"/>
      <c r="H61" s="162">
        <v>20379757</v>
      </c>
      <c r="I61" s="163"/>
    </row>
    <row r="62" spans="4:10" ht="18" customHeight="1">
      <c r="D62" s="160" t="s">
        <v>1472</v>
      </c>
      <c r="E62" s="161" t="s">
        <v>1472</v>
      </c>
      <c r="F62" s="162">
        <f>-ROUND(SUMIF('CF(공)_1.0'!$E:$E,'CF(공)_2.0'!E62,'CF(공)_1.0'!$F:$F),0)</f>
        <v>500000</v>
      </c>
      <c r="G62" s="162"/>
      <c r="H62" s="162"/>
      <c r="I62" s="163"/>
    </row>
    <row r="63" spans="4:10" ht="18" customHeight="1">
      <c r="D63" s="160" t="s">
        <v>1136</v>
      </c>
      <c r="E63" s="161" t="s">
        <v>1136</v>
      </c>
      <c r="F63" s="162">
        <f>-ROUND(SUMIF('CF(공)_1.0'!$E:$E,'CF(공)_2.0'!E63,'CF(공)_1.0'!$F:$F),0)</f>
        <v>0</v>
      </c>
      <c r="G63" s="162"/>
      <c r="H63" s="162"/>
      <c r="I63" s="163"/>
    </row>
    <row r="64" spans="4:10" ht="18" customHeight="1">
      <c r="D64" s="160" t="s">
        <v>1684</v>
      </c>
      <c r="E64" s="161" t="s">
        <v>1684</v>
      </c>
      <c r="F64" s="162">
        <f>-ROUND(SUMIF('CF(공)_1.0'!$E:$E,'CF(공)_2.0'!E64,'CF(공)_1.0'!$F:$F),0)</f>
        <v>0</v>
      </c>
      <c r="G64" s="162"/>
      <c r="H64" s="162"/>
      <c r="I64" s="163"/>
    </row>
    <row r="65" spans="4:10" ht="18" customHeight="1">
      <c r="D65" s="160" t="s">
        <v>1682</v>
      </c>
      <c r="E65" s="161" t="s">
        <v>1682</v>
      </c>
      <c r="F65" s="162">
        <f>-ROUND(SUMIF('CF(공)_1.0'!$E:$E,'CF(공)_2.0'!E65,'CF(공)_1.0'!$F:$F),0)</f>
        <v>0</v>
      </c>
      <c r="G65" s="162"/>
      <c r="H65" s="162"/>
      <c r="I65" s="163"/>
    </row>
    <row r="66" spans="4:10" ht="18" customHeight="1">
      <c r="D66" s="160" t="s">
        <v>1439</v>
      </c>
      <c r="E66" s="161" t="s">
        <v>1439</v>
      </c>
      <c r="F66" s="162">
        <f>-ROUND(SUMIF('CF(공)_1.0'!$E:$E,'CF(공)_2.0'!E66,'CF(공)_1.0'!$F:$F),0)</f>
        <v>0</v>
      </c>
      <c r="G66" s="162"/>
      <c r="H66" s="162">
        <v>47900002834</v>
      </c>
      <c r="I66" s="163"/>
    </row>
    <row r="67" spans="4:10" ht="18" customHeight="1">
      <c r="D67" s="160" t="s">
        <v>1474</v>
      </c>
      <c r="E67" s="161" t="s">
        <v>1474</v>
      </c>
      <c r="F67" s="162">
        <f>-ROUND(SUMIF('CF(공)_1.0'!$E:$E,'CF(공)_2.0'!E67,'CF(공)_1.0'!$F:$F),0)</f>
        <v>0</v>
      </c>
      <c r="G67" s="162"/>
      <c r="H67" s="162">
        <v>1211867769</v>
      </c>
      <c r="I67" s="163"/>
    </row>
    <row r="68" spans="4:10" ht="18" customHeight="1">
      <c r="D68" s="160" t="s">
        <v>1729</v>
      </c>
      <c r="E68" s="161" t="s">
        <v>1729</v>
      </c>
      <c r="F68" s="162">
        <f>-ROUND(SUMIF('CF(공)_1.0'!$E:$E,'CF(공)_2.0'!E68,'CF(공)_1.0'!$F:$F),0)</f>
        <v>0</v>
      </c>
      <c r="G68" s="162"/>
      <c r="H68" s="162"/>
      <c r="I68" s="163"/>
    </row>
    <row r="69" spans="4:10" ht="18" customHeight="1">
      <c r="D69" s="160" t="s">
        <v>1440</v>
      </c>
      <c r="E69" s="161" t="s">
        <v>1440</v>
      </c>
      <c r="F69" s="162">
        <f>-ROUND(SUMIF('CF(공)_1.0'!$E:$E,'CF(공)_2.0'!E69,'CF(공)_1.0'!$F:$F),0)</f>
        <v>645296381</v>
      </c>
      <c r="G69" s="162"/>
      <c r="H69" s="162">
        <v>1999782244</v>
      </c>
      <c r="I69" s="163"/>
    </row>
    <row r="70" spans="4:10" ht="18" customHeight="1">
      <c r="D70" s="160" t="s">
        <v>1441</v>
      </c>
      <c r="E70" s="161" t="s">
        <v>1441</v>
      </c>
      <c r="F70" s="162">
        <f>-ROUND(SUMIF('CF(공)_1.0'!$E:$E,'CF(공)_2.0'!E70,'CF(공)_1.0'!$F:$F),0)</f>
        <v>2257684660</v>
      </c>
      <c r="G70" s="162"/>
      <c r="H70" s="162">
        <v>17536945050</v>
      </c>
      <c r="I70" s="163"/>
    </row>
    <row r="71" spans="4:10" ht="18" customHeight="1">
      <c r="D71" s="160" t="s">
        <v>1473</v>
      </c>
      <c r="E71" s="161" t="s">
        <v>1473</v>
      </c>
      <c r="F71" s="162">
        <f>-ROUND(SUMIF('CF(공)_1.0'!$E:$E,'CF(공)_2.0'!E71,'CF(공)_1.0'!$F:$F),0)</f>
        <v>0</v>
      </c>
      <c r="G71" s="162"/>
      <c r="H71" s="162">
        <v>3320000000</v>
      </c>
      <c r="I71" s="163"/>
    </row>
    <row r="72" spans="4:10" ht="18" customHeight="1">
      <c r="D72" s="160" t="s">
        <v>1734</v>
      </c>
      <c r="E72" s="161" t="s">
        <v>1734</v>
      </c>
      <c r="F72" s="162">
        <v>0</v>
      </c>
      <c r="G72" s="162"/>
      <c r="H72" s="162"/>
      <c r="I72" s="163"/>
    </row>
    <row r="73" spans="4:10" s="2" customFormat="1" ht="18" customHeight="1">
      <c r="D73" s="148" t="s">
        <v>1405</v>
      </c>
      <c r="E73" s="149"/>
      <c r="F73" s="150"/>
      <c r="G73" s="150">
        <f>SUM(F74,F76)</f>
        <v>0</v>
      </c>
      <c r="H73" s="150"/>
      <c r="I73" s="151">
        <f>SUM(H74,H76)</f>
        <v>68471782850</v>
      </c>
      <c r="J73" s="2" t="b">
        <f>'CF(공)_1.0'!F91=G73</f>
        <v>0</v>
      </c>
    </row>
    <row r="74" spans="4:10" s="2" customFormat="1" ht="18" customHeight="1">
      <c r="D74" s="156" t="s">
        <v>1442</v>
      </c>
      <c r="E74" s="157"/>
      <c r="F74" s="158">
        <f>F75</f>
        <v>0</v>
      </c>
      <c r="G74" s="158"/>
      <c r="H74" s="158">
        <f>H75</f>
        <v>69971782850</v>
      </c>
      <c r="I74" s="159"/>
    </row>
    <row r="75" spans="4:10" ht="18" customHeight="1">
      <c r="D75" s="160" t="s">
        <v>532</v>
      </c>
      <c r="E75" s="161" t="s">
        <v>532</v>
      </c>
      <c r="F75" s="162">
        <f>ROUND(SUMIF('CF(공)_1.0'!$E:$E,'CF(공)_2.0'!E75,'CF(공)_1.0'!$F:$F),0)</f>
        <v>0</v>
      </c>
      <c r="G75" s="162"/>
      <c r="H75" s="162">
        <v>69971782850</v>
      </c>
      <c r="I75" s="163"/>
    </row>
    <row r="76" spans="4:10" s="2" customFormat="1" ht="18" customHeight="1">
      <c r="D76" s="156" t="s">
        <v>1443</v>
      </c>
      <c r="E76" s="157"/>
      <c r="F76" s="158">
        <f>-SUM(F77:F80)</f>
        <v>0</v>
      </c>
      <c r="G76" s="158"/>
      <c r="H76" s="158">
        <f>-SUM(H77:H80)</f>
        <v>-1500000000</v>
      </c>
      <c r="I76" s="159"/>
    </row>
    <row r="77" spans="4:10" ht="18" customHeight="1">
      <c r="D77" s="160" t="s">
        <v>1295</v>
      </c>
      <c r="E77" s="161" t="s">
        <v>1295</v>
      </c>
      <c r="F77" s="162">
        <f>-ROUND(SUMIF('CF(공)_1.0'!$E:$E,'CF(공)_2.0'!E77,'CF(공)_1.0'!$F:$F),0)</f>
        <v>0</v>
      </c>
      <c r="G77" s="162"/>
      <c r="H77" s="162"/>
      <c r="I77" s="163"/>
    </row>
    <row r="78" spans="4:10" ht="18" customHeight="1">
      <c r="D78" s="160" t="s">
        <v>1281</v>
      </c>
      <c r="E78" s="161" t="s">
        <v>1281</v>
      </c>
      <c r="F78" s="162">
        <f>-ROUND(SUMIF('CF(공)_1.0'!$E:$E,'CF(공)_2.0'!E78,'CF(공)_1.0'!$F:$F),0)</f>
        <v>0</v>
      </c>
      <c r="G78" s="162"/>
      <c r="H78" s="162">
        <v>1500000000</v>
      </c>
      <c r="I78" s="163"/>
    </row>
    <row r="79" spans="4:10" ht="18" customHeight="1">
      <c r="D79" s="160" t="s">
        <v>1680</v>
      </c>
      <c r="E79" s="161" t="s">
        <v>1680</v>
      </c>
      <c r="F79" s="162">
        <f>-ROUND(SUMIF('CF(공)_1.0'!$E:$E,'CF(공)_2.0'!E79,'CF(공)_1.0'!$F:$F),0)</f>
        <v>0</v>
      </c>
      <c r="G79" s="162"/>
      <c r="H79" s="162"/>
      <c r="I79" s="163"/>
    </row>
    <row r="80" spans="4:10" ht="18" customHeight="1">
      <c r="D80" s="160" t="s">
        <v>1313</v>
      </c>
      <c r="E80" s="161" t="s">
        <v>1313</v>
      </c>
      <c r="F80" s="162">
        <f>-ROUND(SUMIF('CF(공)_1.0'!$E:$E,'CF(공)_2.0'!E80,'CF(공)_1.0'!$F:$F),0)</f>
        <v>0</v>
      </c>
      <c r="G80" s="162"/>
      <c r="H80" s="162"/>
      <c r="I80" s="163"/>
    </row>
    <row r="81" spans="4:9" s="2" customFormat="1" ht="18" customHeight="1">
      <c r="D81" s="148" t="s">
        <v>1410</v>
      </c>
      <c r="E81" s="149"/>
      <c r="F81" s="150"/>
      <c r="G81" s="150" t="e">
        <f>SUM(G73,G53,G5)</f>
        <v>#REF!</v>
      </c>
      <c r="H81" s="150"/>
      <c r="I81" s="151">
        <f>SUM(I73,I53,I5)</f>
        <v>71943965639</v>
      </c>
    </row>
    <row r="82" spans="4:9" s="2" customFormat="1" ht="18" customHeight="1">
      <c r="D82" s="148" t="s">
        <v>1411</v>
      </c>
      <c r="E82" s="149"/>
      <c r="F82" s="150"/>
      <c r="G82" s="150">
        <f>'BS(공)'!M8</f>
        <v>88901392676</v>
      </c>
      <c r="H82" s="150"/>
      <c r="I82" s="151">
        <v>22920303979</v>
      </c>
    </row>
    <row r="83" spans="4:9" s="2" customFormat="1" ht="18" customHeight="1">
      <c r="D83" s="148" t="s">
        <v>1412</v>
      </c>
      <c r="E83" s="149"/>
      <c r="F83" s="150"/>
      <c r="G83" s="150">
        <f>'CF(공)_1.0'!F104</f>
        <v>1334300764</v>
      </c>
      <c r="H83" s="150"/>
      <c r="I83" s="151">
        <v>789091105</v>
      </c>
    </row>
    <row r="84" spans="4:9" s="2" customFormat="1" ht="18" customHeight="1" thickBot="1">
      <c r="D84" s="164" t="s">
        <v>1413</v>
      </c>
      <c r="E84" s="165"/>
      <c r="F84" s="166"/>
      <c r="G84" s="166" t="e">
        <f>SUM(G81:G83)</f>
        <v>#REF!</v>
      </c>
      <c r="H84" s="166"/>
      <c r="I84" s="167">
        <f>SUM(I81:I83)</f>
        <v>95653360723</v>
      </c>
    </row>
    <row r="85" spans="4:9" ht="18" customHeight="1">
      <c r="G85" s="5">
        <f>'BS(공)'!G8</f>
        <v>150101047291</v>
      </c>
    </row>
    <row r="86" spans="4:9" ht="18" customHeight="1">
      <c r="G86" s="5" t="e">
        <f>G85-G84=0</f>
        <v>#REF!</v>
      </c>
    </row>
  </sheetData>
  <mergeCells count="2">
    <mergeCell ref="F4:G4"/>
    <mergeCell ref="H4:I4"/>
  </mergeCells>
  <phoneticPr fontId="2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7"/>
  <sheetViews>
    <sheetView zoomScale="80" zoomScaleNormal="80" workbookViewId="0">
      <selection activeCell="R22" sqref="R22"/>
    </sheetView>
  </sheetViews>
  <sheetFormatPr defaultRowHeight="13.5"/>
  <cols>
    <col min="1" max="1" width="11.375" style="364" bestFit="1" customWidth="1"/>
    <col min="2" max="2" width="9" style="364" bestFit="1" customWidth="1"/>
    <col min="3" max="3" width="29.375" style="364" bestFit="1" customWidth="1"/>
    <col min="4" max="4" width="8.375" style="364" bestFit="1" customWidth="1"/>
    <col min="5" max="5" width="8" style="364" bestFit="1" customWidth="1"/>
    <col min="6" max="6" width="11.375" style="364" bestFit="1" customWidth="1"/>
    <col min="7" max="7" width="13.875" style="366" bestFit="1" customWidth="1"/>
    <col min="8" max="8" width="11.375" style="364" bestFit="1" customWidth="1"/>
    <col min="9" max="9" width="13.875" style="366" bestFit="1" customWidth="1"/>
    <col min="10" max="11" width="9" style="364"/>
    <col min="12" max="12" width="14.875" style="364" bestFit="1" customWidth="1"/>
    <col min="13" max="13" width="10.25" style="364" bestFit="1" customWidth="1"/>
    <col min="14" max="16384" width="9" style="364"/>
  </cols>
  <sheetData>
    <row r="1" spans="1:13">
      <c r="A1" s="361" t="s">
        <v>626</v>
      </c>
      <c r="B1" s="361" t="s">
        <v>627</v>
      </c>
      <c r="C1" s="362" t="s">
        <v>628</v>
      </c>
      <c r="D1" s="362" t="s">
        <v>629</v>
      </c>
      <c r="E1" s="362" t="s">
        <v>630</v>
      </c>
      <c r="F1" s="362" t="s">
        <v>631</v>
      </c>
      <c r="G1" s="363" t="s">
        <v>1919</v>
      </c>
      <c r="H1" s="361" t="s">
        <v>1920</v>
      </c>
      <c r="I1" s="363" t="s">
        <v>1921</v>
      </c>
      <c r="J1" s="361" t="s">
        <v>1922</v>
      </c>
      <c r="L1" s="364" t="s">
        <v>1924</v>
      </c>
      <c r="M1" s="364" t="s">
        <v>1925</v>
      </c>
    </row>
    <row r="2" spans="1:13">
      <c r="A2" s="365" t="s">
        <v>632</v>
      </c>
      <c r="B2" s="353">
        <v>1101</v>
      </c>
      <c r="C2" s="321" t="s">
        <v>633</v>
      </c>
      <c r="D2" s="250">
        <v>1000</v>
      </c>
      <c r="E2" s="250"/>
      <c r="F2" s="250" t="s">
        <v>473</v>
      </c>
      <c r="G2" s="7">
        <v>38081</v>
      </c>
      <c r="H2" s="250" t="s">
        <v>473</v>
      </c>
      <c r="I2" s="322">
        <v>38081</v>
      </c>
      <c r="J2" s="362"/>
      <c r="L2" s="366">
        <f>SUMIF(T198_TB!$E:$E,TB!B2,T198_TB!$L:$L)</f>
        <v>0</v>
      </c>
      <c r="M2" s="364">
        <f>IF(I2=L2,"TRUE",I2-L2)</f>
        <v>38081</v>
      </c>
    </row>
    <row r="3" spans="1:13">
      <c r="A3" s="365" t="s">
        <v>632</v>
      </c>
      <c r="B3" s="353">
        <v>1102</v>
      </c>
      <c r="C3" s="321" t="s">
        <v>634</v>
      </c>
      <c r="D3" s="250">
        <v>1000</v>
      </c>
      <c r="E3" s="250"/>
      <c r="F3" s="250" t="s">
        <v>473</v>
      </c>
      <c r="G3" s="7">
        <v>85261921661</v>
      </c>
      <c r="H3" s="250" t="s">
        <v>473</v>
      </c>
      <c r="I3" s="322">
        <v>85261921661</v>
      </c>
      <c r="J3" s="362"/>
      <c r="L3" s="366">
        <f>SUMIF(T198_TB!$E:$E,TB!B3,T198_TB!$L:$L)</f>
        <v>150101047291</v>
      </c>
      <c r="M3" s="364">
        <f t="shared" ref="M3:M66" si="0">IF(I3=L3,"TRUE",I3-L3)</f>
        <v>-64839125630</v>
      </c>
    </row>
    <row r="4" spans="1:13">
      <c r="A4" s="365" t="s">
        <v>632</v>
      </c>
      <c r="B4" s="353">
        <v>1501</v>
      </c>
      <c r="C4" s="321" t="s">
        <v>635</v>
      </c>
      <c r="D4" s="250">
        <v>1000</v>
      </c>
      <c r="E4" s="250"/>
      <c r="F4" s="250" t="s">
        <v>473</v>
      </c>
      <c r="G4" s="7">
        <v>0</v>
      </c>
      <c r="H4" s="250" t="s">
        <v>473</v>
      </c>
      <c r="I4" s="322">
        <v>0</v>
      </c>
      <c r="J4" s="362"/>
      <c r="L4" s="366">
        <f>SUMIF(T198_TB!$E:$E,TB!B4,T198_TB!$L:$L)</f>
        <v>0</v>
      </c>
      <c r="M4" s="364" t="str">
        <f t="shared" si="0"/>
        <v>TRUE</v>
      </c>
    </row>
    <row r="5" spans="1:13">
      <c r="A5" s="365" t="s">
        <v>632</v>
      </c>
      <c r="B5" s="354">
        <v>1201</v>
      </c>
      <c r="C5" s="323" t="s">
        <v>636</v>
      </c>
      <c r="D5" s="251">
        <v>1000</v>
      </c>
      <c r="E5" s="251"/>
      <c r="F5" s="251" t="s">
        <v>473</v>
      </c>
      <c r="G5" s="169">
        <v>20307700404</v>
      </c>
      <c r="H5" s="251" t="s">
        <v>473</v>
      </c>
      <c r="I5" s="324">
        <v>20307700404</v>
      </c>
      <c r="J5" s="362"/>
      <c r="L5" s="366">
        <f>SUMIF(T198_TB!$E:$E,TB!B5,T198_TB!$L:$L)</f>
        <v>18845489191</v>
      </c>
      <c r="M5" s="364">
        <f t="shared" si="0"/>
        <v>1462211213</v>
      </c>
    </row>
    <row r="6" spans="1:13">
      <c r="A6" s="365" t="s">
        <v>632</v>
      </c>
      <c r="B6" s="354">
        <v>1202</v>
      </c>
      <c r="C6" s="323" t="s">
        <v>637</v>
      </c>
      <c r="D6" s="251">
        <v>1000</v>
      </c>
      <c r="E6" s="251"/>
      <c r="F6" s="251" t="s">
        <v>473</v>
      </c>
      <c r="G6" s="169">
        <v>-2063837928</v>
      </c>
      <c r="H6" s="251" t="s">
        <v>473</v>
      </c>
      <c r="I6" s="324">
        <v>-2063837928</v>
      </c>
      <c r="J6" s="362"/>
      <c r="L6" s="366">
        <f>SUMIF(T198_TB!$E:$E,TB!B6,T198_TB!$L:$L)</f>
        <v>-1004615105</v>
      </c>
      <c r="M6" s="364">
        <f t="shared" si="0"/>
        <v>-1059222823</v>
      </c>
    </row>
    <row r="7" spans="1:13">
      <c r="A7" s="365" t="s">
        <v>632</v>
      </c>
      <c r="B7" s="354">
        <v>1203</v>
      </c>
      <c r="C7" s="323" t="s">
        <v>638</v>
      </c>
      <c r="D7" s="251">
        <v>1000</v>
      </c>
      <c r="E7" s="251"/>
      <c r="F7" s="251" t="s">
        <v>473</v>
      </c>
      <c r="G7" s="169">
        <v>5519317523</v>
      </c>
      <c r="H7" s="251" t="s">
        <v>473</v>
      </c>
      <c r="I7" s="324">
        <v>5519317523</v>
      </c>
      <c r="J7" s="362"/>
      <c r="L7" s="366">
        <f>SUMIF(T198_TB!$E:$E,TB!B7,T198_TB!$L:$L)</f>
        <v>3537548051</v>
      </c>
      <c r="M7" s="364">
        <f t="shared" si="0"/>
        <v>1981769472</v>
      </c>
    </row>
    <row r="8" spans="1:13">
      <c r="A8" s="365" t="s">
        <v>632</v>
      </c>
      <c r="B8" s="354">
        <v>2322</v>
      </c>
      <c r="C8" s="323" t="s">
        <v>1705</v>
      </c>
      <c r="D8" s="251">
        <v>1000</v>
      </c>
      <c r="E8" s="251"/>
      <c r="F8" s="251" t="s">
        <v>473</v>
      </c>
      <c r="G8" s="169">
        <v>0</v>
      </c>
      <c r="H8" s="251" t="s">
        <v>473</v>
      </c>
      <c r="I8" s="324">
        <v>0</v>
      </c>
      <c r="J8" s="362"/>
      <c r="L8" s="366">
        <f>SUMIF(T198_TB!$E:$E,TB!B8,T198_TB!$L:$L)</f>
        <v>0</v>
      </c>
      <c r="M8" s="364" t="str">
        <f t="shared" si="0"/>
        <v>TRUE</v>
      </c>
    </row>
    <row r="9" spans="1:13">
      <c r="A9" s="365" t="s">
        <v>632</v>
      </c>
      <c r="B9" s="354">
        <v>2321</v>
      </c>
      <c r="C9" s="323" t="s">
        <v>1704</v>
      </c>
      <c r="D9" s="251">
        <v>1000</v>
      </c>
      <c r="E9" s="251"/>
      <c r="F9" s="251" t="s">
        <v>473</v>
      </c>
      <c r="G9" s="169">
        <v>0</v>
      </c>
      <c r="H9" s="251" t="s">
        <v>473</v>
      </c>
      <c r="I9" s="324">
        <v>0</v>
      </c>
      <c r="J9" s="362"/>
      <c r="L9" s="366">
        <f>SUMIF(T198_TB!$E:$E,TB!B9,T198_TB!$L:$L)</f>
        <v>0</v>
      </c>
      <c r="M9" s="364" t="str">
        <f t="shared" si="0"/>
        <v>TRUE</v>
      </c>
    </row>
    <row r="10" spans="1:13">
      <c r="A10" s="365" t="s">
        <v>632</v>
      </c>
      <c r="B10" s="354">
        <v>1221</v>
      </c>
      <c r="C10" s="323" t="s">
        <v>1877</v>
      </c>
      <c r="D10" s="251">
        <v>1000</v>
      </c>
      <c r="E10" s="251"/>
      <c r="F10" s="251" t="s">
        <v>473</v>
      </c>
      <c r="G10" s="169">
        <v>352050000</v>
      </c>
      <c r="H10" s="251" t="s">
        <v>473</v>
      </c>
      <c r="I10" s="324">
        <v>352050000</v>
      </c>
      <c r="J10" s="362"/>
      <c r="L10" s="366">
        <f>SUMIF(T198_TB!$E:$E,TB!B10,T198_TB!$L:$L)</f>
        <v>0</v>
      </c>
      <c r="M10" s="364">
        <f t="shared" si="0"/>
        <v>352050000</v>
      </c>
    </row>
    <row r="11" spans="1:13">
      <c r="A11" s="365" t="s">
        <v>632</v>
      </c>
      <c r="B11" s="354">
        <v>2311</v>
      </c>
      <c r="C11" s="323" t="s">
        <v>1694</v>
      </c>
      <c r="D11" s="251">
        <v>1000</v>
      </c>
      <c r="E11" s="251"/>
      <c r="F11" s="251" t="s">
        <v>473</v>
      </c>
      <c r="G11" s="169">
        <v>0</v>
      </c>
      <c r="H11" s="251" t="s">
        <v>473</v>
      </c>
      <c r="I11" s="324">
        <v>0</v>
      </c>
      <c r="J11" s="362"/>
      <c r="L11" s="366">
        <f>SUMIF(T198_TB!$E:$E,TB!B11,T198_TB!$L:$L)</f>
        <v>0</v>
      </c>
      <c r="M11" s="364" t="str">
        <f t="shared" si="0"/>
        <v>TRUE</v>
      </c>
    </row>
    <row r="12" spans="1:13">
      <c r="A12" s="365" t="s">
        <v>632</v>
      </c>
      <c r="B12" s="354">
        <v>4104</v>
      </c>
      <c r="C12" s="325" t="s">
        <v>1695</v>
      </c>
      <c r="D12" s="251">
        <v>1000</v>
      </c>
      <c r="E12" s="251"/>
      <c r="F12" s="251" t="s">
        <v>473</v>
      </c>
      <c r="G12" s="169">
        <v>-106915200</v>
      </c>
      <c r="H12" s="251" t="s">
        <v>473</v>
      </c>
      <c r="I12" s="324">
        <v>-106915200</v>
      </c>
      <c r="J12" s="362"/>
      <c r="L12" s="366">
        <f>SUMIF(T198_TB!$E:$E,TB!B12,T198_TB!$L:$L)</f>
        <v>0</v>
      </c>
      <c r="M12" s="364">
        <f t="shared" si="0"/>
        <v>-106915200</v>
      </c>
    </row>
    <row r="13" spans="1:13">
      <c r="A13" s="365" t="s">
        <v>632</v>
      </c>
      <c r="B13" s="354">
        <v>1208</v>
      </c>
      <c r="C13" s="323" t="s">
        <v>639</v>
      </c>
      <c r="D13" s="251">
        <v>1000</v>
      </c>
      <c r="E13" s="251"/>
      <c r="F13" s="251" t="s">
        <v>473</v>
      </c>
      <c r="G13" s="169">
        <v>21382321396</v>
      </c>
      <c r="H13" s="251" t="s">
        <v>473</v>
      </c>
      <c r="I13" s="324">
        <v>21382321396</v>
      </c>
      <c r="J13" s="362"/>
      <c r="L13" s="366">
        <f>SUMIF(T198_TB!$E:$E,TB!B13,T198_TB!$L:$L)</f>
        <v>28330974842</v>
      </c>
      <c r="M13" s="364">
        <f t="shared" si="0"/>
        <v>-6948653446</v>
      </c>
    </row>
    <row r="14" spans="1:13">
      <c r="A14" s="365" t="s">
        <v>632</v>
      </c>
      <c r="B14" s="354">
        <v>1209</v>
      </c>
      <c r="C14" s="323" t="s">
        <v>1782</v>
      </c>
      <c r="D14" s="251">
        <v>1000</v>
      </c>
      <c r="E14" s="251"/>
      <c r="F14" s="251" t="s">
        <v>473</v>
      </c>
      <c r="G14" s="169">
        <v>0</v>
      </c>
      <c r="H14" s="251" t="s">
        <v>473</v>
      </c>
      <c r="I14" s="324">
        <v>0</v>
      </c>
      <c r="J14" s="362"/>
      <c r="L14" s="366">
        <f>SUMIF(T198_TB!$E:$E,TB!B14,T198_TB!$L:$L)</f>
        <v>-4543501551</v>
      </c>
      <c r="M14" s="364">
        <f t="shared" si="0"/>
        <v>4543501551</v>
      </c>
    </row>
    <row r="15" spans="1:13">
      <c r="A15" s="365" t="s">
        <v>632</v>
      </c>
      <c r="B15" s="354">
        <v>2650</v>
      </c>
      <c r="C15" s="323" t="s">
        <v>1778</v>
      </c>
      <c r="D15" s="251">
        <v>1000</v>
      </c>
      <c r="E15" s="251"/>
      <c r="F15" s="251" t="s">
        <v>473</v>
      </c>
      <c r="G15" s="169">
        <v>55315563</v>
      </c>
      <c r="H15" s="251" t="s">
        <v>473</v>
      </c>
      <c r="I15" s="324">
        <v>55315563</v>
      </c>
      <c r="J15" s="362"/>
      <c r="L15" s="366">
        <f>SUMIF(T198_TB!$E:$E,TB!B15,T198_TB!$L:$L)</f>
        <v>0</v>
      </c>
      <c r="M15" s="364">
        <f t="shared" si="0"/>
        <v>55315563</v>
      </c>
    </row>
    <row r="16" spans="1:13">
      <c r="A16" s="365" t="s">
        <v>632</v>
      </c>
      <c r="B16" s="354">
        <v>1212</v>
      </c>
      <c r="C16" s="323" t="s">
        <v>36</v>
      </c>
      <c r="D16" s="251">
        <v>1000</v>
      </c>
      <c r="E16" s="251"/>
      <c r="F16" s="251" t="s">
        <v>473</v>
      </c>
      <c r="G16" s="169">
        <v>27066208</v>
      </c>
      <c r="H16" s="251" t="s">
        <v>473</v>
      </c>
      <c r="I16" s="324">
        <v>27066208</v>
      </c>
      <c r="J16" s="362"/>
      <c r="L16" s="366">
        <f>SUMIF(T198_TB!$E:$E,TB!B16,T198_TB!$L:$L)</f>
        <v>312716165</v>
      </c>
      <c r="M16" s="364">
        <f t="shared" si="0"/>
        <v>-285649957</v>
      </c>
    </row>
    <row r="17" spans="1:13">
      <c r="A17" s="365" t="s">
        <v>632</v>
      </c>
      <c r="B17" s="354">
        <v>1601</v>
      </c>
      <c r="C17" s="323" t="s">
        <v>640</v>
      </c>
      <c r="D17" s="251">
        <v>1000</v>
      </c>
      <c r="E17" s="251"/>
      <c r="F17" s="251" t="s">
        <v>473</v>
      </c>
      <c r="G17" s="169">
        <v>3100479529</v>
      </c>
      <c r="H17" s="251" t="s">
        <v>473</v>
      </c>
      <c r="I17" s="324">
        <v>3100479529</v>
      </c>
      <c r="J17" s="362"/>
      <c r="L17" s="366">
        <f>SUMIF(T198_TB!$E:$E,TB!B17,T198_TB!$L:$L)</f>
        <v>4494762345</v>
      </c>
      <c r="M17" s="364">
        <f t="shared" si="0"/>
        <v>-1394282816</v>
      </c>
    </row>
    <row r="18" spans="1:13">
      <c r="A18" s="365" t="s">
        <v>632</v>
      </c>
      <c r="B18" s="354">
        <v>1605</v>
      </c>
      <c r="C18" s="323" t="s">
        <v>641</v>
      </c>
      <c r="D18" s="251">
        <v>1000</v>
      </c>
      <c r="E18" s="251"/>
      <c r="F18" s="251" t="s">
        <v>473</v>
      </c>
      <c r="G18" s="169">
        <v>2109855131</v>
      </c>
      <c r="H18" s="251" t="s">
        <v>473</v>
      </c>
      <c r="I18" s="324">
        <v>2109855131</v>
      </c>
      <c r="J18" s="362"/>
      <c r="L18" s="366">
        <f>SUMIF(T198_TB!$E:$E,TB!B18,T198_TB!$L:$L)</f>
        <v>2905321733</v>
      </c>
      <c r="M18" s="364">
        <f t="shared" si="0"/>
        <v>-795466602</v>
      </c>
    </row>
    <row r="19" spans="1:13">
      <c r="A19" s="365" t="s">
        <v>632</v>
      </c>
      <c r="B19" s="354">
        <v>1401</v>
      </c>
      <c r="C19" s="323" t="s">
        <v>54</v>
      </c>
      <c r="D19" s="251">
        <v>1000</v>
      </c>
      <c r="E19" s="251"/>
      <c r="F19" s="251" t="s">
        <v>473</v>
      </c>
      <c r="G19" s="169">
        <v>232596928</v>
      </c>
      <c r="H19" s="251" t="s">
        <v>473</v>
      </c>
      <c r="I19" s="324">
        <v>232596928</v>
      </c>
      <c r="J19" s="362"/>
      <c r="L19" s="366">
        <f>SUMIF(T198_TB!$E:$E,TB!B19,T198_TB!$L:$L)</f>
        <v>124271330</v>
      </c>
      <c r="M19" s="364">
        <f t="shared" si="0"/>
        <v>108325598</v>
      </c>
    </row>
    <row r="20" spans="1:13">
      <c r="A20" s="365" t="s">
        <v>632</v>
      </c>
      <c r="B20" s="354">
        <v>1301</v>
      </c>
      <c r="C20" s="323" t="s">
        <v>43</v>
      </c>
      <c r="D20" s="251">
        <v>1000</v>
      </c>
      <c r="E20" s="251"/>
      <c r="F20" s="251" t="s">
        <v>473</v>
      </c>
      <c r="G20" s="169">
        <v>10226309654</v>
      </c>
      <c r="H20" s="251" t="s">
        <v>473</v>
      </c>
      <c r="I20" s="324">
        <v>10226309654</v>
      </c>
      <c r="J20" s="362"/>
      <c r="L20" s="366">
        <f>SUMIF(T198_TB!$E:$E,TB!B20,T198_TB!$L:$L)</f>
        <v>10972243270</v>
      </c>
      <c r="M20" s="364">
        <f t="shared" si="0"/>
        <v>-745933616</v>
      </c>
    </row>
    <row r="21" spans="1:13">
      <c r="A21" s="365" t="s">
        <v>632</v>
      </c>
      <c r="B21" s="354">
        <v>1302</v>
      </c>
      <c r="C21" s="323" t="s">
        <v>44</v>
      </c>
      <c r="D21" s="251">
        <v>1000</v>
      </c>
      <c r="E21" s="251"/>
      <c r="F21" s="251" t="s">
        <v>473</v>
      </c>
      <c r="G21" s="169">
        <v>-7390353471</v>
      </c>
      <c r="H21" s="251" t="s">
        <v>473</v>
      </c>
      <c r="I21" s="324">
        <v>-7390353471</v>
      </c>
      <c r="J21" s="362"/>
      <c r="L21" s="366">
        <f>SUMIF(T198_TB!$E:$E,TB!B21,T198_TB!$L:$L)</f>
        <v>-5616858075</v>
      </c>
      <c r="M21" s="364">
        <f t="shared" si="0"/>
        <v>-1773495396</v>
      </c>
    </row>
    <row r="22" spans="1:13">
      <c r="A22" s="365" t="s">
        <v>632</v>
      </c>
      <c r="B22" s="354">
        <v>1303</v>
      </c>
      <c r="C22" s="323" t="s">
        <v>45</v>
      </c>
      <c r="D22" s="251">
        <v>1000</v>
      </c>
      <c r="E22" s="251"/>
      <c r="F22" s="251" t="s">
        <v>473</v>
      </c>
      <c r="G22" s="169">
        <v>3674363853</v>
      </c>
      <c r="H22" s="251" t="s">
        <v>473</v>
      </c>
      <c r="I22" s="324">
        <v>3674363853</v>
      </c>
      <c r="J22" s="362"/>
      <c r="L22" s="366">
        <f>SUMIF(T198_TB!$E:$E,TB!B22,T198_TB!$L:$L)</f>
        <v>4279594508</v>
      </c>
      <c r="M22" s="364">
        <f t="shared" si="0"/>
        <v>-605230655</v>
      </c>
    </row>
    <row r="23" spans="1:13">
      <c r="A23" s="365" t="s">
        <v>632</v>
      </c>
      <c r="B23" s="354">
        <v>1304</v>
      </c>
      <c r="C23" s="323" t="s">
        <v>46</v>
      </c>
      <c r="D23" s="251">
        <v>1000</v>
      </c>
      <c r="E23" s="251"/>
      <c r="F23" s="251" t="s">
        <v>473</v>
      </c>
      <c r="G23" s="169">
        <v>-1778908795</v>
      </c>
      <c r="H23" s="251" t="s">
        <v>473</v>
      </c>
      <c r="I23" s="324">
        <v>-1778908795</v>
      </c>
      <c r="J23" s="362"/>
      <c r="L23" s="366">
        <f>SUMIF(T198_TB!$E:$E,TB!B23,T198_TB!$L:$L)</f>
        <v>-1165347186</v>
      </c>
      <c r="M23" s="364">
        <f t="shared" si="0"/>
        <v>-613561609</v>
      </c>
    </row>
    <row r="24" spans="1:13">
      <c r="A24" s="365" t="s">
        <v>632</v>
      </c>
      <c r="B24" s="354">
        <v>1305</v>
      </c>
      <c r="C24" s="323" t="s">
        <v>47</v>
      </c>
      <c r="D24" s="251">
        <v>1000</v>
      </c>
      <c r="E24" s="251"/>
      <c r="F24" s="251" t="s">
        <v>473</v>
      </c>
      <c r="G24" s="169">
        <v>943669616</v>
      </c>
      <c r="H24" s="251" t="s">
        <v>473</v>
      </c>
      <c r="I24" s="324">
        <v>943669616</v>
      </c>
      <c r="J24" s="362"/>
      <c r="L24" s="366">
        <f>SUMIF(T198_TB!$E:$E,TB!B24,T198_TB!$L:$L)</f>
        <v>1853002880</v>
      </c>
      <c r="M24" s="364">
        <f t="shared" si="0"/>
        <v>-909333264</v>
      </c>
    </row>
    <row r="25" spans="1:13">
      <c r="A25" s="365" t="s">
        <v>632</v>
      </c>
      <c r="B25" s="354">
        <v>1306</v>
      </c>
      <c r="C25" s="323" t="s">
        <v>48</v>
      </c>
      <c r="D25" s="251">
        <v>1000</v>
      </c>
      <c r="E25" s="251"/>
      <c r="F25" s="251" t="s">
        <v>473</v>
      </c>
      <c r="G25" s="169">
        <v>-669016452</v>
      </c>
      <c r="H25" s="251" t="s">
        <v>473</v>
      </c>
      <c r="I25" s="324">
        <v>-669016452</v>
      </c>
      <c r="J25" s="362"/>
      <c r="L25" s="366">
        <f>SUMIF(T198_TB!$E:$E,TB!B25,T198_TB!$L:$L)</f>
        <v>-589355725</v>
      </c>
      <c r="M25" s="364">
        <f t="shared" si="0"/>
        <v>-79660727</v>
      </c>
    </row>
    <row r="26" spans="1:13">
      <c r="A26" s="365" t="s">
        <v>632</v>
      </c>
      <c r="B26" s="354">
        <v>1307</v>
      </c>
      <c r="C26" s="323" t="s">
        <v>49</v>
      </c>
      <c r="D26" s="251">
        <v>1000</v>
      </c>
      <c r="E26" s="251"/>
      <c r="F26" s="251" t="s">
        <v>473</v>
      </c>
      <c r="G26" s="169">
        <v>9365336922</v>
      </c>
      <c r="H26" s="251" t="s">
        <v>473</v>
      </c>
      <c r="I26" s="324">
        <v>9365336922</v>
      </c>
      <c r="J26" s="362"/>
      <c r="L26" s="366">
        <f>SUMIF(T198_TB!$E:$E,TB!B26,T198_TB!$L:$L)</f>
        <v>10042110360</v>
      </c>
      <c r="M26" s="364">
        <f t="shared" si="0"/>
        <v>-676773438</v>
      </c>
    </row>
    <row r="27" spans="1:13">
      <c r="A27" s="365" t="s">
        <v>632</v>
      </c>
      <c r="B27" s="354">
        <v>1308</v>
      </c>
      <c r="C27" s="323" t="s">
        <v>50</v>
      </c>
      <c r="D27" s="251">
        <v>1000</v>
      </c>
      <c r="E27" s="251"/>
      <c r="F27" s="251" t="s">
        <v>473</v>
      </c>
      <c r="G27" s="169">
        <v>-7475833463</v>
      </c>
      <c r="H27" s="251" t="s">
        <v>473</v>
      </c>
      <c r="I27" s="324">
        <v>-7475833463</v>
      </c>
      <c r="J27" s="362"/>
      <c r="L27" s="366">
        <f>SUMIF(T198_TB!$E:$E,TB!B27,T198_TB!$L:$L)</f>
        <v>-5398788677</v>
      </c>
      <c r="M27" s="364">
        <f t="shared" si="0"/>
        <v>-2077044786</v>
      </c>
    </row>
    <row r="28" spans="1:13">
      <c r="A28" s="365" t="s">
        <v>632</v>
      </c>
      <c r="B28" s="354">
        <v>2701</v>
      </c>
      <c r="C28" s="323" t="s">
        <v>101</v>
      </c>
      <c r="D28" s="251">
        <v>1000</v>
      </c>
      <c r="E28" s="251"/>
      <c r="F28" s="251" t="s">
        <v>473</v>
      </c>
      <c r="G28" s="169">
        <v>5473422543</v>
      </c>
      <c r="H28" s="251" t="s">
        <v>473</v>
      </c>
      <c r="I28" s="324">
        <v>5473422543</v>
      </c>
      <c r="J28" s="362"/>
      <c r="L28" s="366">
        <f>SUMIF(T198_TB!$E:$E,TB!B28,T198_TB!$L:$L)</f>
        <v>9686853866</v>
      </c>
      <c r="M28" s="364">
        <f t="shared" si="0"/>
        <v>-4213431323</v>
      </c>
    </row>
    <row r="29" spans="1:13">
      <c r="A29" s="365" t="s">
        <v>632</v>
      </c>
      <c r="B29" s="354">
        <v>2702</v>
      </c>
      <c r="C29" s="323" t="s">
        <v>1588</v>
      </c>
      <c r="D29" s="251">
        <v>1000</v>
      </c>
      <c r="E29" s="251"/>
      <c r="F29" s="251" t="s">
        <v>473</v>
      </c>
      <c r="G29" s="169">
        <v>-3861813517</v>
      </c>
      <c r="H29" s="251" t="s">
        <v>473</v>
      </c>
      <c r="I29" s="324">
        <v>-3861813517</v>
      </c>
      <c r="J29" s="362"/>
      <c r="L29" s="366">
        <f>SUMIF(T198_TB!$E:$E,TB!B29,T198_TB!$L:$L)</f>
        <v>-8085785884</v>
      </c>
      <c r="M29" s="364">
        <f t="shared" si="0"/>
        <v>4223972367</v>
      </c>
    </row>
    <row r="30" spans="1:13">
      <c r="A30" s="365" t="s">
        <v>632</v>
      </c>
      <c r="B30" s="354">
        <v>2801</v>
      </c>
      <c r="C30" s="325" t="s">
        <v>103</v>
      </c>
      <c r="D30" s="251">
        <v>1000</v>
      </c>
      <c r="E30" s="251"/>
      <c r="F30" s="251" t="s">
        <v>473</v>
      </c>
      <c r="G30" s="169">
        <v>96167436</v>
      </c>
      <c r="H30" s="251" t="s">
        <v>473</v>
      </c>
      <c r="I30" s="324">
        <v>96167436</v>
      </c>
      <c r="J30" s="362"/>
      <c r="L30" s="366">
        <f>SUMIF(T198_TB!$E:$E,TB!B30,T198_TB!$L:$L)</f>
        <v>154590759</v>
      </c>
      <c r="M30" s="364">
        <f t="shared" si="0"/>
        <v>-58423323</v>
      </c>
    </row>
    <row r="31" spans="1:13">
      <c r="A31" s="365" t="s">
        <v>632</v>
      </c>
      <c r="B31" s="354">
        <v>2802</v>
      </c>
      <c r="C31" s="325" t="s">
        <v>1589</v>
      </c>
      <c r="D31" s="251">
        <v>1000</v>
      </c>
      <c r="E31" s="251"/>
      <c r="F31" s="251" t="s">
        <v>473</v>
      </c>
      <c r="G31" s="169">
        <v>-60693903</v>
      </c>
      <c r="H31" s="251" t="s">
        <v>473</v>
      </c>
      <c r="I31" s="324">
        <v>-60693903</v>
      </c>
      <c r="J31" s="362"/>
      <c r="L31" s="366">
        <f>SUMIF(T198_TB!$E:$E,TB!B31,T198_TB!$L:$L)</f>
        <v>-60201010</v>
      </c>
      <c r="M31" s="364">
        <f t="shared" si="0"/>
        <v>-492893</v>
      </c>
    </row>
    <row r="32" spans="1:13">
      <c r="A32" s="365" t="s">
        <v>632</v>
      </c>
      <c r="B32" s="354">
        <v>2401</v>
      </c>
      <c r="C32" s="325" t="s">
        <v>84</v>
      </c>
      <c r="D32" s="251">
        <v>1000</v>
      </c>
      <c r="E32" s="251"/>
      <c r="F32" s="251" t="s">
        <v>473</v>
      </c>
      <c r="G32" s="169">
        <v>31456249</v>
      </c>
      <c r="H32" s="251" t="s">
        <v>473</v>
      </c>
      <c r="I32" s="324">
        <v>31456249</v>
      </c>
      <c r="J32" s="362"/>
      <c r="L32" s="366">
        <f>SUMIF(T198_TB!$E:$E,TB!B32,T198_TB!$L:$L)</f>
        <v>31456249</v>
      </c>
      <c r="M32" s="364" t="str">
        <f t="shared" si="0"/>
        <v>TRUE</v>
      </c>
    </row>
    <row r="33" spans="1:13">
      <c r="A33" s="365" t="s">
        <v>632</v>
      </c>
      <c r="B33" s="354">
        <v>2402</v>
      </c>
      <c r="C33" s="325" t="s">
        <v>642</v>
      </c>
      <c r="D33" s="251">
        <v>1000</v>
      </c>
      <c r="E33" s="251"/>
      <c r="F33" s="251" t="s">
        <v>473</v>
      </c>
      <c r="G33" s="169">
        <v>-23828999</v>
      </c>
      <c r="H33" s="251" t="s">
        <v>473</v>
      </c>
      <c r="I33" s="324">
        <v>-23828999</v>
      </c>
      <c r="J33" s="362"/>
      <c r="L33" s="366">
        <f>SUMIF(T198_TB!$E:$E,TB!B33,T198_TB!$L:$L)</f>
        <v>-27730513</v>
      </c>
      <c r="M33" s="364">
        <f t="shared" si="0"/>
        <v>3901514</v>
      </c>
    </row>
    <row r="34" spans="1:13">
      <c r="A34" s="365" t="s">
        <v>632</v>
      </c>
      <c r="B34" s="354">
        <v>2404</v>
      </c>
      <c r="C34" s="325" t="s">
        <v>86</v>
      </c>
      <c r="D34" s="251">
        <v>1000</v>
      </c>
      <c r="E34" s="251"/>
      <c r="F34" s="251" t="s">
        <v>473</v>
      </c>
      <c r="G34" s="169">
        <v>209637249</v>
      </c>
      <c r="H34" s="251" t="s">
        <v>473</v>
      </c>
      <c r="I34" s="324">
        <v>209637249</v>
      </c>
      <c r="J34" s="362"/>
      <c r="L34" s="366">
        <f>SUMIF(T198_TB!$E:$E,TB!B34,T198_TB!$L:$L)</f>
        <v>209637249</v>
      </c>
      <c r="M34" s="364" t="str">
        <f t="shared" si="0"/>
        <v>TRUE</v>
      </c>
    </row>
    <row r="35" spans="1:13">
      <c r="A35" s="365" t="s">
        <v>632</v>
      </c>
      <c r="B35" s="354">
        <v>2405</v>
      </c>
      <c r="C35" s="323" t="s">
        <v>643</v>
      </c>
      <c r="D35" s="251">
        <v>1000</v>
      </c>
      <c r="E35" s="251"/>
      <c r="F35" s="251" t="s">
        <v>473</v>
      </c>
      <c r="G35" s="169">
        <v>-124040455</v>
      </c>
      <c r="H35" s="251" t="s">
        <v>473</v>
      </c>
      <c r="I35" s="324">
        <v>-124040455</v>
      </c>
      <c r="J35" s="362"/>
      <c r="L35" s="366">
        <f>SUMIF(T198_TB!$E:$E,TB!B35,T198_TB!$L:$L)</f>
        <v>-164352480</v>
      </c>
      <c r="M35" s="364">
        <f t="shared" si="0"/>
        <v>40312025</v>
      </c>
    </row>
    <row r="36" spans="1:13">
      <c r="A36" s="365" t="s">
        <v>632</v>
      </c>
      <c r="B36" s="354">
        <v>2406</v>
      </c>
      <c r="C36" s="323" t="s">
        <v>644</v>
      </c>
      <c r="D36" s="251">
        <v>1000</v>
      </c>
      <c r="E36" s="251"/>
      <c r="F36" s="251" t="s">
        <v>473</v>
      </c>
      <c r="G36" s="169">
        <v>-19482073</v>
      </c>
      <c r="H36" s="251" t="s">
        <v>473</v>
      </c>
      <c r="I36" s="324">
        <v>-19482073</v>
      </c>
      <c r="J36" s="362"/>
      <c r="L36" s="366">
        <f>SUMIF(T198_TB!$E:$E,TB!B36,T198_TB!$L:$L)</f>
        <v>-19482073</v>
      </c>
      <c r="M36" s="364" t="str">
        <f t="shared" si="0"/>
        <v>TRUE</v>
      </c>
    </row>
    <row r="37" spans="1:13">
      <c r="A37" s="365" t="s">
        <v>632</v>
      </c>
      <c r="B37" s="354">
        <v>2407</v>
      </c>
      <c r="C37" s="323" t="s">
        <v>89</v>
      </c>
      <c r="D37" s="251">
        <v>1000</v>
      </c>
      <c r="E37" s="251"/>
      <c r="F37" s="251" t="s">
        <v>473</v>
      </c>
      <c r="G37" s="169">
        <v>4701190665</v>
      </c>
      <c r="H37" s="251" t="s">
        <v>473</v>
      </c>
      <c r="I37" s="324">
        <v>4701190665</v>
      </c>
      <c r="J37" s="362"/>
      <c r="L37" s="366">
        <f>SUMIF(T198_TB!$E:$E,TB!B37,T198_TB!$L:$L)</f>
        <v>3918249092</v>
      </c>
      <c r="M37" s="364">
        <f t="shared" si="0"/>
        <v>782941573</v>
      </c>
    </row>
    <row r="38" spans="1:13">
      <c r="A38" s="365" t="s">
        <v>632</v>
      </c>
      <c r="B38" s="354">
        <v>2408</v>
      </c>
      <c r="C38" s="323" t="s">
        <v>645</v>
      </c>
      <c r="D38" s="251">
        <v>1000</v>
      </c>
      <c r="E38" s="251"/>
      <c r="F38" s="251" t="s">
        <v>473</v>
      </c>
      <c r="G38" s="169">
        <v>-3828386189</v>
      </c>
      <c r="H38" s="251" t="s">
        <v>473</v>
      </c>
      <c r="I38" s="324">
        <v>-3828386189</v>
      </c>
      <c r="J38" s="362"/>
      <c r="L38" s="366">
        <f>SUMIF(T198_TB!$E:$E,TB!B38,T198_TB!$L:$L)</f>
        <v>-3086005287</v>
      </c>
      <c r="M38" s="364">
        <f t="shared" si="0"/>
        <v>-742380902</v>
      </c>
    </row>
    <row r="39" spans="1:13">
      <c r="A39" s="365" t="s">
        <v>632</v>
      </c>
      <c r="B39" s="354">
        <v>2409</v>
      </c>
      <c r="C39" s="323" t="s">
        <v>646</v>
      </c>
      <c r="D39" s="251">
        <v>1000</v>
      </c>
      <c r="E39" s="251"/>
      <c r="F39" s="251" t="s">
        <v>473</v>
      </c>
      <c r="G39" s="169">
        <v>-258088071</v>
      </c>
      <c r="H39" s="251" t="s">
        <v>473</v>
      </c>
      <c r="I39" s="324">
        <v>-258088071</v>
      </c>
      <c r="J39" s="362"/>
      <c r="L39" s="366">
        <f>SUMIF(T198_TB!$E:$E,TB!B39,T198_TB!$L:$L)</f>
        <v>-266113106</v>
      </c>
      <c r="M39" s="364">
        <f t="shared" si="0"/>
        <v>8025035</v>
      </c>
    </row>
    <row r="40" spans="1:13">
      <c r="A40" s="365" t="s">
        <v>632</v>
      </c>
      <c r="B40" s="354">
        <v>2413</v>
      </c>
      <c r="C40" s="323" t="s">
        <v>95</v>
      </c>
      <c r="D40" s="251">
        <v>1000</v>
      </c>
      <c r="E40" s="251"/>
      <c r="F40" s="251" t="s">
        <v>473</v>
      </c>
      <c r="G40" s="169">
        <v>7414148656</v>
      </c>
      <c r="H40" s="251" t="s">
        <v>473</v>
      </c>
      <c r="I40" s="324">
        <v>7414148656</v>
      </c>
      <c r="J40" s="362"/>
      <c r="L40" s="366">
        <f>SUMIF(T198_TB!$E:$E,TB!B40,T198_TB!$L:$L)</f>
        <v>5903368570</v>
      </c>
      <c r="M40" s="364">
        <f t="shared" si="0"/>
        <v>1510780086</v>
      </c>
    </row>
    <row r="41" spans="1:13">
      <c r="A41" s="365" t="s">
        <v>632</v>
      </c>
      <c r="B41" s="354">
        <v>2414</v>
      </c>
      <c r="C41" s="323" t="s">
        <v>647</v>
      </c>
      <c r="D41" s="251">
        <v>1000</v>
      </c>
      <c r="E41" s="251"/>
      <c r="F41" s="251" t="s">
        <v>473</v>
      </c>
      <c r="G41" s="169">
        <v>-3630485026</v>
      </c>
      <c r="H41" s="251" t="s">
        <v>473</v>
      </c>
      <c r="I41" s="324">
        <v>-3630485026</v>
      </c>
      <c r="J41" s="362"/>
      <c r="L41" s="366">
        <f>SUMIF(T198_TB!$E:$E,TB!B41,T198_TB!$L:$L)</f>
        <v>-3895541310</v>
      </c>
      <c r="M41" s="364">
        <f t="shared" si="0"/>
        <v>265056284</v>
      </c>
    </row>
    <row r="42" spans="1:13">
      <c r="A42" s="365" t="s">
        <v>632</v>
      </c>
      <c r="B42" s="354">
        <v>2415</v>
      </c>
      <c r="C42" s="323" t="s">
        <v>648</v>
      </c>
      <c r="D42" s="251">
        <v>1000</v>
      </c>
      <c r="E42" s="251"/>
      <c r="F42" s="251" t="s">
        <v>473</v>
      </c>
      <c r="G42" s="169">
        <v>-2242592169</v>
      </c>
      <c r="H42" s="251" t="s">
        <v>473</v>
      </c>
      <c r="I42" s="324">
        <v>-2242592169</v>
      </c>
      <c r="J42" s="362"/>
      <c r="L42" s="366">
        <f>SUMIF(T198_TB!$E:$E,TB!B42,T198_TB!$L:$L)</f>
        <v>-259526662</v>
      </c>
      <c r="M42" s="364">
        <f t="shared" si="0"/>
        <v>-1983065507</v>
      </c>
    </row>
    <row r="43" spans="1:13">
      <c r="A43" s="365" t="s">
        <v>632</v>
      </c>
      <c r="B43" s="354">
        <v>2419</v>
      </c>
      <c r="C43" s="323" t="s">
        <v>533</v>
      </c>
      <c r="D43" s="251">
        <v>1000</v>
      </c>
      <c r="E43" s="251"/>
      <c r="F43" s="251" t="s">
        <v>473</v>
      </c>
      <c r="G43" s="169">
        <v>22500000</v>
      </c>
      <c r="H43" s="251" t="s">
        <v>473</v>
      </c>
      <c r="I43" s="324">
        <v>22500000</v>
      </c>
      <c r="J43" s="362"/>
      <c r="L43" s="366">
        <f>SUMIF(T198_TB!$E:$E,TB!B43,T198_TB!$L:$L)</f>
        <v>132828982</v>
      </c>
      <c r="M43" s="364">
        <f t="shared" si="0"/>
        <v>-110328982</v>
      </c>
    </row>
    <row r="44" spans="1:13">
      <c r="A44" s="365" t="s">
        <v>632</v>
      </c>
      <c r="B44" s="354">
        <v>2501</v>
      </c>
      <c r="C44" s="323" t="s">
        <v>649</v>
      </c>
      <c r="D44" s="251">
        <v>1000</v>
      </c>
      <c r="E44" s="251"/>
      <c r="F44" s="251" t="s">
        <v>473</v>
      </c>
      <c r="G44" s="169">
        <v>708636193</v>
      </c>
      <c r="H44" s="251" t="s">
        <v>473</v>
      </c>
      <c r="I44" s="324">
        <v>708636193</v>
      </c>
      <c r="J44" s="362"/>
      <c r="L44" s="366">
        <f>SUMIF(T198_TB!$E:$E,TB!B44,T198_TB!$L:$L)</f>
        <v>1767082723</v>
      </c>
      <c r="M44" s="364">
        <f t="shared" si="0"/>
        <v>-1058446530</v>
      </c>
    </row>
    <row r="45" spans="1:13">
      <c r="A45" s="365" t="s">
        <v>632</v>
      </c>
      <c r="B45" s="354">
        <v>2503</v>
      </c>
      <c r="C45" s="323" t="s">
        <v>110</v>
      </c>
      <c r="D45" s="251">
        <v>1000</v>
      </c>
      <c r="E45" s="251"/>
      <c r="F45" s="251" t="s">
        <v>473</v>
      </c>
      <c r="G45" s="169">
        <v>1315756304</v>
      </c>
      <c r="H45" s="251" t="s">
        <v>473</v>
      </c>
      <c r="I45" s="324">
        <v>1315756304</v>
      </c>
      <c r="J45" s="362"/>
      <c r="L45" s="366">
        <f>SUMIF(T198_TB!$E:$E,TB!B45,T198_TB!$L:$L)</f>
        <v>1525839605</v>
      </c>
      <c r="M45" s="364">
        <f t="shared" si="0"/>
        <v>-210083301</v>
      </c>
    </row>
    <row r="46" spans="1:13">
      <c r="A46" s="365" t="s">
        <v>632</v>
      </c>
      <c r="B46" s="354">
        <v>2505</v>
      </c>
      <c r="C46" s="323" t="s">
        <v>123</v>
      </c>
      <c r="D46" s="251">
        <v>1000</v>
      </c>
      <c r="E46" s="251"/>
      <c r="F46" s="251" t="s">
        <v>473</v>
      </c>
      <c r="G46" s="169">
        <v>3609717053</v>
      </c>
      <c r="H46" s="251" t="s">
        <v>473</v>
      </c>
      <c r="I46" s="324">
        <v>3609717053</v>
      </c>
      <c r="J46" s="362"/>
      <c r="L46" s="366">
        <f>SUMIF(T198_TB!$E:$E,TB!B46,T198_TB!$L:$L)</f>
        <v>2038567088</v>
      </c>
      <c r="M46" s="364">
        <f t="shared" si="0"/>
        <v>1571149965</v>
      </c>
    </row>
    <row r="47" spans="1:13">
      <c r="A47" s="365" t="s">
        <v>632</v>
      </c>
      <c r="B47" s="354">
        <v>2509</v>
      </c>
      <c r="C47" s="323" t="s">
        <v>1923</v>
      </c>
      <c r="D47" s="251">
        <v>1000</v>
      </c>
      <c r="E47" s="251"/>
      <c r="F47" s="251" t="s">
        <v>473</v>
      </c>
      <c r="G47" s="169">
        <v>462235490</v>
      </c>
      <c r="H47" s="251" t="s">
        <v>473</v>
      </c>
      <c r="I47" s="324">
        <v>462235490</v>
      </c>
      <c r="J47" s="362"/>
      <c r="L47" s="366">
        <f>SUMIF(T198_TB!$E:$E,TB!B47,T198_TB!$L:$L)</f>
        <v>462235490</v>
      </c>
      <c r="M47" s="364" t="str">
        <f t="shared" si="0"/>
        <v>TRUE</v>
      </c>
    </row>
    <row r="48" spans="1:13">
      <c r="A48" s="365" t="s">
        <v>632</v>
      </c>
      <c r="B48" s="354">
        <v>2507</v>
      </c>
      <c r="C48" s="323" t="s">
        <v>650</v>
      </c>
      <c r="D48" s="251">
        <v>1000</v>
      </c>
      <c r="E48" s="251"/>
      <c r="F48" s="251" t="s">
        <v>473</v>
      </c>
      <c r="G48" s="169">
        <v>11046983302</v>
      </c>
      <c r="H48" s="251" t="s">
        <v>473</v>
      </c>
      <c r="I48" s="324">
        <v>11046983302</v>
      </c>
      <c r="J48" s="362"/>
      <c r="L48" s="366">
        <f>SUMIF(T198_TB!$E:$E,TB!B48,T198_TB!$L:$L)</f>
        <v>1444590351</v>
      </c>
      <c r="M48" s="364">
        <f t="shared" si="0"/>
        <v>9602392951</v>
      </c>
    </row>
    <row r="49" spans="1:14">
      <c r="A49" s="365" t="s">
        <v>632</v>
      </c>
      <c r="B49" s="354">
        <v>2508</v>
      </c>
      <c r="C49" s="323" t="s">
        <v>129</v>
      </c>
      <c r="D49" s="251">
        <v>1000</v>
      </c>
      <c r="E49" s="251"/>
      <c r="F49" s="251" t="s">
        <v>473</v>
      </c>
      <c r="G49" s="169">
        <v>6710032272</v>
      </c>
      <c r="H49" s="251" t="s">
        <v>473</v>
      </c>
      <c r="I49" s="324">
        <v>6710032272</v>
      </c>
      <c r="J49" s="362"/>
      <c r="L49" s="366">
        <f>SUMIF(T198_TB!$E:$E,TB!B49,T198_TB!$L:$L)</f>
        <v>7403615721</v>
      </c>
      <c r="M49" s="364">
        <f t="shared" si="0"/>
        <v>-693583449</v>
      </c>
    </row>
    <row r="50" spans="1:14">
      <c r="A50" s="365" t="s">
        <v>632</v>
      </c>
      <c r="B50" s="354">
        <v>1213</v>
      </c>
      <c r="C50" s="323" t="s">
        <v>37</v>
      </c>
      <c r="D50" s="251">
        <v>1000</v>
      </c>
      <c r="E50" s="251"/>
      <c r="F50" s="251" t="s">
        <v>473</v>
      </c>
      <c r="G50" s="169">
        <v>1426104363</v>
      </c>
      <c r="H50" s="251" t="s">
        <v>473</v>
      </c>
      <c r="I50" s="324">
        <v>1426104363</v>
      </c>
      <c r="J50" s="362"/>
      <c r="L50" s="366">
        <f>SUMIF(T198_TB!$E:$E,TB!B50,T198_TB!$L:$L)</f>
        <v>1465123126</v>
      </c>
      <c r="M50" s="364">
        <f t="shared" si="0"/>
        <v>-39018763</v>
      </c>
    </row>
    <row r="51" spans="1:14">
      <c r="A51" s="365" t="s">
        <v>632</v>
      </c>
      <c r="B51" s="354" t="s">
        <v>1872</v>
      </c>
      <c r="C51" s="323" t="s">
        <v>75</v>
      </c>
      <c r="D51" s="251">
        <v>1000</v>
      </c>
      <c r="E51" s="251"/>
      <c r="F51" s="251" t="s">
        <v>473</v>
      </c>
      <c r="G51" s="169">
        <v>331906540</v>
      </c>
      <c r="H51" s="251" t="s">
        <v>473</v>
      </c>
      <c r="I51" s="324">
        <v>331906540</v>
      </c>
      <c r="J51" s="362"/>
      <c r="L51" s="366">
        <f>SUMIF(T198_TB!$E:$E,TB!B51,T198_TB!$L:$L)</f>
        <v>1523784916</v>
      </c>
      <c r="M51" s="364">
        <f t="shared" si="0"/>
        <v>-1191878376</v>
      </c>
    </row>
    <row r="52" spans="1:14">
      <c r="A52" s="365" t="s">
        <v>632</v>
      </c>
      <c r="B52" s="354">
        <v>2101</v>
      </c>
      <c r="C52" s="323" t="s">
        <v>1878</v>
      </c>
      <c r="D52" s="251">
        <v>1000</v>
      </c>
      <c r="E52" s="251"/>
      <c r="F52" s="251" t="s">
        <v>473</v>
      </c>
      <c r="G52" s="169">
        <v>1257560</v>
      </c>
      <c r="H52" s="251" t="s">
        <v>473</v>
      </c>
      <c r="I52" s="324">
        <v>1257560</v>
      </c>
      <c r="J52" s="362"/>
      <c r="L52" s="366">
        <f>SUMIF(T198_TB!$E:$E,TB!B52,T198_TB!$L:$L)</f>
        <v>1257560</v>
      </c>
      <c r="M52" s="364" t="str">
        <f t="shared" si="0"/>
        <v>TRUE</v>
      </c>
    </row>
    <row r="53" spans="1:14">
      <c r="A53" s="365" t="s">
        <v>632</v>
      </c>
      <c r="B53" s="354" t="s">
        <v>1873</v>
      </c>
      <c r="C53" s="323" t="s">
        <v>1879</v>
      </c>
      <c r="D53" s="251">
        <v>1000</v>
      </c>
      <c r="E53" s="251"/>
      <c r="F53" s="251" t="s">
        <v>473</v>
      </c>
      <c r="G53" s="169">
        <v>-21810731</v>
      </c>
      <c r="H53" s="251" t="s">
        <v>473</v>
      </c>
      <c r="I53" s="324">
        <v>-21810731</v>
      </c>
      <c r="J53" s="362"/>
      <c r="L53" s="366">
        <f>SUMIF(T198_TB!$E:$E,TB!B53,T198_TB!$L:$L)</f>
        <v>-109454918</v>
      </c>
      <c r="M53" s="364">
        <f t="shared" si="0"/>
        <v>87644187</v>
      </c>
    </row>
    <row r="54" spans="1:14">
      <c r="A54" s="365" t="s">
        <v>632</v>
      </c>
      <c r="B54" s="354">
        <v>2603</v>
      </c>
      <c r="C54" s="323" t="s">
        <v>1736</v>
      </c>
      <c r="D54" s="251">
        <v>1000</v>
      </c>
      <c r="E54" s="251"/>
      <c r="F54" s="251" t="s">
        <v>473</v>
      </c>
      <c r="G54" s="169">
        <v>996359683</v>
      </c>
      <c r="H54" s="251" t="s">
        <v>473</v>
      </c>
      <c r="I54" s="324">
        <v>996359683</v>
      </c>
      <c r="J54" s="362"/>
      <c r="L54" s="366">
        <f>SUMIF(T198_TB!$E:$E,TB!B54,T198_TB!$L:$L)</f>
        <v>0</v>
      </c>
      <c r="M54" s="364">
        <f t="shared" si="0"/>
        <v>996359683</v>
      </c>
    </row>
    <row r="55" spans="1:14">
      <c r="A55" s="365" t="s">
        <v>632</v>
      </c>
      <c r="B55" s="354">
        <v>2302</v>
      </c>
      <c r="C55" s="323" t="s">
        <v>136</v>
      </c>
      <c r="D55" s="251">
        <v>1000</v>
      </c>
      <c r="E55" s="251"/>
      <c r="F55" s="251" t="s">
        <v>473</v>
      </c>
      <c r="G55" s="169">
        <v>0</v>
      </c>
      <c r="H55" s="251" t="s">
        <v>473</v>
      </c>
      <c r="I55" s="324">
        <v>0</v>
      </c>
      <c r="J55" s="362"/>
      <c r="L55" s="366">
        <f>SUMIF(T198_TB!$E:$E,TB!B55,T198_TB!$L:$L)</f>
        <v>0</v>
      </c>
      <c r="M55" s="364" t="str">
        <f t="shared" si="0"/>
        <v>TRUE</v>
      </c>
    </row>
    <row r="56" spans="1:14">
      <c r="A56" s="365" t="s">
        <v>632</v>
      </c>
      <c r="B56" s="354" t="s">
        <v>1876</v>
      </c>
      <c r="C56" s="323" t="s">
        <v>1785</v>
      </c>
      <c r="D56" s="251">
        <v>1000</v>
      </c>
      <c r="E56" s="251"/>
      <c r="F56" s="251" t="s">
        <v>473</v>
      </c>
      <c r="G56" s="169">
        <v>0</v>
      </c>
      <c r="H56" s="251" t="s">
        <v>473</v>
      </c>
      <c r="I56" s="324">
        <v>0</v>
      </c>
      <c r="J56" s="362"/>
      <c r="L56" s="366">
        <f>SUMIF(T198_TB!$E:$E,TB!B56,T198_TB!$L:$L)</f>
        <v>0</v>
      </c>
      <c r="M56" s="364" t="str">
        <f t="shared" si="0"/>
        <v>TRUE</v>
      </c>
    </row>
    <row r="57" spans="1:14">
      <c r="A57" s="365" t="s">
        <v>632</v>
      </c>
      <c r="B57" s="354">
        <v>3101</v>
      </c>
      <c r="C57" s="323" t="s">
        <v>651</v>
      </c>
      <c r="D57" s="251">
        <v>1000</v>
      </c>
      <c r="E57" s="251"/>
      <c r="F57" s="251" t="s">
        <v>473</v>
      </c>
      <c r="G57" s="169">
        <v>-31099047717</v>
      </c>
      <c r="H57" s="251" t="s">
        <v>473</v>
      </c>
      <c r="I57" s="324">
        <v>-31099047717</v>
      </c>
      <c r="J57" s="362"/>
      <c r="L57" s="366">
        <f>SUMIF(T198_TB!$E:$E,TB!B57,T198_TB!$L:$L)</f>
        <v>-39259372795</v>
      </c>
      <c r="M57" s="364">
        <f t="shared" si="0"/>
        <v>8160325078</v>
      </c>
    </row>
    <row r="58" spans="1:14">
      <c r="A58" s="365" t="s">
        <v>632</v>
      </c>
      <c r="B58" s="354">
        <v>3405</v>
      </c>
      <c r="C58" s="323" t="s">
        <v>652</v>
      </c>
      <c r="D58" s="251">
        <v>1000</v>
      </c>
      <c r="E58" s="251"/>
      <c r="F58" s="251" t="s">
        <v>473</v>
      </c>
      <c r="G58" s="169">
        <v>0</v>
      </c>
      <c r="H58" s="251" t="s">
        <v>473</v>
      </c>
      <c r="I58" s="324">
        <v>0</v>
      </c>
      <c r="J58" s="362"/>
      <c r="L58" s="366">
        <f>SUMIF(T198_TB!$E:$E,TB!B58,T198_TB!$L:$L)</f>
        <v>0</v>
      </c>
      <c r="M58" s="364" t="str">
        <f t="shared" si="0"/>
        <v>TRUE</v>
      </c>
    </row>
    <row r="59" spans="1:14">
      <c r="A59" s="365" t="s">
        <v>632</v>
      </c>
      <c r="B59" s="354">
        <v>3102</v>
      </c>
      <c r="C59" s="323" t="s">
        <v>653</v>
      </c>
      <c r="D59" s="251">
        <v>1000</v>
      </c>
      <c r="E59" s="251"/>
      <c r="F59" s="251" t="s">
        <v>473</v>
      </c>
      <c r="G59" s="169">
        <v>-16092496761</v>
      </c>
      <c r="H59" s="251" t="s">
        <v>473</v>
      </c>
      <c r="I59" s="324">
        <v>-16092496761</v>
      </c>
      <c r="J59" s="362"/>
      <c r="L59" s="366">
        <f>SUMIF(T198_TB!$E:$E,TB!B59,T198_TB!$L:$L)</f>
        <v>-41898686163</v>
      </c>
      <c r="M59" s="364">
        <f t="shared" si="0"/>
        <v>25806189402</v>
      </c>
    </row>
    <row r="60" spans="1:14">
      <c r="A60" s="365" t="s">
        <v>632</v>
      </c>
      <c r="B60" s="354">
        <v>3401</v>
      </c>
      <c r="C60" s="323" t="s">
        <v>654</v>
      </c>
      <c r="D60" s="251">
        <v>1000</v>
      </c>
      <c r="E60" s="251"/>
      <c r="F60" s="251" t="s">
        <v>473</v>
      </c>
      <c r="G60" s="169">
        <v>0</v>
      </c>
      <c r="H60" s="251" t="s">
        <v>473</v>
      </c>
      <c r="I60" s="324">
        <v>0</v>
      </c>
      <c r="J60" s="362"/>
      <c r="L60" s="366">
        <f>SUMIF(T198_TB!$E:$E,TB!B60,T198_TB!$L:$L)</f>
        <v>-260934294</v>
      </c>
      <c r="M60" s="364">
        <f t="shared" si="0"/>
        <v>260934294</v>
      </c>
    </row>
    <row r="61" spans="1:14">
      <c r="A61" s="365" t="s">
        <v>632</v>
      </c>
      <c r="B61" s="354">
        <v>3402</v>
      </c>
      <c r="C61" s="323" t="s">
        <v>655</v>
      </c>
      <c r="D61" s="251">
        <v>1000</v>
      </c>
      <c r="E61" s="251"/>
      <c r="F61" s="251" t="s">
        <v>473</v>
      </c>
      <c r="G61" s="169">
        <v>-1682268188</v>
      </c>
      <c r="H61" s="251" t="s">
        <v>473</v>
      </c>
      <c r="I61" s="324">
        <v>-1682268188</v>
      </c>
      <c r="J61" s="362"/>
      <c r="L61" s="366">
        <f>SUMIF(T198_TB!$E:$E,TB!B61,T198_TB!$L:$L)</f>
        <v>-594690241</v>
      </c>
      <c r="M61" s="364">
        <f t="shared" si="0"/>
        <v>-1087577947</v>
      </c>
    </row>
    <row r="62" spans="1:14">
      <c r="A62" s="365" t="s">
        <v>632</v>
      </c>
      <c r="B62" s="354">
        <v>3201</v>
      </c>
      <c r="C62" s="323" t="s">
        <v>656</v>
      </c>
      <c r="D62" s="251">
        <v>1000</v>
      </c>
      <c r="E62" s="251"/>
      <c r="F62" s="251" t="s">
        <v>473</v>
      </c>
      <c r="G62" s="169">
        <v>-59401797</v>
      </c>
      <c r="H62" s="251" t="s">
        <v>473</v>
      </c>
      <c r="I62" s="324">
        <v>-59401797</v>
      </c>
      <c r="J62" s="362"/>
      <c r="L62" s="366">
        <f>SUMIF(T198_TB!$E:$E,TB!B62,T198_TB!$L:$L)</f>
        <v>-17944904</v>
      </c>
      <c r="M62" s="364">
        <f t="shared" si="0"/>
        <v>-41456893</v>
      </c>
      <c r="N62" s="366"/>
    </row>
    <row r="63" spans="1:14">
      <c r="A63" s="365" t="s">
        <v>632</v>
      </c>
      <c r="B63" s="354">
        <v>3103</v>
      </c>
      <c r="C63" s="323" t="s">
        <v>657</v>
      </c>
      <c r="D63" s="251">
        <v>1000</v>
      </c>
      <c r="E63" s="251"/>
      <c r="F63" s="251" t="s">
        <v>473</v>
      </c>
      <c r="G63" s="169">
        <v>-1846075494</v>
      </c>
      <c r="H63" s="251" t="s">
        <v>473</v>
      </c>
      <c r="I63" s="324">
        <v>-1846075494</v>
      </c>
      <c r="J63" s="362"/>
      <c r="L63" s="366">
        <f>SUMIF(T198_TB!$E:$E,TB!B63,T198_TB!$L:$L)</f>
        <v>-1984258486</v>
      </c>
      <c r="M63" s="364">
        <f t="shared" si="0"/>
        <v>138182992</v>
      </c>
    </row>
    <row r="64" spans="1:14">
      <c r="A64" s="365" t="s">
        <v>632</v>
      </c>
      <c r="B64" s="354">
        <v>3501</v>
      </c>
      <c r="C64" s="323" t="s">
        <v>658</v>
      </c>
      <c r="D64" s="251">
        <v>1000</v>
      </c>
      <c r="E64" s="251"/>
      <c r="F64" s="251" t="s">
        <v>473</v>
      </c>
      <c r="G64" s="169">
        <v>0</v>
      </c>
      <c r="H64" s="251" t="s">
        <v>473</v>
      </c>
      <c r="I64" s="324">
        <v>0</v>
      </c>
      <c r="J64" s="362"/>
      <c r="L64" s="366">
        <f>SUMIF(T198_TB!$E:$E,TB!B64,T198_TB!$L:$L)</f>
        <v>0</v>
      </c>
      <c r="M64" s="364" t="str">
        <f t="shared" si="0"/>
        <v>TRUE</v>
      </c>
    </row>
    <row r="65" spans="1:13">
      <c r="A65" s="365" t="s">
        <v>632</v>
      </c>
      <c r="B65" s="354">
        <v>3503</v>
      </c>
      <c r="C65" s="323" t="s">
        <v>659</v>
      </c>
      <c r="D65" s="251">
        <v>1000</v>
      </c>
      <c r="E65" s="251"/>
      <c r="F65" s="251" t="s">
        <v>473</v>
      </c>
      <c r="G65" s="169">
        <v>0</v>
      </c>
      <c r="H65" s="251" t="s">
        <v>473</v>
      </c>
      <c r="I65" s="324">
        <v>0</v>
      </c>
      <c r="J65" s="362"/>
      <c r="L65" s="366">
        <f>SUMIF(T198_TB!$E:$E,TB!B65,T198_TB!$L:$L)</f>
        <v>0</v>
      </c>
      <c r="M65" s="364" t="str">
        <f t="shared" si="0"/>
        <v>TRUE</v>
      </c>
    </row>
    <row r="66" spans="1:13">
      <c r="A66" s="365" t="s">
        <v>632</v>
      </c>
      <c r="B66" s="354">
        <v>3502</v>
      </c>
      <c r="C66" s="323" t="s">
        <v>660</v>
      </c>
      <c r="D66" s="251">
        <v>1000</v>
      </c>
      <c r="E66" s="251"/>
      <c r="F66" s="251" t="s">
        <v>473</v>
      </c>
      <c r="G66" s="169">
        <v>0</v>
      </c>
      <c r="H66" s="251" t="s">
        <v>473</v>
      </c>
      <c r="I66" s="324">
        <v>0</v>
      </c>
      <c r="J66" s="362"/>
      <c r="L66" s="366">
        <f>SUMIF(T198_TB!$E:$E,TB!B66,T198_TB!$L:$L)</f>
        <v>0</v>
      </c>
      <c r="M66" s="364" t="str">
        <f t="shared" si="0"/>
        <v>TRUE</v>
      </c>
    </row>
    <row r="67" spans="1:13">
      <c r="A67" s="365" t="s">
        <v>632</v>
      </c>
      <c r="B67" s="354">
        <v>3504</v>
      </c>
      <c r="C67" s="325" t="s">
        <v>1590</v>
      </c>
      <c r="D67" s="251">
        <v>1000</v>
      </c>
      <c r="E67" s="251"/>
      <c r="F67" s="251" t="s">
        <v>473</v>
      </c>
      <c r="G67" s="169">
        <v>-1207300989</v>
      </c>
      <c r="H67" s="251" t="s">
        <v>473</v>
      </c>
      <c r="I67" s="324">
        <v>-1207300989</v>
      </c>
      <c r="J67" s="362"/>
      <c r="L67" s="366">
        <f>SUMIF(T198_TB!$E:$E,TB!B67,T198_TB!$L:$L)</f>
        <v>-2069673958</v>
      </c>
      <c r="M67" s="364">
        <f t="shared" ref="M67:M130" si="1">IF(I67=L67,"TRUE",I67-L67)</f>
        <v>862372969</v>
      </c>
    </row>
    <row r="68" spans="1:13">
      <c r="A68" s="365" t="s">
        <v>632</v>
      </c>
      <c r="B68" s="359">
        <v>3404</v>
      </c>
      <c r="C68" s="323" t="s">
        <v>180</v>
      </c>
      <c r="D68" s="251">
        <v>1000</v>
      </c>
      <c r="E68" s="251"/>
      <c r="F68" s="251" t="s">
        <v>473</v>
      </c>
      <c r="G68" s="169">
        <v>-326579310</v>
      </c>
      <c r="H68" s="251" t="s">
        <v>473</v>
      </c>
      <c r="I68" s="324">
        <v>-326579310</v>
      </c>
      <c r="J68" s="362"/>
      <c r="L68" s="366">
        <f>SUMIF(T198_TB!$E:$E,TB!B68,T198_TB!$L:$L)</f>
        <v>-399893521</v>
      </c>
      <c r="M68" s="364">
        <f t="shared" si="1"/>
        <v>73314211</v>
      </c>
    </row>
    <row r="69" spans="1:13">
      <c r="A69" s="365" t="s">
        <v>632</v>
      </c>
      <c r="B69" s="359">
        <v>3403</v>
      </c>
      <c r="C69" s="323" t="s">
        <v>661</v>
      </c>
      <c r="D69" s="251">
        <v>1000</v>
      </c>
      <c r="E69" s="251"/>
      <c r="F69" s="251" t="s">
        <v>473</v>
      </c>
      <c r="G69" s="169">
        <v>0</v>
      </c>
      <c r="H69" s="251" t="s">
        <v>473</v>
      </c>
      <c r="I69" s="324">
        <v>0</v>
      </c>
      <c r="J69" s="362"/>
      <c r="L69" s="366">
        <f>SUMIF(T198_TB!$E:$E,TB!B69,T198_TB!$L:$L)</f>
        <v>0</v>
      </c>
      <c r="M69" s="364" t="str">
        <f t="shared" si="1"/>
        <v>TRUE</v>
      </c>
    </row>
    <row r="70" spans="1:13">
      <c r="A70" s="365" t="s">
        <v>632</v>
      </c>
      <c r="B70" s="354">
        <v>4601</v>
      </c>
      <c r="C70" s="323" t="s">
        <v>1591</v>
      </c>
      <c r="D70" s="251">
        <v>1000</v>
      </c>
      <c r="E70" s="251"/>
      <c r="F70" s="251" t="s">
        <v>473</v>
      </c>
      <c r="G70" s="169">
        <v>-471450218</v>
      </c>
      <c r="H70" s="251" t="s">
        <v>473</v>
      </c>
      <c r="I70" s="324">
        <v>-471450218</v>
      </c>
      <c r="J70" s="362"/>
      <c r="L70" s="366">
        <f>SUMIF(T198_TB!$E:$E,TB!B70,T198_TB!$L:$L)</f>
        <v>-178085696</v>
      </c>
      <c r="M70" s="364">
        <f t="shared" si="1"/>
        <v>-293364522</v>
      </c>
    </row>
    <row r="71" spans="1:13">
      <c r="A71" s="365" t="s">
        <v>632</v>
      </c>
      <c r="B71" s="354">
        <v>4201</v>
      </c>
      <c r="C71" s="323" t="s">
        <v>662</v>
      </c>
      <c r="D71" s="251">
        <v>1000</v>
      </c>
      <c r="E71" s="251"/>
      <c r="F71" s="251" t="s">
        <v>473</v>
      </c>
      <c r="G71" s="169">
        <v>-6416037311</v>
      </c>
      <c r="H71" s="251" t="s">
        <v>473</v>
      </c>
      <c r="I71" s="324">
        <v>-6416037311</v>
      </c>
      <c r="J71" s="362"/>
      <c r="L71" s="366">
        <f>SUMIF(T198_TB!$E:$E,TB!B71,T198_TB!$L:$L)</f>
        <v>-7370925292</v>
      </c>
      <c r="M71" s="364">
        <f t="shared" si="1"/>
        <v>954887981</v>
      </c>
    </row>
    <row r="72" spans="1:13">
      <c r="A72" s="365" t="s">
        <v>632</v>
      </c>
      <c r="B72" s="354">
        <v>4202</v>
      </c>
      <c r="C72" s="323" t="s">
        <v>663</v>
      </c>
      <c r="D72" s="251">
        <v>1000</v>
      </c>
      <c r="E72" s="251"/>
      <c r="F72" s="251" t="s">
        <v>473</v>
      </c>
      <c r="G72" s="169">
        <v>4002777243</v>
      </c>
      <c r="H72" s="251" t="s">
        <v>473</v>
      </c>
      <c r="I72" s="324">
        <v>4002777243</v>
      </c>
      <c r="J72" s="362"/>
      <c r="L72" s="366">
        <f>SUMIF(T198_TB!$E:$E,TB!B72,T198_TB!$L:$L)</f>
        <v>6605671393</v>
      </c>
      <c r="M72" s="364">
        <f t="shared" si="1"/>
        <v>-2602894150</v>
      </c>
    </row>
    <row r="73" spans="1:13">
      <c r="A73" s="365" t="s">
        <v>632</v>
      </c>
      <c r="B73" s="354">
        <v>4402</v>
      </c>
      <c r="C73" s="323" t="s">
        <v>188</v>
      </c>
      <c r="D73" s="251">
        <v>1000</v>
      </c>
      <c r="E73" s="251"/>
      <c r="F73" s="251" t="s">
        <v>473</v>
      </c>
      <c r="G73" s="169">
        <v>-109150543</v>
      </c>
      <c r="H73" s="251" t="s">
        <v>473</v>
      </c>
      <c r="I73" s="324">
        <v>-109150543</v>
      </c>
      <c r="J73" s="362"/>
      <c r="L73" s="366">
        <f>SUMIF(T198_TB!$E:$E,TB!B73,T198_TB!$L:$L)</f>
        <v>-113209782</v>
      </c>
      <c r="M73" s="364">
        <f t="shared" si="1"/>
        <v>4059239</v>
      </c>
    </row>
    <row r="74" spans="1:13">
      <c r="A74" s="365" t="s">
        <v>632</v>
      </c>
      <c r="B74" s="354">
        <v>4301</v>
      </c>
      <c r="C74" s="323" t="s">
        <v>664</v>
      </c>
      <c r="D74" s="251">
        <v>1000</v>
      </c>
      <c r="E74" s="251"/>
      <c r="F74" s="251" t="s">
        <v>473</v>
      </c>
      <c r="G74" s="169">
        <v>-1747669659</v>
      </c>
      <c r="H74" s="251" t="s">
        <v>473</v>
      </c>
      <c r="I74" s="324">
        <v>-1747669659</v>
      </c>
      <c r="J74" s="362"/>
      <c r="L74" s="366">
        <f>SUMIF(T198_TB!$E:$E,TB!B74,T198_TB!$L:$L)</f>
        <v>0</v>
      </c>
      <c r="M74" s="364">
        <f t="shared" si="1"/>
        <v>-1747669659</v>
      </c>
    </row>
    <row r="75" spans="1:13">
      <c r="A75" s="365" t="s">
        <v>632</v>
      </c>
      <c r="B75" s="354">
        <v>4103</v>
      </c>
      <c r="C75" s="323" t="s">
        <v>1587</v>
      </c>
      <c r="D75" s="251">
        <v>1000</v>
      </c>
      <c r="E75" s="251"/>
      <c r="F75" s="251" t="s">
        <v>473</v>
      </c>
      <c r="G75" s="169">
        <v>0</v>
      </c>
      <c r="H75" s="251" t="s">
        <v>473</v>
      </c>
      <c r="I75" s="324">
        <v>0</v>
      </c>
      <c r="J75" s="362"/>
      <c r="L75" s="366">
        <f>SUMIF(T198_TB!$E:$E,TB!B75,T198_TB!$L:$L)</f>
        <v>0</v>
      </c>
      <c r="M75" s="364" t="str">
        <f t="shared" si="1"/>
        <v>TRUE</v>
      </c>
    </row>
    <row r="76" spans="1:13">
      <c r="A76" s="365" t="s">
        <v>632</v>
      </c>
      <c r="B76" s="354">
        <v>112900</v>
      </c>
      <c r="C76" s="323" t="s">
        <v>1593</v>
      </c>
      <c r="D76" s="251">
        <v>1000</v>
      </c>
      <c r="E76" s="251"/>
      <c r="F76" s="251" t="s">
        <v>473</v>
      </c>
      <c r="G76" s="169">
        <v>354388</v>
      </c>
      <c r="H76" s="251" t="s">
        <v>473</v>
      </c>
      <c r="I76" s="324">
        <v>354388</v>
      </c>
      <c r="J76" s="362"/>
      <c r="L76" s="366">
        <f>SUMIF(T198_TB!$E:$E,TB!B76,T198_TB!$L:$L)</f>
        <v>0</v>
      </c>
      <c r="M76" s="364">
        <f t="shared" si="1"/>
        <v>354388</v>
      </c>
    </row>
    <row r="77" spans="1:13">
      <c r="A77" s="365" t="s">
        <v>632</v>
      </c>
      <c r="B77" s="354">
        <v>219000</v>
      </c>
      <c r="C77" s="323" t="s">
        <v>1594</v>
      </c>
      <c r="D77" s="251">
        <v>1000</v>
      </c>
      <c r="E77" s="251"/>
      <c r="F77" s="251" t="s">
        <v>473</v>
      </c>
      <c r="G77" s="169">
        <v>-856264297</v>
      </c>
      <c r="H77" s="251" t="s">
        <v>473</v>
      </c>
      <c r="I77" s="324">
        <v>-856264297</v>
      </c>
      <c r="J77" s="362"/>
      <c r="L77" s="366">
        <f>SUMIF(T198_TB!$E:$E,TB!B77,T198_TB!$L:$L)</f>
        <v>-909727738</v>
      </c>
      <c r="M77" s="364">
        <f t="shared" si="1"/>
        <v>53463441</v>
      </c>
    </row>
    <row r="78" spans="1:13">
      <c r="A78" s="365" t="s">
        <v>632</v>
      </c>
      <c r="B78" s="354">
        <v>5101</v>
      </c>
      <c r="C78" s="323" t="s">
        <v>190</v>
      </c>
      <c r="D78" s="251">
        <v>1000</v>
      </c>
      <c r="E78" s="251"/>
      <c r="F78" s="251" t="s">
        <v>473</v>
      </c>
      <c r="G78" s="169">
        <v>-28429923500</v>
      </c>
      <c r="H78" s="251" t="s">
        <v>473</v>
      </c>
      <c r="I78" s="324">
        <v>-28429923500</v>
      </c>
      <c r="J78" s="362"/>
      <c r="L78" s="366">
        <f>SUMIF(T198_TB!$E:$E,TB!B78,T198_TB!$L:$L)</f>
        <v>-28429923500</v>
      </c>
      <c r="M78" s="364" t="str">
        <f t="shared" si="1"/>
        <v>TRUE</v>
      </c>
    </row>
    <row r="79" spans="1:13">
      <c r="A79" s="365" t="s">
        <v>632</v>
      </c>
      <c r="B79" s="354">
        <v>5201</v>
      </c>
      <c r="C79" s="323" t="s">
        <v>191</v>
      </c>
      <c r="D79" s="251">
        <v>1000</v>
      </c>
      <c r="E79" s="251"/>
      <c r="F79" s="251" t="s">
        <v>473</v>
      </c>
      <c r="G79" s="169">
        <v>-177997002186</v>
      </c>
      <c r="H79" s="251" t="s">
        <v>473</v>
      </c>
      <c r="I79" s="324">
        <v>-177997002186</v>
      </c>
      <c r="J79" s="362"/>
      <c r="L79" s="366">
        <f>SUMIF(T198_TB!$E:$E,TB!B79,T198_TB!$L:$L)</f>
        <v>-59065212344</v>
      </c>
      <c r="M79" s="364">
        <f t="shared" si="1"/>
        <v>-118931789842</v>
      </c>
    </row>
    <row r="80" spans="1:13">
      <c r="A80" s="365" t="s">
        <v>632</v>
      </c>
      <c r="B80" s="354">
        <v>5202</v>
      </c>
      <c r="C80" s="323" t="s">
        <v>665</v>
      </c>
      <c r="D80" s="251">
        <v>1000</v>
      </c>
      <c r="E80" s="251"/>
      <c r="F80" s="251" t="s">
        <v>473</v>
      </c>
      <c r="G80" s="169">
        <v>-562575670</v>
      </c>
      <c r="H80" s="251" t="s">
        <v>473</v>
      </c>
      <c r="I80" s="324">
        <v>-562575670</v>
      </c>
      <c r="J80" s="362"/>
      <c r="L80" s="366">
        <f>SUMIF(T198_TB!$E:$E,TB!B80,T198_TB!$L:$L)</f>
        <v>-1076616039</v>
      </c>
      <c r="M80" s="364">
        <f t="shared" si="1"/>
        <v>514040369</v>
      </c>
    </row>
    <row r="81" spans="1:13">
      <c r="A81" s="365" t="s">
        <v>632</v>
      </c>
      <c r="B81" s="354">
        <v>5203</v>
      </c>
      <c r="C81" s="323" t="s">
        <v>192</v>
      </c>
      <c r="D81" s="251">
        <v>1000</v>
      </c>
      <c r="E81" s="251"/>
      <c r="F81" s="251" t="s">
        <v>473</v>
      </c>
      <c r="G81" s="169">
        <v>0</v>
      </c>
      <c r="H81" s="251" t="s">
        <v>473</v>
      </c>
      <c r="I81" s="324">
        <v>0</v>
      </c>
      <c r="J81" s="362"/>
      <c r="L81" s="366">
        <f>SUMIF(T198_TB!$E:$E,TB!B81,T198_TB!$L:$L)</f>
        <v>0</v>
      </c>
      <c r="M81" s="364" t="str">
        <f t="shared" si="1"/>
        <v>TRUE</v>
      </c>
    </row>
    <row r="82" spans="1:13">
      <c r="A82" s="365" t="s">
        <v>632</v>
      </c>
      <c r="B82" s="354">
        <v>5301</v>
      </c>
      <c r="C82" s="323" t="s">
        <v>196</v>
      </c>
      <c r="D82" s="251">
        <v>1000</v>
      </c>
      <c r="E82" s="251"/>
      <c r="F82" s="251" t="s">
        <v>473</v>
      </c>
      <c r="G82" s="169">
        <v>1292039719</v>
      </c>
      <c r="H82" s="251" t="s">
        <v>473</v>
      </c>
      <c r="I82" s="324">
        <v>1292039719</v>
      </c>
      <c r="J82" s="362"/>
      <c r="L82" s="366">
        <f>SUMIF(T198_TB!$E:$E,TB!B82,T198_TB!$L:$L)</f>
        <v>1293810742</v>
      </c>
      <c r="M82" s="364">
        <f t="shared" si="1"/>
        <v>-1771023</v>
      </c>
    </row>
    <row r="83" spans="1:13">
      <c r="A83" s="365" t="s">
        <v>632</v>
      </c>
      <c r="B83" s="354">
        <v>5304</v>
      </c>
      <c r="C83" s="323" t="s">
        <v>666</v>
      </c>
      <c r="D83" s="251">
        <v>1000</v>
      </c>
      <c r="E83" s="251"/>
      <c r="F83" s="251" t="s">
        <v>473</v>
      </c>
      <c r="G83" s="169">
        <v>2736109088</v>
      </c>
      <c r="H83" s="251" t="s">
        <v>473</v>
      </c>
      <c r="I83" s="324">
        <v>2736109088</v>
      </c>
      <c r="J83" s="362"/>
      <c r="L83" s="366">
        <f>SUMIF(T198_TB!$E:$E,TB!B83,T198_TB!$L:$L)</f>
        <v>2731869088</v>
      </c>
      <c r="M83" s="364">
        <f t="shared" si="1"/>
        <v>4240000</v>
      </c>
    </row>
    <row r="84" spans="1:13">
      <c r="A84" s="365" t="s">
        <v>632</v>
      </c>
      <c r="B84" s="354">
        <v>5307</v>
      </c>
      <c r="C84" s="323" t="s">
        <v>204</v>
      </c>
      <c r="D84" s="251">
        <v>1000</v>
      </c>
      <c r="E84" s="251"/>
      <c r="F84" s="251" t="s">
        <v>473</v>
      </c>
      <c r="G84" s="169">
        <v>-2665755788</v>
      </c>
      <c r="H84" s="251" t="s">
        <v>473</v>
      </c>
      <c r="I84" s="324">
        <v>-2665755788</v>
      </c>
      <c r="J84" s="362"/>
      <c r="L84" s="366">
        <f>SUMIF(T198_TB!$E:$E,TB!B84,T198_TB!$L:$L)</f>
        <v>-1840243400</v>
      </c>
      <c r="M84" s="364">
        <f t="shared" si="1"/>
        <v>-825512388</v>
      </c>
    </row>
    <row r="85" spans="1:13">
      <c r="A85" s="365" t="s">
        <v>632</v>
      </c>
      <c r="B85" s="354">
        <v>5402</v>
      </c>
      <c r="C85" s="323" t="s">
        <v>401</v>
      </c>
      <c r="D85" s="251">
        <v>1000</v>
      </c>
      <c r="E85" s="251"/>
      <c r="F85" s="251" t="s">
        <v>473</v>
      </c>
      <c r="G85" s="169">
        <v>87889806431</v>
      </c>
      <c r="H85" s="251" t="s">
        <v>473</v>
      </c>
      <c r="I85" s="324">
        <v>87889806431</v>
      </c>
      <c r="J85" s="362"/>
      <c r="L85" s="366">
        <f>SUMIF(T198_TB!$E:$E,TB!B85,T198_TB!$L:$L)</f>
        <v>8910020994</v>
      </c>
      <c r="M85" s="364">
        <f t="shared" si="1"/>
        <v>78979785437</v>
      </c>
    </row>
    <row r="86" spans="1:13">
      <c r="A86" s="365" t="s">
        <v>632</v>
      </c>
      <c r="B86" s="354">
        <v>5302</v>
      </c>
      <c r="C86" s="323" t="s">
        <v>1592</v>
      </c>
      <c r="D86" s="251">
        <v>1000</v>
      </c>
      <c r="E86" s="251"/>
      <c r="F86" s="251" t="s">
        <v>473</v>
      </c>
      <c r="G86" s="169">
        <v>-1281898314</v>
      </c>
      <c r="H86" s="251" t="s">
        <v>473</v>
      </c>
      <c r="I86" s="324">
        <v>-1281898314</v>
      </c>
      <c r="J86" s="362"/>
      <c r="L86" s="366">
        <f>SUMIF(T198_TB!$E:$E,TB!B86,T198_TB!$L:$L)</f>
        <v>-1066837445</v>
      </c>
      <c r="M86" s="364">
        <f t="shared" si="1"/>
        <v>-215060869</v>
      </c>
    </row>
    <row r="87" spans="1:13">
      <c r="A87" s="365" t="s">
        <v>632</v>
      </c>
      <c r="B87" s="354">
        <v>5401</v>
      </c>
      <c r="C87" s="323" t="s">
        <v>527</v>
      </c>
      <c r="D87" s="251">
        <v>1000</v>
      </c>
      <c r="E87" s="251"/>
      <c r="F87" s="251" t="s">
        <v>473</v>
      </c>
      <c r="G87" s="169">
        <v>186741681</v>
      </c>
      <c r="H87" s="251" t="s">
        <v>473</v>
      </c>
      <c r="I87" s="324">
        <v>186741681</v>
      </c>
      <c r="J87" s="362"/>
      <c r="L87" s="366">
        <f>SUMIF(T198_TB!$E:$E,TB!B87,T198_TB!$L:$L)</f>
        <v>-1835024545</v>
      </c>
      <c r="M87" s="364">
        <f t="shared" si="1"/>
        <v>2021766226</v>
      </c>
    </row>
    <row r="88" spans="1:13">
      <c r="A88" s="365" t="s">
        <v>632</v>
      </c>
      <c r="B88" s="354">
        <v>101</v>
      </c>
      <c r="C88" s="323" t="s">
        <v>667</v>
      </c>
      <c r="D88" s="251">
        <v>1000</v>
      </c>
      <c r="E88" s="251"/>
      <c r="F88" s="251" t="s">
        <v>473</v>
      </c>
      <c r="G88" s="169">
        <v>-16386011342</v>
      </c>
      <c r="H88" s="251" t="s">
        <v>473</v>
      </c>
      <c r="I88" s="324">
        <v>-16386011342</v>
      </c>
      <c r="J88" s="362"/>
      <c r="L88" s="366">
        <f>SUMIF(T198_TB!$E:$E,TB!B88,T198_TB!$L:$L)</f>
        <v>-32923542736</v>
      </c>
      <c r="M88" s="364">
        <f t="shared" si="1"/>
        <v>16537531394</v>
      </c>
    </row>
    <row r="89" spans="1:13">
      <c r="A89" s="365" t="s">
        <v>632</v>
      </c>
      <c r="B89" s="354">
        <v>102</v>
      </c>
      <c r="C89" s="323" t="s">
        <v>668</v>
      </c>
      <c r="D89" s="251">
        <v>1000</v>
      </c>
      <c r="E89" s="251"/>
      <c r="F89" s="251" t="s">
        <v>473</v>
      </c>
      <c r="G89" s="169">
        <v>-4755385497</v>
      </c>
      <c r="H89" s="251" t="s">
        <v>473</v>
      </c>
      <c r="I89" s="324">
        <v>-4755385497</v>
      </c>
      <c r="J89" s="362"/>
      <c r="L89" s="366">
        <f>SUMIF(T198_TB!$E:$E,TB!B89,T198_TB!$L:$L)</f>
        <v>-1107388188</v>
      </c>
      <c r="M89" s="364">
        <f t="shared" si="1"/>
        <v>-3647997309</v>
      </c>
    </row>
    <row r="90" spans="1:13">
      <c r="A90" s="365" t="s">
        <v>632</v>
      </c>
      <c r="B90" s="354">
        <v>105</v>
      </c>
      <c r="C90" s="323" t="s">
        <v>669</v>
      </c>
      <c r="D90" s="251">
        <v>1000</v>
      </c>
      <c r="E90" s="251"/>
      <c r="F90" s="251" t="s">
        <v>473</v>
      </c>
      <c r="G90" s="169">
        <v>-5127229369</v>
      </c>
      <c r="H90" s="251" t="s">
        <v>473</v>
      </c>
      <c r="I90" s="324">
        <v>-5127229369</v>
      </c>
      <c r="J90" s="362"/>
      <c r="L90" s="366">
        <f>SUMIF(T198_TB!$E:$E,TB!B90,T198_TB!$L:$L)</f>
        <v>-14178857789</v>
      </c>
      <c r="M90" s="364">
        <f t="shared" si="1"/>
        <v>9051628420</v>
      </c>
    </row>
    <row r="91" spans="1:13">
      <c r="A91" s="365" t="s">
        <v>632</v>
      </c>
      <c r="B91" s="354">
        <v>106</v>
      </c>
      <c r="C91" s="323" t="s">
        <v>670</v>
      </c>
      <c r="D91" s="251">
        <v>1000</v>
      </c>
      <c r="E91" s="251"/>
      <c r="F91" s="251" t="s">
        <v>473</v>
      </c>
      <c r="G91" s="169">
        <v>-11677090890</v>
      </c>
      <c r="H91" s="251" t="s">
        <v>473</v>
      </c>
      <c r="I91" s="324">
        <v>-11677090890</v>
      </c>
      <c r="J91" s="362"/>
      <c r="L91" s="366">
        <f>SUMIF(T198_TB!$E:$E,TB!B91,T198_TB!$L:$L)</f>
        <v>-16014974555</v>
      </c>
      <c r="M91" s="364">
        <f t="shared" si="1"/>
        <v>4337883665</v>
      </c>
    </row>
    <row r="92" spans="1:13">
      <c r="A92" s="365" t="s">
        <v>632</v>
      </c>
      <c r="B92" s="354">
        <v>103</v>
      </c>
      <c r="C92" s="323" t="s">
        <v>237</v>
      </c>
      <c r="D92" s="251">
        <v>1000</v>
      </c>
      <c r="E92" s="251"/>
      <c r="F92" s="251" t="s">
        <v>473</v>
      </c>
      <c r="G92" s="169">
        <v>-125122289746</v>
      </c>
      <c r="H92" s="251" t="s">
        <v>473</v>
      </c>
      <c r="I92" s="324">
        <v>-125122289746</v>
      </c>
      <c r="J92" s="362"/>
      <c r="L92" s="366">
        <f>SUMIF(T198_TB!$E:$E,TB!B92,T198_TB!$L:$L)</f>
        <v>-158327730003</v>
      </c>
      <c r="M92" s="364">
        <f t="shared" si="1"/>
        <v>33205440257</v>
      </c>
    </row>
    <row r="93" spans="1:13">
      <c r="A93" s="365" t="s">
        <v>632</v>
      </c>
      <c r="B93" s="354">
        <v>201</v>
      </c>
      <c r="C93" s="323" t="s">
        <v>240</v>
      </c>
      <c r="D93" s="251">
        <v>1000</v>
      </c>
      <c r="E93" s="251"/>
      <c r="F93" s="251" t="s">
        <v>473</v>
      </c>
      <c r="G93" s="169">
        <v>17557500163</v>
      </c>
      <c r="H93" s="251" t="s">
        <v>473</v>
      </c>
      <c r="I93" s="324">
        <v>17557500163</v>
      </c>
      <c r="J93" s="362"/>
      <c r="L93" s="366">
        <f>SUMIF(T198_TB!$E:$E,TB!B93,T198_TB!$L:$L)</f>
        <v>38956624106</v>
      </c>
      <c r="M93" s="364">
        <f t="shared" si="1"/>
        <v>-21399123943</v>
      </c>
    </row>
    <row r="94" spans="1:13">
      <c r="A94" s="365" t="s">
        <v>632</v>
      </c>
      <c r="B94" s="354">
        <v>202</v>
      </c>
      <c r="C94" s="323" t="s">
        <v>242</v>
      </c>
      <c r="D94" s="251">
        <v>1000</v>
      </c>
      <c r="E94" s="251"/>
      <c r="F94" s="251" t="s">
        <v>473</v>
      </c>
      <c r="G94" s="169">
        <v>9675428377</v>
      </c>
      <c r="H94" s="251" t="s">
        <v>473</v>
      </c>
      <c r="I94" s="324">
        <v>9675428377</v>
      </c>
      <c r="J94" s="362"/>
      <c r="L94" s="366">
        <f>SUMIF(T198_TB!$E:$E,TB!B94,T198_TB!$L:$L)</f>
        <v>10539997341</v>
      </c>
      <c r="M94" s="364">
        <f t="shared" si="1"/>
        <v>-864568964</v>
      </c>
    </row>
    <row r="95" spans="1:13">
      <c r="A95" s="365" t="s">
        <v>632</v>
      </c>
      <c r="B95" s="354">
        <v>204</v>
      </c>
      <c r="C95" s="323" t="s">
        <v>256</v>
      </c>
      <c r="D95" s="251">
        <v>1000</v>
      </c>
      <c r="E95" s="251"/>
      <c r="F95" s="251" t="s">
        <v>473</v>
      </c>
      <c r="G95" s="169">
        <v>103156226642</v>
      </c>
      <c r="H95" s="251" t="s">
        <v>473</v>
      </c>
      <c r="I95" s="324">
        <v>103156226642</v>
      </c>
      <c r="J95" s="362"/>
      <c r="L95" s="366">
        <f>SUMIF(T198_TB!$E:$E,TB!B95,T198_TB!$L:$L)</f>
        <v>122951982976</v>
      </c>
      <c r="M95" s="364">
        <f t="shared" si="1"/>
        <v>-19795756334</v>
      </c>
    </row>
    <row r="96" spans="1:13">
      <c r="A96" s="365" t="s">
        <v>632</v>
      </c>
      <c r="B96" s="354">
        <v>301</v>
      </c>
      <c r="C96" s="323" t="s">
        <v>260</v>
      </c>
      <c r="D96" s="251">
        <v>1000</v>
      </c>
      <c r="E96" s="251"/>
      <c r="F96" s="251" t="s">
        <v>473</v>
      </c>
      <c r="G96" s="169">
        <v>11013830261</v>
      </c>
      <c r="H96" s="251" t="s">
        <v>473</v>
      </c>
      <c r="I96" s="324">
        <v>11013830261</v>
      </c>
      <c r="J96" s="362"/>
      <c r="L96" s="366">
        <f>SUMIF(T198_TB!$E:$E,TB!B96,T198_TB!$L:$L)</f>
        <v>15509904100</v>
      </c>
      <c r="M96" s="364">
        <f t="shared" si="1"/>
        <v>-4496073839</v>
      </c>
    </row>
    <row r="97" spans="1:13">
      <c r="A97" s="365" t="s">
        <v>632</v>
      </c>
      <c r="B97" s="354">
        <v>302</v>
      </c>
      <c r="C97" s="323" t="s">
        <v>262</v>
      </c>
      <c r="D97" s="251">
        <v>1000</v>
      </c>
      <c r="E97" s="251"/>
      <c r="F97" s="251" t="s">
        <v>473</v>
      </c>
      <c r="G97" s="169">
        <v>1295143664</v>
      </c>
      <c r="H97" s="251" t="s">
        <v>473</v>
      </c>
      <c r="I97" s="324">
        <v>1295143664</v>
      </c>
      <c r="J97" s="362"/>
      <c r="L97" s="366">
        <f>SUMIF(T198_TB!$E:$E,TB!B97,T198_TB!$L:$L)</f>
        <v>1598744627</v>
      </c>
      <c r="M97" s="364">
        <f t="shared" si="1"/>
        <v>-303600963</v>
      </c>
    </row>
    <row r="98" spans="1:13">
      <c r="A98" s="365" t="s">
        <v>632</v>
      </c>
      <c r="B98" s="354">
        <v>304</v>
      </c>
      <c r="C98" s="323" t="s">
        <v>264</v>
      </c>
      <c r="D98" s="251">
        <v>1000</v>
      </c>
      <c r="E98" s="251"/>
      <c r="F98" s="251" t="s">
        <v>473</v>
      </c>
      <c r="G98" s="169">
        <v>1933525453</v>
      </c>
      <c r="H98" s="251" t="s">
        <v>473</v>
      </c>
      <c r="I98" s="324">
        <v>1933525453</v>
      </c>
      <c r="J98" s="362"/>
      <c r="L98" s="366">
        <f>SUMIF(T198_TB!$E:$E,TB!B98,T198_TB!$L:$L)</f>
        <v>2930377373</v>
      </c>
      <c r="M98" s="364">
        <f t="shared" si="1"/>
        <v>-996851920</v>
      </c>
    </row>
    <row r="99" spans="1:13">
      <c r="A99" s="365" t="s">
        <v>632</v>
      </c>
      <c r="B99" s="354">
        <v>305</v>
      </c>
      <c r="C99" s="323" t="s">
        <v>266</v>
      </c>
      <c r="D99" s="251">
        <v>1000</v>
      </c>
      <c r="E99" s="251"/>
      <c r="F99" s="251" t="s">
        <v>473</v>
      </c>
      <c r="G99" s="169">
        <v>113208606</v>
      </c>
      <c r="H99" s="251" t="s">
        <v>473</v>
      </c>
      <c r="I99" s="324">
        <v>113208606</v>
      </c>
      <c r="J99" s="362"/>
      <c r="L99" s="366">
        <f>SUMIF(T198_TB!$E:$E,TB!B99,T198_TB!$L:$L)</f>
        <v>184045196</v>
      </c>
      <c r="M99" s="364">
        <f t="shared" si="1"/>
        <v>-70836590</v>
      </c>
    </row>
    <row r="100" spans="1:13">
      <c r="A100" s="365" t="s">
        <v>632</v>
      </c>
      <c r="B100" s="354">
        <v>307</v>
      </c>
      <c r="C100" s="323" t="s">
        <v>270</v>
      </c>
      <c r="D100" s="251">
        <v>1000</v>
      </c>
      <c r="E100" s="251"/>
      <c r="F100" s="251" t="s">
        <v>473</v>
      </c>
      <c r="G100" s="169">
        <v>199358425</v>
      </c>
      <c r="H100" s="251" t="s">
        <v>473</v>
      </c>
      <c r="I100" s="324">
        <v>199358425</v>
      </c>
      <c r="J100" s="362"/>
      <c r="L100" s="366">
        <f>SUMIF(T198_TB!$E:$E,TB!B100,T198_TB!$L:$L)</f>
        <v>173494024</v>
      </c>
      <c r="M100" s="364">
        <f t="shared" si="1"/>
        <v>25864401</v>
      </c>
    </row>
    <row r="101" spans="1:13">
      <c r="A101" s="365" t="s">
        <v>632</v>
      </c>
      <c r="B101" s="354">
        <v>309</v>
      </c>
      <c r="C101" s="323" t="s">
        <v>274</v>
      </c>
      <c r="D101" s="251">
        <v>1000</v>
      </c>
      <c r="E101" s="251"/>
      <c r="F101" s="251" t="s">
        <v>473</v>
      </c>
      <c r="G101" s="169">
        <v>47682492</v>
      </c>
      <c r="H101" s="251" t="s">
        <v>473</v>
      </c>
      <c r="I101" s="324">
        <v>47682492</v>
      </c>
      <c r="J101" s="362"/>
      <c r="L101" s="366">
        <f>SUMIF(T198_TB!$E:$E,TB!B101,T198_TB!$L:$L)</f>
        <v>135294193</v>
      </c>
      <c r="M101" s="364">
        <f t="shared" si="1"/>
        <v>-87611701</v>
      </c>
    </row>
    <row r="102" spans="1:13">
      <c r="A102" s="365" t="s">
        <v>632</v>
      </c>
      <c r="B102" s="354">
        <v>311</v>
      </c>
      <c r="C102" s="323" t="s">
        <v>276</v>
      </c>
      <c r="D102" s="251">
        <v>1000</v>
      </c>
      <c r="E102" s="251"/>
      <c r="F102" s="251" t="s">
        <v>473</v>
      </c>
      <c r="G102" s="169">
        <v>189381686</v>
      </c>
      <c r="H102" s="251" t="s">
        <v>473</v>
      </c>
      <c r="I102" s="324">
        <v>189381686</v>
      </c>
      <c r="J102" s="362"/>
      <c r="L102" s="366">
        <f>SUMIF(T198_TB!$E:$E,TB!B102,T198_TB!$L:$L)</f>
        <v>136720540</v>
      </c>
      <c r="M102" s="364">
        <f t="shared" si="1"/>
        <v>52661146</v>
      </c>
    </row>
    <row r="103" spans="1:13">
      <c r="A103" s="365" t="s">
        <v>632</v>
      </c>
      <c r="B103" s="354">
        <v>31101</v>
      </c>
      <c r="C103" s="323" t="s">
        <v>1686</v>
      </c>
      <c r="D103" s="251">
        <v>1000</v>
      </c>
      <c r="E103" s="251"/>
      <c r="F103" s="251" t="s">
        <v>473</v>
      </c>
      <c r="G103" s="169">
        <v>49856252</v>
      </c>
      <c r="H103" s="251" t="s">
        <v>473</v>
      </c>
      <c r="I103" s="324">
        <v>49856252</v>
      </c>
      <c r="J103" s="362"/>
      <c r="L103" s="366">
        <f>SUMIF(T198_TB!$E:$E,TB!B103,T198_TB!$L:$L)</f>
        <v>26764884</v>
      </c>
      <c r="M103" s="364">
        <f t="shared" si="1"/>
        <v>23091368</v>
      </c>
    </row>
    <row r="104" spans="1:13">
      <c r="A104" s="365" t="s">
        <v>632</v>
      </c>
      <c r="B104" s="354">
        <v>31102</v>
      </c>
      <c r="C104" s="323" t="s">
        <v>1687</v>
      </c>
      <c r="D104" s="251">
        <v>1000</v>
      </c>
      <c r="E104" s="251"/>
      <c r="F104" s="251" t="s">
        <v>473</v>
      </c>
      <c r="G104" s="169">
        <v>28865267</v>
      </c>
      <c r="H104" s="251" t="s">
        <v>473</v>
      </c>
      <c r="I104" s="324">
        <v>28865267</v>
      </c>
      <c r="J104" s="362"/>
      <c r="L104" s="366">
        <f>SUMIF(T198_TB!$E:$E,TB!B104,T198_TB!$L:$L)</f>
        <v>95673446</v>
      </c>
      <c r="M104" s="364">
        <f t="shared" si="1"/>
        <v>-66808179</v>
      </c>
    </row>
    <row r="105" spans="1:13">
      <c r="A105" s="365" t="s">
        <v>632</v>
      </c>
      <c r="B105" s="354">
        <v>310</v>
      </c>
      <c r="C105" s="323" t="s">
        <v>671</v>
      </c>
      <c r="D105" s="251">
        <v>1000</v>
      </c>
      <c r="E105" s="251"/>
      <c r="F105" s="251" t="s">
        <v>473</v>
      </c>
      <c r="G105" s="169">
        <v>359916904</v>
      </c>
      <c r="H105" s="251" t="s">
        <v>473</v>
      </c>
      <c r="I105" s="324">
        <v>359916904</v>
      </c>
      <c r="J105" s="362"/>
      <c r="L105" s="366">
        <f>SUMIF(T198_TB!$E:$E,TB!B105,T198_TB!$L:$L)</f>
        <v>621202657</v>
      </c>
      <c r="M105" s="364">
        <f t="shared" si="1"/>
        <v>-261285753</v>
      </c>
    </row>
    <row r="106" spans="1:13">
      <c r="A106" s="365" t="s">
        <v>632</v>
      </c>
      <c r="B106" s="354">
        <v>31001</v>
      </c>
      <c r="C106" s="323" t="s">
        <v>672</v>
      </c>
      <c r="D106" s="251">
        <v>1000</v>
      </c>
      <c r="E106" s="251"/>
      <c r="F106" s="251" t="s">
        <v>473</v>
      </c>
      <c r="G106" s="169">
        <v>16256609</v>
      </c>
      <c r="H106" s="251" t="s">
        <v>473</v>
      </c>
      <c r="I106" s="324">
        <v>16256609</v>
      </c>
      <c r="J106" s="362"/>
      <c r="L106" s="366">
        <f>SUMIF(T198_TB!$E:$E,TB!B106,T198_TB!$L:$L)</f>
        <v>16124810</v>
      </c>
      <c r="M106" s="364">
        <f t="shared" si="1"/>
        <v>131799</v>
      </c>
    </row>
    <row r="107" spans="1:13">
      <c r="A107" s="365" t="s">
        <v>632</v>
      </c>
      <c r="B107" s="354">
        <v>335</v>
      </c>
      <c r="C107" s="326" t="s">
        <v>1596</v>
      </c>
      <c r="D107" s="251">
        <v>1000</v>
      </c>
      <c r="E107" s="251"/>
      <c r="F107" s="251" t="s">
        <v>473</v>
      </c>
      <c r="G107" s="169">
        <v>1815563936</v>
      </c>
      <c r="H107" s="251" t="s">
        <v>473</v>
      </c>
      <c r="I107" s="324">
        <v>1815563936</v>
      </c>
      <c r="J107" s="362"/>
      <c r="L107" s="366">
        <f>SUMIF(T198_TB!$E:$E,TB!B107,T198_TB!$L:$L)</f>
        <v>2280294927</v>
      </c>
      <c r="M107" s="364">
        <f t="shared" si="1"/>
        <v>-464730991</v>
      </c>
    </row>
    <row r="108" spans="1:13">
      <c r="A108" s="365" t="s">
        <v>632</v>
      </c>
      <c r="B108" s="354">
        <v>334</v>
      </c>
      <c r="C108" s="325" t="s">
        <v>1597</v>
      </c>
      <c r="D108" s="251">
        <v>1000</v>
      </c>
      <c r="E108" s="251"/>
      <c r="F108" s="251" t="s">
        <v>473</v>
      </c>
      <c r="G108" s="169">
        <v>28731481</v>
      </c>
      <c r="H108" s="251" t="s">
        <v>473</v>
      </c>
      <c r="I108" s="324">
        <v>28731481</v>
      </c>
      <c r="J108" s="362"/>
      <c r="L108" s="366">
        <f>SUMIF(T198_TB!$E:$E,TB!B108,T198_TB!$L:$L)</f>
        <v>41139648</v>
      </c>
      <c r="M108" s="364">
        <f t="shared" si="1"/>
        <v>-12408167</v>
      </c>
    </row>
    <row r="109" spans="1:13">
      <c r="A109" s="365" t="s">
        <v>632</v>
      </c>
      <c r="B109" s="354">
        <v>326</v>
      </c>
      <c r="C109" s="323" t="s">
        <v>386</v>
      </c>
      <c r="D109" s="251">
        <v>1000</v>
      </c>
      <c r="E109" s="251"/>
      <c r="F109" s="251" t="s">
        <v>473</v>
      </c>
      <c r="G109" s="169">
        <v>4974888158</v>
      </c>
      <c r="H109" s="251" t="s">
        <v>473</v>
      </c>
      <c r="I109" s="324">
        <v>4974888158</v>
      </c>
      <c r="J109" s="362"/>
      <c r="L109" s="366">
        <f>SUMIF(T198_TB!$E:$E,TB!B109,T198_TB!$L:$L)</f>
        <v>3016882453</v>
      </c>
      <c r="M109" s="364">
        <f t="shared" si="1"/>
        <v>1958005705</v>
      </c>
    </row>
    <row r="110" spans="1:13">
      <c r="A110" s="365" t="s">
        <v>632</v>
      </c>
      <c r="B110" s="354">
        <v>312</v>
      </c>
      <c r="C110" s="323" t="s">
        <v>278</v>
      </c>
      <c r="D110" s="251">
        <v>1000</v>
      </c>
      <c r="E110" s="251"/>
      <c r="F110" s="251" t="s">
        <v>473</v>
      </c>
      <c r="G110" s="169">
        <v>167121113</v>
      </c>
      <c r="H110" s="251" t="s">
        <v>473</v>
      </c>
      <c r="I110" s="324">
        <v>167121113</v>
      </c>
      <c r="J110" s="362"/>
      <c r="L110" s="366">
        <f>SUMIF(T198_TB!$E:$E,TB!B110,T198_TB!$L:$L)</f>
        <v>221409827</v>
      </c>
      <c r="M110" s="364">
        <f t="shared" si="1"/>
        <v>-54288714</v>
      </c>
    </row>
    <row r="111" spans="1:13">
      <c r="A111" s="365" t="s">
        <v>632</v>
      </c>
      <c r="B111" s="354">
        <v>327</v>
      </c>
      <c r="C111" s="323" t="s">
        <v>306</v>
      </c>
      <c r="D111" s="251">
        <v>1000</v>
      </c>
      <c r="E111" s="251"/>
      <c r="F111" s="251" t="s">
        <v>473</v>
      </c>
      <c r="G111" s="169">
        <v>214585686</v>
      </c>
      <c r="H111" s="251" t="s">
        <v>473</v>
      </c>
      <c r="I111" s="324">
        <v>214585686</v>
      </c>
      <c r="J111" s="362"/>
      <c r="L111" s="366">
        <f>SUMIF(T198_TB!$E:$E,TB!B111,T198_TB!$L:$L)</f>
        <v>100329285</v>
      </c>
      <c r="M111" s="364">
        <f t="shared" si="1"/>
        <v>114256401</v>
      </c>
    </row>
    <row r="112" spans="1:13">
      <c r="A112" s="365" t="s">
        <v>632</v>
      </c>
      <c r="B112" s="354">
        <v>313</v>
      </c>
      <c r="C112" s="323" t="s">
        <v>280</v>
      </c>
      <c r="D112" s="251">
        <v>1000</v>
      </c>
      <c r="E112" s="251"/>
      <c r="F112" s="251" t="s">
        <v>473</v>
      </c>
      <c r="G112" s="169">
        <v>21151528</v>
      </c>
      <c r="H112" s="251" t="s">
        <v>473</v>
      </c>
      <c r="I112" s="324">
        <v>21151528</v>
      </c>
      <c r="J112" s="362"/>
      <c r="L112" s="366">
        <f>SUMIF(T198_TB!$E:$E,TB!B112,T198_TB!$L:$L)</f>
        <v>33952907</v>
      </c>
      <c r="M112" s="364">
        <f t="shared" si="1"/>
        <v>-12801379</v>
      </c>
    </row>
    <row r="113" spans="1:13">
      <c r="A113" s="365" t="s">
        <v>632</v>
      </c>
      <c r="B113" s="354">
        <v>306</v>
      </c>
      <c r="C113" s="323" t="s">
        <v>268</v>
      </c>
      <c r="D113" s="251">
        <v>1000</v>
      </c>
      <c r="E113" s="251"/>
      <c r="F113" s="251" t="s">
        <v>473</v>
      </c>
      <c r="G113" s="169">
        <v>48959779</v>
      </c>
      <c r="H113" s="251" t="s">
        <v>473</v>
      </c>
      <c r="I113" s="324">
        <v>48959779</v>
      </c>
      <c r="J113" s="362"/>
      <c r="L113" s="366">
        <f>SUMIF(T198_TB!$E:$E,TB!B113,T198_TB!$L:$L)</f>
        <v>147606168</v>
      </c>
      <c r="M113" s="364">
        <f t="shared" si="1"/>
        <v>-98646389</v>
      </c>
    </row>
    <row r="114" spans="1:13">
      <c r="A114" s="365" t="s">
        <v>632</v>
      </c>
      <c r="B114" s="354">
        <v>322</v>
      </c>
      <c r="C114" s="323" t="s">
        <v>298</v>
      </c>
      <c r="D114" s="251">
        <v>1000</v>
      </c>
      <c r="E114" s="251"/>
      <c r="F114" s="251" t="s">
        <v>473</v>
      </c>
      <c r="G114" s="169">
        <v>6152327444</v>
      </c>
      <c r="H114" s="251" t="s">
        <v>473</v>
      </c>
      <c r="I114" s="324">
        <v>6152327444</v>
      </c>
      <c r="J114" s="362"/>
      <c r="L114" s="366">
        <f>SUMIF(T198_TB!$E:$E,TB!B114,T198_TB!$L:$L)</f>
        <v>5422226175</v>
      </c>
      <c r="M114" s="364">
        <f t="shared" si="1"/>
        <v>730101269</v>
      </c>
    </row>
    <row r="115" spans="1:13">
      <c r="A115" s="365" t="s">
        <v>632</v>
      </c>
      <c r="B115" s="354">
        <v>308</v>
      </c>
      <c r="C115" s="323" t="s">
        <v>272</v>
      </c>
      <c r="D115" s="251">
        <v>1000</v>
      </c>
      <c r="E115" s="251"/>
      <c r="F115" s="251" t="s">
        <v>473</v>
      </c>
      <c r="G115" s="169">
        <v>56927821</v>
      </c>
      <c r="H115" s="251" t="s">
        <v>473</v>
      </c>
      <c r="I115" s="324">
        <v>56927821</v>
      </c>
      <c r="J115" s="362"/>
      <c r="L115" s="366">
        <f>SUMIF(T198_TB!$E:$E,TB!B115,T198_TB!$L:$L)</f>
        <v>47982256</v>
      </c>
      <c r="M115" s="364">
        <f t="shared" si="1"/>
        <v>8945565</v>
      </c>
    </row>
    <row r="116" spans="1:13">
      <c r="A116" s="365" t="s">
        <v>632</v>
      </c>
      <c r="B116" s="354">
        <v>316</v>
      </c>
      <c r="C116" s="323" t="s">
        <v>286</v>
      </c>
      <c r="D116" s="251">
        <v>1000</v>
      </c>
      <c r="E116" s="251"/>
      <c r="F116" s="251" t="s">
        <v>473</v>
      </c>
      <c r="G116" s="169">
        <v>219135659</v>
      </c>
      <c r="H116" s="251" t="s">
        <v>473</v>
      </c>
      <c r="I116" s="324">
        <v>219135659</v>
      </c>
      <c r="J116" s="362"/>
      <c r="L116" s="366">
        <f>SUMIF(T198_TB!$E:$E,TB!B116,T198_TB!$L:$L)</f>
        <v>221489745</v>
      </c>
      <c r="M116" s="364">
        <f t="shared" si="1"/>
        <v>-2354086</v>
      </c>
    </row>
    <row r="117" spans="1:13">
      <c r="A117" s="365" t="s">
        <v>632</v>
      </c>
      <c r="B117" s="354">
        <v>317</v>
      </c>
      <c r="C117" s="323" t="s">
        <v>288</v>
      </c>
      <c r="D117" s="251">
        <v>1000</v>
      </c>
      <c r="E117" s="251"/>
      <c r="F117" s="251" t="s">
        <v>473</v>
      </c>
      <c r="G117" s="169">
        <v>49884923</v>
      </c>
      <c r="H117" s="251" t="s">
        <v>473</v>
      </c>
      <c r="I117" s="324">
        <v>49884923</v>
      </c>
      <c r="J117" s="362"/>
      <c r="L117" s="366">
        <f>SUMIF(T198_TB!$E:$E,TB!B117,T198_TB!$L:$L)</f>
        <v>76043224</v>
      </c>
      <c r="M117" s="364">
        <f t="shared" si="1"/>
        <v>-26158301</v>
      </c>
    </row>
    <row r="118" spans="1:13">
      <c r="A118" s="365" t="s">
        <v>632</v>
      </c>
      <c r="B118" s="354">
        <v>321</v>
      </c>
      <c r="C118" s="323" t="s">
        <v>296</v>
      </c>
      <c r="D118" s="251">
        <v>1000</v>
      </c>
      <c r="E118" s="251"/>
      <c r="F118" s="251" t="s">
        <v>473</v>
      </c>
      <c r="G118" s="169">
        <v>8858891402</v>
      </c>
      <c r="H118" s="251" t="s">
        <v>473</v>
      </c>
      <c r="I118" s="324">
        <v>8858891402</v>
      </c>
      <c r="J118" s="362"/>
      <c r="L118" s="366">
        <f>SUMIF(T198_TB!$E:$E,TB!B118,T198_TB!$L:$L)</f>
        <v>14725360425</v>
      </c>
      <c r="M118" s="364">
        <f t="shared" si="1"/>
        <v>-5866469023</v>
      </c>
    </row>
    <row r="119" spans="1:13">
      <c r="A119" s="365" t="s">
        <v>632</v>
      </c>
      <c r="B119" s="354">
        <v>320</v>
      </c>
      <c r="C119" s="323" t="s">
        <v>294</v>
      </c>
      <c r="D119" s="251">
        <v>1000</v>
      </c>
      <c r="E119" s="251"/>
      <c r="F119" s="251" t="s">
        <v>473</v>
      </c>
      <c r="G119" s="169">
        <v>71806900</v>
      </c>
      <c r="H119" s="251" t="s">
        <v>473</v>
      </c>
      <c r="I119" s="324">
        <v>71806900</v>
      </c>
      <c r="J119" s="362"/>
      <c r="L119" s="366">
        <f>SUMIF(T198_TB!$E:$E,TB!B119,T198_TB!$L:$L)</f>
        <v>67564056</v>
      </c>
      <c r="M119" s="364">
        <f t="shared" si="1"/>
        <v>4242844</v>
      </c>
    </row>
    <row r="120" spans="1:13">
      <c r="A120" s="365" t="s">
        <v>632</v>
      </c>
      <c r="B120" s="354">
        <v>319</v>
      </c>
      <c r="C120" s="323" t="s">
        <v>292</v>
      </c>
      <c r="D120" s="251">
        <v>1000</v>
      </c>
      <c r="E120" s="251"/>
      <c r="F120" s="251" t="s">
        <v>473</v>
      </c>
      <c r="G120" s="169">
        <v>7347669</v>
      </c>
      <c r="H120" s="251" t="s">
        <v>473</v>
      </c>
      <c r="I120" s="324">
        <v>7347669</v>
      </c>
      <c r="J120" s="362"/>
      <c r="L120" s="366">
        <f>SUMIF(T198_TB!$E:$E,TB!B120,T198_TB!$L:$L)</f>
        <v>5242206</v>
      </c>
      <c r="M120" s="364">
        <f t="shared" si="1"/>
        <v>2105463</v>
      </c>
    </row>
    <row r="121" spans="1:13">
      <c r="A121" s="365" t="s">
        <v>632</v>
      </c>
      <c r="B121" s="354">
        <v>318</v>
      </c>
      <c r="C121" s="323" t="s">
        <v>290</v>
      </c>
      <c r="D121" s="251">
        <v>1000</v>
      </c>
      <c r="E121" s="251"/>
      <c r="F121" s="251" t="s">
        <v>473</v>
      </c>
      <c r="G121" s="169">
        <v>28259778</v>
      </c>
      <c r="H121" s="251" t="s">
        <v>473</v>
      </c>
      <c r="I121" s="324">
        <v>28259778</v>
      </c>
      <c r="J121" s="362"/>
      <c r="L121" s="366">
        <f>SUMIF(T198_TB!$E:$E,TB!B121,T198_TB!$L:$L)</f>
        <v>40207401</v>
      </c>
      <c r="M121" s="364">
        <f t="shared" si="1"/>
        <v>-11947623</v>
      </c>
    </row>
    <row r="122" spans="1:13">
      <c r="A122" s="365" t="s">
        <v>632</v>
      </c>
      <c r="B122" s="354">
        <v>314</v>
      </c>
      <c r="C122" s="323" t="s">
        <v>282</v>
      </c>
      <c r="D122" s="251">
        <v>1000</v>
      </c>
      <c r="E122" s="251"/>
      <c r="F122" s="251" t="s">
        <v>473</v>
      </c>
      <c r="G122" s="169">
        <v>22071603</v>
      </c>
      <c r="H122" s="251" t="s">
        <v>473</v>
      </c>
      <c r="I122" s="324">
        <v>22071603</v>
      </c>
      <c r="J122" s="362"/>
      <c r="L122" s="366">
        <f>SUMIF(T198_TB!$E:$E,TB!B122,T198_TB!$L:$L)</f>
        <v>36928647</v>
      </c>
      <c r="M122" s="364">
        <f t="shared" si="1"/>
        <v>-14857044</v>
      </c>
    </row>
    <row r="123" spans="1:13">
      <c r="A123" s="365" t="s">
        <v>632</v>
      </c>
      <c r="B123" s="354">
        <v>324</v>
      </c>
      <c r="C123" s="323" t="s">
        <v>302</v>
      </c>
      <c r="D123" s="251">
        <v>1000</v>
      </c>
      <c r="E123" s="251"/>
      <c r="F123" s="251" t="s">
        <v>473</v>
      </c>
      <c r="G123" s="169">
        <v>214584279</v>
      </c>
      <c r="H123" s="251" t="s">
        <v>473</v>
      </c>
      <c r="I123" s="324">
        <v>214584279</v>
      </c>
      <c r="J123" s="362"/>
      <c r="L123" s="366">
        <f>SUMIF(T198_TB!$E:$E,TB!B123,T198_TB!$L:$L)</f>
        <v>11147782</v>
      </c>
      <c r="M123" s="364">
        <f t="shared" si="1"/>
        <v>203436497</v>
      </c>
    </row>
    <row r="124" spans="1:13">
      <c r="A124" s="365" t="s">
        <v>632</v>
      </c>
      <c r="B124" s="354">
        <v>315</v>
      </c>
      <c r="C124" s="323" t="s">
        <v>284</v>
      </c>
      <c r="D124" s="251">
        <v>1000</v>
      </c>
      <c r="E124" s="251"/>
      <c r="F124" s="251" t="s">
        <v>473</v>
      </c>
      <c r="G124" s="169">
        <v>1488146980</v>
      </c>
      <c r="H124" s="251" t="s">
        <v>473</v>
      </c>
      <c r="I124" s="324">
        <v>1488146980</v>
      </c>
      <c r="J124" s="362"/>
      <c r="L124" s="366">
        <f>SUMIF(T198_TB!$E:$E,TB!B124,T198_TB!$L:$L)</f>
        <v>1873673999</v>
      </c>
      <c r="M124" s="364">
        <f t="shared" si="1"/>
        <v>-385527019</v>
      </c>
    </row>
    <row r="125" spans="1:13">
      <c r="A125" s="365" t="s">
        <v>632</v>
      </c>
      <c r="B125" s="354">
        <v>323</v>
      </c>
      <c r="C125" s="323" t="s">
        <v>300</v>
      </c>
      <c r="D125" s="251">
        <v>1000</v>
      </c>
      <c r="E125" s="251"/>
      <c r="F125" s="251" t="s">
        <v>473</v>
      </c>
      <c r="G125" s="169">
        <v>150244488</v>
      </c>
      <c r="H125" s="251" t="s">
        <v>473</v>
      </c>
      <c r="I125" s="324">
        <v>150244488</v>
      </c>
      <c r="J125" s="362"/>
      <c r="L125" s="366">
        <f>SUMIF(T198_TB!$E:$E,TB!B125,T198_TB!$L:$L)</f>
        <v>603810459</v>
      </c>
      <c r="M125" s="364">
        <f t="shared" si="1"/>
        <v>-453565971</v>
      </c>
    </row>
    <row r="126" spans="1:13">
      <c r="A126" s="365" t="s">
        <v>632</v>
      </c>
      <c r="B126" s="354">
        <v>325</v>
      </c>
      <c r="C126" s="323" t="s">
        <v>304</v>
      </c>
      <c r="D126" s="251">
        <v>1000</v>
      </c>
      <c r="E126" s="251"/>
      <c r="F126" s="251" t="s">
        <v>473</v>
      </c>
      <c r="G126" s="169">
        <v>159787089</v>
      </c>
      <c r="H126" s="251" t="s">
        <v>473</v>
      </c>
      <c r="I126" s="324">
        <v>159787089</v>
      </c>
      <c r="J126" s="362"/>
      <c r="L126" s="366">
        <f>SUMIF(T198_TB!$E:$E,TB!B126,T198_TB!$L:$L)</f>
        <v>269242735</v>
      </c>
      <c r="M126" s="364">
        <f t="shared" si="1"/>
        <v>-109455646</v>
      </c>
    </row>
    <row r="127" spans="1:13">
      <c r="A127" s="365" t="s">
        <v>632</v>
      </c>
      <c r="B127" s="354">
        <v>328</v>
      </c>
      <c r="C127" s="323" t="s">
        <v>308</v>
      </c>
      <c r="D127" s="251">
        <v>1000</v>
      </c>
      <c r="E127" s="251"/>
      <c r="F127" s="251" t="s">
        <v>473</v>
      </c>
      <c r="G127" s="169">
        <v>438176490</v>
      </c>
      <c r="H127" s="251" t="s">
        <v>473</v>
      </c>
      <c r="I127" s="324">
        <v>438176490</v>
      </c>
      <c r="J127" s="362"/>
      <c r="L127" s="366">
        <f>SUMIF(T198_TB!$E:$E,TB!B127,T198_TB!$L:$L)</f>
        <v>468556134</v>
      </c>
      <c r="M127" s="364">
        <f t="shared" si="1"/>
        <v>-30379644</v>
      </c>
    </row>
    <row r="128" spans="1:13">
      <c r="A128" s="365" t="s">
        <v>632</v>
      </c>
      <c r="B128" s="354">
        <v>331</v>
      </c>
      <c r="C128" s="323" t="s">
        <v>310</v>
      </c>
      <c r="D128" s="251">
        <v>1000</v>
      </c>
      <c r="E128" s="251"/>
      <c r="F128" s="251" t="s">
        <v>473</v>
      </c>
      <c r="G128" s="169">
        <v>6083829</v>
      </c>
      <c r="H128" s="251" t="s">
        <v>473</v>
      </c>
      <c r="I128" s="324">
        <v>6083829</v>
      </c>
      <c r="J128" s="362"/>
      <c r="L128" s="366">
        <f>SUMIF(T198_TB!$E:$E,TB!B128,T198_TB!$L:$L)</f>
        <v>7476589</v>
      </c>
      <c r="M128" s="364">
        <f t="shared" si="1"/>
        <v>-1392760</v>
      </c>
    </row>
    <row r="129" spans="1:13">
      <c r="A129" s="365" t="s">
        <v>632</v>
      </c>
      <c r="B129" s="354">
        <v>329</v>
      </c>
      <c r="C129" s="323" t="s">
        <v>312</v>
      </c>
      <c r="D129" s="251">
        <v>1000</v>
      </c>
      <c r="E129" s="251"/>
      <c r="F129" s="251" t="s">
        <v>473</v>
      </c>
      <c r="G129" s="169">
        <v>820021869</v>
      </c>
      <c r="H129" s="251" t="s">
        <v>473</v>
      </c>
      <c r="I129" s="324">
        <v>820021869</v>
      </c>
      <c r="J129" s="362"/>
      <c r="L129" s="366">
        <f>SUMIF(T198_TB!$E:$E,TB!B129,T198_TB!$L:$L)</f>
        <v>994165155</v>
      </c>
      <c r="M129" s="364">
        <f t="shared" si="1"/>
        <v>-174143286</v>
      </c>
    </row>
    <row r="130" spans="1:13">
      <c r="A130" s="365" t="s">
        <v>632</v>
      </c>
      <c r="B130" s="354">
        <v>303</v>
      </c>
      <c r="C130" s="323" t="s">
        <v>758</v>
      </c>
      <c r="D130" s="251">
        <v>1000</v>
      </c>
      <c r="E130" s="251"/>
      <c r="F130" s="251" t="s">
        <v>473</v>
      </c>
      <c r="G130" s="169">
        <v>869812452</v>
      </c>
      <c r="H130" s="251" t="s">
        <v>473</v>
      </c>
      <c r="I130" s="324">
        <v>869812452</v>
      </c>
      <c r="J130" s="362"/>
      <c r="L130" s="366">
        <f>SUMIF(T198_TB!$E:$E,TB!B130,T198_TB!$L:$L)</f>
        <v>-47788686</v>
      </c>
      <c r="M130" s="364">
        <f t="shared" si="1"/>
        <v>917601138</v>
      </c>
    </row>
    <row r="131" spans="1:13">
      <c r="A131" s="365" t="s">
        <v>632</v>
      </c>
      <c r="B131" s="354">
        <v>401</v>
      </c>
      <c r="C131" s="323" t="s">
        <v>673</v>
      </c>
      <c r="D131" s="251">
        <v>1000</v>
      </c>
      <c r="E131" s="251"/>
      <c r="F131" s="251" t="s">
        <v>473</v>
      </c>
      <c r="G131" s="169">
        <v>-499863792</v>
      </c>
      <c r="H131" s="251" t="s">
        <v>473</v>
      </c>
      <c r="I131" s="324">
        <v>-499863792</v>
      </c>
      <c r="J131" s="362"/>
      <c r="L131" s="366">
        <f>SUMIF(T198_TB!$E:$E,TB!B131,T198_TB!$L:$L)</f>
        <v>-2036443104</v>
      </c>
      <c r="M131" s="364">
        <f>IF(I131=L131,"TRUE",I131-L131)</f>
        <v>1536579312</v>
      </c>
    </row>
    <row r="132" spans="1:13">
      <c r="A132" s="364" t="s">
        <v>632</v>
      </c>
      <c r="B132" s="354">
        <v>402</v>
      </c>
      <c r="C132" s="323" t="s">
        <v>674</v>
      </c>
      <c r="D132" s="251">
        <v>1000</v>
      </c>
      <c r="E132" s="251"/>
      <c r="F132" s="251" t="s">
        <v>473</v>
      </c>
      <c r="G132" s="169">
        <v>-309405782</v>
      </c>
      <c r="H132" s="251" t="s">
        <v>473</v>
      </c>
      <c r="I132" s="324">
        <v>-309405782</v>
      </c>
      <c r="L132" s="366">
        <f>SUMIF(T198_TB!$E:$E,TB!B132,T198_TB!$L:$L)</f>
        <v>-1198975339</v>
      </c>
      <c r="M132" s="364">
        <f>IF(I132=L132,"TRUE",I132-L132)</f>
        <v>889569557</v>
      </c>
    </row>
    <row r="133" spans="1:13">
      <c r="A133" s="364" t="s">
        <v>632</v>
      </c>
      <c r="B133" s="354">
        <v>403</v>
      </c>
      <c r="C133" s="323" t="s">
        <v>675</v>
      </c>
      <c r="D133" s="251">
        <v>1000</v>
      </c>
      <c r="E133" s="251"/>
      <c r="F133" s="251" t="s">
        <v>473</v>
      </c>
      <c r="G133" s="169">
        <v>-144533089</v>
      </c>
      <c r="H133" s="251" t="s">
        <v>473</v>
      </c>
      <c r="I133" s="324">
        <v>-144533089</v>
      </c>
      <c r="L133" s="366">
        <f>SUMIF(T198_TB!$E:$E,TB!B133,T198_TB!$L:$L)</f>
        <v>-1359086485</v>
      </c>
      <c r="M133" s="364">
        <f t="shared" ref="M133:M157" si="2">IF(I133=L133,"TRUE",I133-L133)</f>
        <v>1214553396</v>
      </c>
    </row>
    <row r="134" spans="1:13">
      <c r="A134" s="364" t="s">
        <v>632</v>
      </c>
      <c r="B134" s="354">
        <v>404</v>
      </c>
      <c r="C134" s="323" t="s">
        <v>676</v>
      </c>
      <c r="D134" s="251">
        <v>1000</v>
      </c>
      <c r="E134" s="251"/>
      <c r="F134" s="251" t="s">
        <v>473</v>
      </c>
      <c r="G134" s="169">
        <v>0</v>
      </c>
      <c r="H134" s="251" t="s">
        <v>473</v>
      </c>
      <c r="I134" s="324">
        <v>0</v>
      </c>
      <c r="L134" s="366">
        <f>SUMIF(T198_TB!$E:$E,TB!B134,T198_TB!$L:$L)</f>
        <v>0</v>
      </c>
      <c r="M134" s="364" t="str">
        <f t="shared" si="2"/>
        <v>TRUE</v>
      </c>
    </row>
    <row r="135" spans="1:13">
      <c r="A135" s="364" t="s">
        <v>632</v>
      </c>
      <c r="B135" s="354">
        <v>405</v>
      </c>
      <c r="C135" s="323" t="s">
        <v>677</v>
      </c>
      <c r="D135" s="251">
        <v>1000</v>
      </c>
      <c r="E135" s="251"/>
      <c r="F135" s="251" t="s">
        <v>473</v>
      </c>
      <c r="G135" s="169">
        <v>0</v>
      </c>
      <c r="H135" s="251" t="s">
        <v>473</v>
      </c>
      <c r="I135" s="324">
        <v>0</v>
      </c>
      <c r="L135" s="366">
        <f>SUMIF(T198_TB!$E:$E,TB!B135,T198_TB!$L:$L)</f>
        <v>-3510625687</v>
      </c>
      <c r="M135" s="364">
        <f t="shared" si="2"/>
        <v>3510625687</v>
      </c>
    </row>
    <row r="136" spans="1:13">
      <c r="A136" s="364" t="s">
        <v>632</v>
      </c>
      <c r="B136" s="354">
        <v>602</v>
      </c>
      <c r="C136" s="323" t="s">
        <v>678</v>
      </c>
      <c r="D136" s="251">
        <v>1000</v>
      </c>
      <c r="E136" s="251"/>
      <c r="F136" s="251" t="s">
        <v>473</v>
      </c>
      <c r="G136" s="169">
        <v>0</v>
      </c>
      <c r="H136" s="251" t="s">
        <v>473</v>
      </c>
      <c r="I136" s="324">
        <v>0</v>
      </c>
      <c r="L136" s="366">
        <f>SUMIF(T198_TB!$E:$E,TB!B136,T198_TB!$L:$L)</f>
        <v>-65109368</v>
      </c>
      <c r="M136" s="364">
        <f t="shared" si="2"/>
        <v>65109368</v>
      </c>
    </row>
    <row r="137" spans="1:13">
      <c r="A137" s="364" t="s">
        <v>632</v>
      </c>
      <c r="B137" s="354">
        <v>604</v>
      </c>
      <c r="C137" s="323" t="s">
        <v>679</v>
      </c>
      <c r="D137" s="251">
        <v>1000</v>
      </c>
      <c r="E137" s="251"/>
      <c r="F137" s="251" t="s">
        <v>473</v>
      </c>
      <c r="G137" s="169">
        <v>0</v>
      </c>
      <c r="H137" s="251" t="s">
        <v>473</v>
      </c>
      <c r="I137" s="324">
        <v>0</v>
      </c>
      <c r="L137" s="366">
        <f>SUMIF(T198_TB!$E:$E,TB!B137,T198_TB!$L:$L)</f>
        <v>0</v>
      </c>
      <c r="M137" s="364" t="str">
        <f t="shared" si="2"/>
        <v>TRUE</v>
      </c>
    </row>
    <row r="138" spans="1:13">
      <c r="A138" s="364" t="s">
        <v>632</v>
      </c>
      <c r="B138" s="354">
        <v>603</v>
      </c>
      <c r="C138" s="323" t="s">
        <v>680</v>
      </c>
      <c r="D138" s="251">
        <v>1000</v>
      </c>
      <c r="E138" s="251"/>
      <c r="F138" s="251" t="s">
        <v>473</v>
      </c>
      <c r="G138" s="169">
        <v>-70088560</v>
      </c>
      <c r="H138" s="251" t="s">
        <v>473</v>
      </c>
      <c r="I138" s="324">
        <v>-70088560</v>
      </c>
      <c r="L138" s="366">
        <f>SUMIF(T198_TB!$E:$E,TB!B138,T198_TB!$L:$L)</f>
        <v>-341313009</v>
      </c>
      <c r="M138" s="364">
        <f t="shared" si="2"/>
        <v>271224449</v>
      </c>
    </row>
    <row r="139" spans="1:13">
      <c r="A139" s="364" t="s">
        <v>632</v>
      </c>
      <c r="B139" s="355">
        <v>501</v>
      </c>
      <c r="C139" s="327" t="s">
        <v>681</v>
      </c>
      <c r="D139" s="251">
        <v>1000</v>
      </c>
      <c r="E139" s="251"/>
      <c r="F139" s="251" t="s">
        <v>473</v>
      </c>
      <c r="G139" s="169">
        <v>341958</v>
      </c>
      <c r="H139" s="251" t="s">
        <v>473</v>
      </c>
      <c r="I139" s="324">
        <v>341958</v>
      </c>
      <c r="L139" s="366">
        <f>SUMIF(T198_TB!$E:$E,TB!B139,T198_TB!$L:$L)</f>
        <v>0</v>
      </c>
      <c r="M139" s="364">
        <f t="shared" si="2"/>
        <v>341958</v>
      </c>
    </row>
    <row r="140" spans="1:13">
      <c r="A140" s="364" t="s">
        <v>632</v>
      </c>
      <c r="B140" s="355">
        <v>505</v>
      </c>
      <c r="C140" s="327" t="s">
        <v>1598</v>
      </c>
      <c r="D140" s="251">
        <v>1000</v>
      </c>
      <c r="E140" s="251"/>
      <c r="F140" s="251" t="s">
        <v>473</v>
      </c>
      <c r="G140" s="169">
        <v>124938956</v>
      </c>
      <c r="H140" s="251" t="s">
        <v>473</v>
      </c>
      <c r="I140" s="324">
        <v>124938956</v>
      </c>
      <c r="L140" s="366">
        <f>SUMIF(T198_TB!$E:$E,TB!B140,T198_TB!$L:$L)</f>
        <v>202764087</v>
      </c>
      <c r="M140" s="364">
        <f t="shared" si="2"/>
        <v>-77825131</v>
      </c>
    </row>
    <row r="141" spans="1:13">
      <c r="A141" s="364" t="s">
        <v>632</v>
      </c>
      <c r="B141" s="355">
        <v>502</v>
      </c>
      <c r="C141" s="327" t="s">
        <v>682</v>
      </c>
      <c r="D141" s="251">
        <v>1000</v>
      </c>
      <c r="E141" s="251"/>
      <c r="F141" s="251" t="s">
        <v>473</v>
      </c>
      <c r="G141" s="169">
        <v>166476327</v>
      </c>
      <c r="H141" s="251" t="s">
        <v>473</v>
      </c>
      <c r="I141" s="324">
        <v>166476327</v>
      </c>
      <c r="L141" s="366">
        <f>SUMIF(T198_TB!$E:$E,TB!B141,T198_TB!$L:$L)</f>
        <v>212774903</v>
      </c>
      <c r="M141" s="364">
        <f t="shared" si="2"/>
        <v>-46298576</v>
      </c>
    </row>
    <row r="142" spans="1:13">
      <c r="A142" s="364" t="s">
        <v>632</v>
      </c>
      <c r="B142" s="355">
        <v>503</v>
      </c>
      <c r="C142" s="327" t="s">
        <v>683</v>
      </c>
      <c r="D142" s="251">
        <v>1000</v>
      </c>
      <c r="E142" s="251"/>
      <c r="F142" s="251" t="s">
        <v>473</v>
      </c>
      <c r="G142" s="169">
        <v>145026303</v>
      </c>
      <c r="H142" s="251" t="s">
        <v>473</v>
      </c>
      <c r="I142" s="324">
        <v>145026303</v>
      </c>
      <c r="L142" s="366">
        <f>SUMIF(T198_TB!$E:$E,TB!B142,T198_TB!$L:$L)</f>
        <v>217976669</v>
      </c>
      <c r="M142" s="364">
        <f t="shared" si="2"/>
        <v>-72950366</v>
      </c>
    </row>
    <row r="143" spans="1:13">
      <c r="A143" s="364" t="s">
        <v>632</v>
      </c>
      <c r="B143" s="355">
        <v>504</v>
      </c>
      <c r="C143" s="327" t="s">
        <v>684</v>
      </c>
      <c r="D143" s="251">
        <v>1000</v>
      </c>
      <c r="E143" s="251"/>
      <c r="F143" s="251" t="s">
        <v>473</v>
      </c>
      <c r="G143" s="169">
        <v>0</v>
      </c>
      <c r="H143" s="251" t="s">
        <v>473</v>
      </c>
      <c r="I143" s="324">
        <v>0</v>
      </c>
      <c r="L143" s="366">
        <f>SUMIF(T198_TB!$E:$E,TB!B143,T198_TB!$L:$L)</f>
        <v>2394018200</v>
      </c>
      <c r="M143" s="364">
        <f t="shared" si="2"/>
        <v>-2394018200</v>
      </c>
    </row>
    <row r="144" spans="1:13">
      <c r="A144" s="364" t="s">
        <v>632</v>
      </c>
      <c r="B144" s="355">
        <v>333</v>
      </c>
      <c r="C144" s="327" t="s">
        <v>685</v>
      </c>
      <c r="D144" s="251">
        <v>1000</v>
      </c>
      <c r="E144" s="251"/>
      <c r="F144" s="251" t="s">
        <v>473</v>
      </c>
      <c r="G144" s="169">
        <v>0</v>
      </c>
      <c r="H144" s="251" t="s">
        <v>473</v>
      </c>
      <c r="I144" s="324">
        <v>0</v>
      </c>
      <c r="L144" s="366">
        <f>SUMIF(T198_TB!$E:$E,TB!B144,T198_TB!$L:$L)</f>
        <v>0</v>
      </c>
      <c r="M144" s="364" t="str">
        <f t="shared" si="2"/>
        <v>TRUE</v>
      </c>
    </row>
    <row r="145" spans="1:13">
      <c r="A145" s="364" t="s">
        <v>632</v>
      </c>
      <c r="B145" s="355">
        <v>907</v>
      </c>
      <c r="C145" s="327" t="s">
        <v>1880</v>
      </c>
      <c r="D145" s="251">
        <v>1000</v>
      </c>
      <c r="E145" s="251"/>
      <c r="F145" s="251" t="s">
        <v>473</v>
      </c>
      <c r="G145" s="169">
        <v>0</v>
      </c>
      <c r="H145" s="251" t="s">
        <v>473</v>
      </c>
      <c r="I145" s="324">
        <v>0</v>
      </c>
      <c r="L145" s="366">
        <f>SUMIF(T198_TB!$E:$E,TB!B145,T198_TB!$L:$L)</f>
        <v>0</v>
      </c>
      <c r="M145" s="364" t="str">
        <f t="shared" si="2"/>
        <v>TRUE</v>
      </c>
    </row>
    <row r="146" spans="1:13">
      <c r="A146" s="364" t="s">
        <v>632</v>
      </c>
      <c r="B146" s="355">
        <v>706</v>
      </c>
      <c r="C146" s="327" t="s">
        <v>686</v>
      </c>
      <c r="D146" s="251">
        <v>1000</v>
      </c>
      <c r="E146" s="251"/>
      <c r="F146" s="251" t="s">
        <v>473</v>
      </c>
      <c r="G146" s="169">
        <v>0</v>
      </c>
      <c r="H146" s="251" t="s">
        <v>473</v>
      </c>
      <c r="I146" s="324">
        <v>0</v>
      </c>
      <c r="L146" s="366">
        <f>SUMIF(T198_TB!$E:$E,TB!B146,T198_TB!$L:$L)</f>
        <v>242686686</v>
      </c>
      <c r="M146" s="364">
        <f t="shared" si="2"/>
        <v>-242686686</v>
      </c>
    </row>
    <row r="147" spans="1:13">
      <c r="A147" s="364" t="s">
        <v>632</v>
      </c>
      <c r="B147" s="355">
        <v>702</v>
      </c>
      <c r="C147" s="327" t="s">
        <v>732</v>
      </c>
      <c r="D147" s="251">
        <v>1000</v>
      </c>
      <c r="E147" s="251"/>
      <c r="F147" s="251" t="s">
        <v>473</v>
      </c>
      <c r="G147" s="169">
        <v>0</v>
      </c>
      <c r="H147" s="251" t="s">
        <v>473</v>
      </c>
      <c r="I147" s="324">
        <v>0</v>
      </c>
      <c r="L147" s="366">
        <f>SUMIF(T198_TB!$E:$E,TB!B147,T198_TB!$L:$L)</f>
        <v>62881122</v>
      </c>
      <c r="M147" s="364">
        <f t="shared" si="2"/>
        <v>-62881122</v>
      </c>
    </row>
    <row r="148" spans="1:13">
      <c r="A148" s="364" t="s">
        <v>632</v>
      </c>
      <c r="B148" s="355">
        <v>701</v>
      </c>
      <c r="C148" s="327" t="s">
        <v>687</v>
      </c>
      <c r="D148" s="251">
        <v>1000</v>
      </c>
      <c r="E148" s="251"/>
      <c r="F148" s="251" t="s">
        <v>473</v>
      </c>
      <c r="G148" s="169">
        <v>1000</v>
      </c>
      <c r="H148" s="251" t="s">
        <v>473</v>
      </c>
      <c r="I148" s="324">
        <v>1000</v>
      </c>
      <c r="L148" s="366">
        <f>SUMIF(T198_TB!$E:$E,TB!B148,T198_TB!$L:$L)</f>
        <v>0</v>
      </c>
      <c r="M148" s="364">
        <f t="shared" si="2"/>
        <v>1000</v>
      </c>
    </row>
    <row r="149" spans="1:13">
      <c r="A149" s="364" t="s">
        <v>632</v>
      </c>
      <c r="B149" s="355">
        <v>705</v>
      </c>
      <c r="C149" s="327" t="s">
        <v>734</v>
      </c>
      <c r="D149" s="251">
        <v>1000</v>
      </c>
      <c r="E149" s="251"/>
      <c r="F149" s="251" t="s">
        <v>473</v>
      </c>
      <c r="G149" s="169">
        <v>1000</v>
      </c>
      <c r="H149" s="251" t="s">
        <v>473</v>
      </c>
      <c r="I149" s="324">
        <v>1000</v>
      </c>
      <c r="L149" s="366">
        <f>SUMIF(T198_TB!$E:$E,TB!B149,T198_TB!$L:$L)</f>
        <v>217671</v>
      </c>
      <c r="M149" s="364">
        <f t="shared" si="2"/>
        <v>-216671</v>
      </c>
    </row>
    <row r="150" spans="1:13">
      <c r="A150" s="364" t="s">
        <v>632</v>
      </c>
      <c r="B150" s="355">
        <v>703</v>
      </c>
      <c r="C150" s="327" t="s">
        <v>762</v>
      </c>
      <c r="D150" s="251">
        <v>1000</v>
      </c>
      <c r="E150" s="251"/>
      <c r="F150" s="251" t="s">
        <v>473</v>
      </c>
      <c r="G150" s="169">
        <v>-622003191</v>
      </c>
      <c r="H150" s="251" t="s">
        <v>473</v>
      </c>
      <c r="I150" s="324">
        <v>-622003191</v>
      </c>
      <c r="L150" s="366">
        <f>SUMIF(T198_TB!$E:$E,TB!B150,T198_TB!$L:$L)</f>
        <v>0</v>
      </c>
      <c r="M150" s="364">
        <f t="shared" si="2"/>
        <v>-622003191</v>
      </c>
    </row>
    <row r="151" spans="1:13">
      <c r="A151" s="364" t="s">
        <v>632</v>
      </c>
      <c r="B151" s="355">
        <v>709</v>
      </c>
      <c r="C151" s="327" t="s">
        <v>481</v>
      </c>
      <c r="D151" s="251">
        <v>1000</v>
      </c>
      <c r="E151" s="251"/>
      <c r="F151" s="251" t="s">
        <v>473</v>
      </c>
      <c r="G151" s="169">
        <v>0</v>
      </c>
      <c r="H151" s="251" t="s">
        <v>473</v>
      </c>
      <c r="I151" s="324">
        <v>0</v>
      </c>
      <c r="L151" s="366">
        <f>SUMIF(T198_TB!$E:$E,TB!B151,T198_TB!$L:$L)</f>
        <v>0</v>
      </c>
      <c r="M151" s="364" t="str">
        <f t="shared" si="2"/>
        <v>TRUE</v>
      </c>
    </row>
    <row r="152" spans="1:13">
      <c r="A152" s="364" t="s">
        <v>632</v>
      </c>
      <c r="B152" s="355">
        <v>704</v>
      </c>
      <c r="C152" s="327" t="s">
        <v>688</v>
      </c>
      <c r="D152" s="251">
        <v>1000</v>
      </c>
      <c r="E152" s="251"/>
      <c r="F152" s="251" t="s">
        <v>473</v>
      </c>
      <c r="G152" s="169">
        <v>197404250</v>
      </c>
      <c r="H152" s="251" t="s">
        <v>473</v>
      </c>
      <c r="I152" s="324">
        <v>197404250</v>
      </c>
      <c r="L152" s="366">
        <f>SUMIF(T198_TB!$E:$E,TB!B152,T198_TB!$L:$L)</f>
        <v>24872820</v>
      </c>
      <c r="M152" s="364">
        <f t="shared" si="2"/>
        <v>172531430</v>
      </c>
    </row>
    <row r="153" spans="1:13">
      <c r="A153" s="364" t="s">
        <v>632</v>
      </c>
      <c r="B153" s="355">
        <v>801</v>
      </c>
      <c r="C153" s="327" t="s">
        <v>380</v>
      </c>
      <c r="D153" s="251">
        <v>1000</v>
      </c>
      <c r="E153" s="251"/>
      <c r="F153" s="251" t="s">
        <v>473</v>
      </c>
      <c r="G153" s="169">
        <v>-190300445</v>
      </c>
      <c r="H153" s="251" t="s">
        <v>473</v>
      </c>
      <c r="I153" s="324">
        <v>-190300445</v>
      </c>
      <c r="L153" s="366">
        <f>SUMIF(T198_TB!$E:$E,TB!B153,T198_TB!$L:$L)</f>
        <v>315249021</v>
      </c>
      <c r="M153" s="364">
        <f t="shared" si="2"/>
        <v>-505549466</v>
      </c>
    </row>
    <row r="154" spans="1:13">
      <c r="A154" s="364" t="s">
        <v>632</v>
      </c>
      <c r="B154" s="355">
        <v>708</v>
      </c>
      <c r="C154" s="327" t="s">
        <v>1595</v>
      </c>
      <c r="D154" s="251">
        <v>1000</v>
      </c>
      <c r="E154" s="251"/>
      <c r="F154" s="251" t="s">
        <v>473</v>
      </c>
      <c r="G154" s="169">
        <v>3286752</v>
      </c>
      <c r="H154" s="251" t="s">
        <v>473</v>
      </c>
      <c r="I154" s="324">
        <v>3286752</v>
      </c>
      <c r="L154" s="366">
        <f>SUMIF(T198_TB!$E:$E,TB!B154,T198_TB!$L:$L)</f>
        <v>0</v>
      </c>
      <c r="M154" s="364">
        <f t="shared" si="2"/>
        <v>3286752</v>
      </c>
    </row>
    <row r="155" spans="1:13">
      <c r="A155" s="364" t="s">
        <v>632</v>
      </c>
      <c r="B155" s="360">
        <v>3406</v>
      </c>
      <c r="C155" s="327" t="s">
        <v>181</v>
      </c>
      <c r="D155" s="251">
        <v>1000</v>
      </c>
      <c r="E155" s="251"/>
      <c r="F155" s="251" t="s">
        <v>473</v>
      </c>
      <c r="G155" s="169">
        <v>-5047480105</v>
      </c>
      <c r="H155" s="251" t="s">
        <v>473</v>
      </c>
      <c r="I155" s="324">
        <v>-5047480105</v>
      </c>
      <c r="L155" s="366">
        <f>SUMIF(T198_TB!$E:$E,TB!B155,T198_TB!$L:$L)</f>
        <v>-80038925</v>
      </c>
      <c r="M155" s="364">
        <f t="shared" si="2"/>
        <v>-4967441180</v>
      </c>
    </row>
    <row r="156" spans="1:13">
      <c r="A156" s="364" t="s">
        <v>632</v>
      </c>
      <c r="B156" s="360">
        <v>3408</v>
      </c>
      <c r="C156" s="327" t="s">
        <v>1917</v>
      </c>
      <c r="D156" s="251">
        <v>1000</v>
      </c>
      <c r="E156" s="251">
        <v>3</v>
      </c>
      <c r="F156" s="251" t="s">
        <v>473</v>
      </c>
      <c r="G156" s="169">
        <v>-81887307</v>
      </c>
      <c r="H156" s="251" t="s">
        <v>473</v>
      </c>
      <c r="I156" s="324">
        <v>-81887307</v>
      </c>
      <c r="L156" s="366">
        <f>SUMIF(T198_TB!$E:$E,TB!B156,T198_TB!$L:$L)</f>
        <v>-6195010647</v>
      </c>
      <c r="M156" s="364">
        <f t="shared" si="2"/>
        <v>6113123340</v>
      </c>
    </row>
    <row r="157" spans="1:13" ht="14.25" thickBot="1">
      <c r="A157" s="364" t="s">
        <v>632</v>
      </c>
      <c r="B157" s="356">
        <v>1607</v>
      </c>
      <c r="C157" s="328" t="s">
        <v>689</v>
      </c>
      <c r="D157" s="329">
        <v>1000</v>
      </c>
      <c r="E157" s="329"/>
      <c r="F157" s="329" t="s">
        <v>473</v>
      </c>
      <c r="G157" s="330">
        <v>58701019</v>
      </c>
      <c r="H157" s="329" t="s">
        <v>473</v>
      </c>
      <c r="I157" s="331">
        <v>58701019</v>
      </c>
      <c r="L157" s="366">
        <f>SUMIF(T198_TB!$E:$E,TB!B157,T198_TB!$L:$L)</f>
        <v>66315496</v>
      </c>
      <c r="M157" s="364">
        <f t="shared" si="2"/>
        <v>-7614477</v>
      </c>
    </row>
  </sheetData>
  <autoFilter ref="A1:N1"/>
  <phoneticPr fontId="2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2060"/>
  </sheetPr>
  <dimension ref="C1:AA173"/>
  <sheetViews>
    <sheetView showGridLines="0" zoomScale="85" zoomScaleNormal="85" workbookViewId="0">
      <pane xSplit="4" ySplit="5" topLeftCell="E6" activePane="bottomRight" state="frozen"/>
      <selection activeCell="F37" sqref="F37"/>
      <selection pane="topRight" activeCell="F37" sqref="F37"/>
      <selection pane="bottomLeft" activeCell="F37" sqref="F37"/>
      <selection pane="bottomRight" activeCell="A10" sqref="A10"/>
    </sheetView>
  </sheetViews>
  <sheetFormatPr defaultColWidth="8.75" defaultRowHeight="18" customHeight="1"/>
  <cols>
    <col min="1" max="2" width="2.375" style="5" customWidth="1"/>
    <col min="3" max="3" width="6.375" style="202" customWidth="1"/>
    <col min="4" max="4" width="11.125" style="263" customWidth="1"/>
    <col min="5" max="5" width="25.375" style="5" customWidth="1"/>
    <col min="6" max="7" width="13.625" style="5" bestFit="1" customWidth="1"/>
    <col min="8" max="8" width="21.75" style="5" bestFit="1" customWidth="1"/>
    <col min="9" max="9" width="13.625" style="5" bestFit="1" customWidth="1"/>
    <col min="10" max="10" width="11.875" style="5" customWidth="1"/>
    <col min="11" max="11" width="13.625" style="5" bestFit="1" customWidth="1"/>
    <col min="12" max="12" width="16.875" style="5" customWidth="1"/>
    <col min="13" max="13" width="11.75" style="5" customWidth="1"/>
    <col min="14" max="14" width="16.875" style="5" customWidth="1"/>
    <col min="15" max="15" width="17.625" style="5" customWidth="1"/>
    <col min="16" max="16" width="12.75" style="5" customWidth="1"/>
    <col min="17" max="17" width="14.25" style="5" customWidth="1"/>
    <col min="18" max="18" width="15.625" style="5" customWidth="1"/>
    <col min="19" max="19" width="16.375" style="5" customWidth="1"/>
    <col min="20" max="20" width="12.75" style="5" customWidth="1"/>
    <col min="21" max="21" width="14.25" style="5" customWidth="1"/>
    <col min="22" max="22" width="16.875" style="5" customWidth="1"/>
    <col min="23" max="23" width="17.625" style="5" customWidth="1"/>
    <col min="24" max="24" width="16.875" style="5" customWidth="1"/>
    <col min="25" max="25" width="17.625" style="5" customWidth="1"/>
    <col min="26" max="26" width="14.625" style="5" bestFit="1" customWidth="1"/>
    <col min="27" max="27" width="14.5" style="5" bestFit="1" customWidth="1"/>
    <col min="28" max="16384" width="8.75" style="5"/>
  </cols>
  <sheetData>
    <row r="1" spans="3:27" ht="18" customHeight="1">
      <c r="I1" s="5">
        <f>+$F1-$G1</f>
        <v>0</v>
      </c>
      <c r="J1" s="5">
        <f>+$G1-$F1</f>
        <v>0</v>
      </c>
      <c r="K1" s="5">
        <f>+$G1-$F1</f>
        <v>0</v>
      </c>
      <c r="L1" s="5">
        <f>+$G1-$F1</f>
        <v>0</v>
      </c>
      <c r="N1" s="5" t="s">
        <v>1354</v>
      </c>
      <c r="O1" s="5">
        <v>26362637502</v>
      </c>
      <c r="P1" s="5">
        <f>+O1-K3</f>
        <v>30670256042</v>
      </c>
    </row>
    <row r="2" spans="3:27" ht="18" customHeight="1">
      <c r="N2" s="5" t="s">
        <v>1352</v>
      </c>
      <c r="O2" s="5">
        <v>1258063162</v>
      </c>
    </row>
    <row r="3" spans="3:27" ht="18" customHeight="1">
      <c r="I3" s="5">
        <f>SUBTOTAL(9,I$6:I$173)</f>
        <v>-1624658581</v>
      </c>
      <c r="J3" s="5">
        <f>SUBTOTAL(9,J$6:J$173)</f>
        <v>1852533634</v>
      </c>
      <c r="K3" s="5">
        <f>SUBTOTAL(9,K$6:K$173)</f>
        <v>-4307618540</v>
      </c>
      <c r="L3" s="5">
        <f>SUBTOTAL(9,L$6:L$173)</f>
        <v>1039340140</v>
      </c>
    </row>
    <row r="4" spans="3:27" s="25" customFormat="1" ht="18" customHeight="1" thickBot="1">
      <c r="C4" s="172"/>
      <c r="D4" s="264"/>
      <c r="E4" s="5"/>
      <c r="F4" s="5">
        <f>SUM(F6:F173)</f>
        <v>79307757784</v>
      </c>
      <c r="G4" s="5">
        <f>SUM(G6:G173)</f>
        <v>79311691177</v>
      </c>
      <c r="H4" s="5">
        <f>+F4-G4</f>
        <v>-3933393</v>
      </c>
      <c r="I4" s="5">
        <f>SUM(I6:I173)</f>
        <v>-1624658581</v>
      </c>
      <c r="J4" s="5">
        <f>SUM(J6:J173)</f>
        <v>1852533634</v>
      </c>
      <c r="K4" s="5">
        <f>SUM(K6:K173)</f>
        <v>-4307618540</v>
      </c>
      <c r="L4" s="5">
        <f>SUM(L6:L173)</f>
        <v>1039340140</v>
      </c>
      <c r="M4" s="5"/>
      <c r="N4" s="5"/>
      <c r="O4" s="5"/>
      <c r="P4" s="5"/>
    </row>
    <row r="5" spans="3:27" ht="18" customHeight="1">
      <c r="C5" s="238" t="s">
        <v>1812</v>
      </c>
      <c r="D5" s="265" t="s">
        <v>1798</v>
      </c>
      <c r="E5" s="238" t="s">
        <v>1786</v>
      </c>
      <c r="F5" s="238" t="s">
        <v>1788</v>
      </c>
      <c r="G5" s="238" t="s">
        <v>1789</v>
      </c>
      <c r="H5" s="238" t="s">
        <v>1799</v>
      </c>
      <c r="I5" s="238" t="s">
        <v>1819</v>
      </c>
      <c r="J5" s="238" t="s">
        <v>1814</v>
      </c>
      <c r="K5" s="238" t="s">
        <v>1815</v>
      </c>
      <c r="L5" s="238" t="s">
        <v>1816</v>
      </c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</row>
    <row r="6" spans="3:27" ht="18" customHeight="1">
      <c r="C6" s="266" t="s">
        <v>1817</v>
      </c>
      <c r="D6" s="267" t="str">
        <f>+'1.0'!D6</f>
        <v>CS합병시 주식할인차금 제거 (2015년)</v>
      </c>
      <c r="E6" s="241"/>
      <c r="F6" s="241"/>
      <c r="G6" s="241"/>
      <c r="H6" s="241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</row>
    <row r="7" spans="3:27" ht="18" customHeight="1">
      <c r="C7" s="242" t="s">
        <v>1817</v>
      </c>
      <c r="D7" s="268" t="str">
        <f>+'1.0'!D7</f>
        <v>125650</v>
      </c>
      <c r="E7" s="243" t="str">
        <f>+'1.0'!E7</f>
        <v>영업권</v>
      </c>
      <c r="F7" s="243">
        <v>19842800</v>
      </c>
      <c r="G7" s="243">
        <v>0</v>
      </c>
      <c r="H7" s="243"/>
      <c r="I7" s="269">
        <f>+$F7-$G7</f>
        <v>19842800</v>
      </c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</row>
    <row r="8" spans="3:27" s="190" customFormat="1" ht="18" customHeight="1">
      <c r="C8" s="242" t="s">
        <v>1817</v>
      </c>
      <c r="D8" s="268" t="str">
        <f>+'1.0'!D8</f>
        <v>320300</v>
      </c>
      <c r="E8" s="243" t="str">
        <f>+'1.0'!E8</f>
        <v>기타자본잉여금</v>
      </c>
      <c r="F8" s="243">
        <v>0</v>
      </c>
      <c r="G8" s="243">
        <v>19842800</v>
      </c>
      <c r="H8" s="243"/>
      <c r="I8" s="5"/>
      <c r="J8" s="5"/>
      <c r="K8" s="269">
        <f>+G8</f>
        <v>19842800</v>
      </c>
      <c r="L8" s="5"/>
      <c r="M8" s="5"/>
      <c r="N8" s="5"/>
      <c r="O8" s="5"/>
      <c r="P8" s="5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</row>
    <row r="9" spans="3:27" s="190" customFormat="1" ht="18" customHeight="1">
      <c r="C9" s="266" t="s">
        <v>1817</v>
      </c>
      <c r="D9" s="267" t="str">
        <f>+'1.0'!D9</f>
        <v>합병차익취소</v>
      </c>
      <c r="E9" s="241"/>
      <c r="F9" s="241"/>
      <c r="G9" s="241"/>
      <c r="H9" s="241"/>
      <c r="I9" s="5"/>
      <c r="J9" s="5"/>
      <c r="K9" s="5"/>
      <c r="L9" s="5"/>
      <c r="M9" s="5"/>
      <c r="N9" s="5"/>
      <c r="O9" s="5"/>
      <c r="P9" s="5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</row>
    <row r="10" spans="3:27" s="190" customFormat="1" ht="18" customHeight="1">
      <c r="C10" s="242" t="s">
        <v>1817</v>
      </c>
      <c r="D10" s="268" t="str">
        <f>+'1.0'!D10</f>
        <v>320300</v>
      </c>
      <c r="E10" s="243" t="str">
        <f>+'1.0'!E10</f>
        <v>기타자본잉여금</v>
      </c>
      <c r="F10" s="243">
        <v>368242282</v>
      </c>
      <c r="G10" s="243">
        <v>0</v>
      </c>
      <c r="H10" s="243"/>
      <c r="I10" s="5"/>
      <c r="J10" s="5"/>
      <c r="K10" s="269">
        <f>-F10</f>
        <v>-368242282</v>
      </c>
      <c r="L10" s="5"/>
      <c r="M10" s="5"/>
      <c r="N10" s="5"/>
      <c r="O10" s="5"/>
      <c r="P10" s="5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</row>
    <row r="11" spans="3:27" s="190" customFormat="1" ht="18" customHeight="1">
      <c r="C11" s="242" t="s">
        <v>1817</v>
      </c>
      <c r="D11" s="268" t="str">
        <f>+'1.0'!D11</f>
        <v>340100</v>
      </c>
      <c r="E11" s="243" t="str">
        <f>+'1.0'!E11</f>
        <v>전기이월이익잉여금</v>
      </c>
      <c r="F11" s="243">
        <v>0</v>
      </c>
      <c r="G11" s="243">
        <v>368242282</v>
      </c>
      <c r="H11" s="243"/>
      <c r="I11" s="5"/>
      <c r="J11" s="5"/>
      <c r="K11" s="5">
        <f>+G11</f>
        <v>368242282</v>
      </c>
      <c r="L11" s="5"/>
      <c r="M11" s="5"/>
      <c r="N11" s="5"/>
      <c r="O11" s="5"/>
      <c r="P11" s="5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</row>
    <row r="12" spans="3:27" s="190" customFormat="1" ht="18" customHeight="1">
      <c r="C12" s="242" t="s">
        <v>1817</v>
      </c>
      <c r="D12" s="268" t="str">
        <f>+'1.0'!D12</f>
        <v>320300</v>
      </c>
      <c r="E12" s="243" t="str">
        <f>+'1.0'!E12</f>
        <v>기타자본잉여금</v>
      </c>
      <c r="F12" s="243">
        <v>622390102</v>
      </c>
      <c r="G12" s="243">
        <v>0</v>
      </c>
      <c r="H12" s="243"/>
      <c r="I12" s="5"/>
      <c r="J12" s="5"/>
      <c r="K12" s="269">
        <f>-F12</f>
        <v>-622390102</v>
      </c>
      <c r="L12" s="5"/>
      <c r="M12" s="5"/>
      <c r="N12" s="5"/>
      <c r="O12" s="5"/>
      <c r="P12" s="5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</row>
    <row r="13" spans="3:27" s="190" customFormat="1" ht="18" customHeight="1">
      <c r="C13" s="242" t="s">
        <v>1817</v>
      </c>
      <c r="D13" s="268" t="str">
        <f>+'1.0'!D13</f>
        <v>350951</v>
      </c>
      <c r="E13" s="243" t="str">
        <f>+'1.0'!E13</f>
        <v>보험수리적이익</v>
      </c>
      <c r="F13" s="243">
        <v>0</v>
      </c>
      <c r="G13" s="243">
        <v>622390102</v>
      </c>
      <c r="H13" s="243"/>
      <c r="I13" s="5"/>
      <c r="J13" s="5"/>
      <c r="K13" s="269">
        <f>+G13</f>
        <v>622390102</v>
      </c>
      <c r="L13" s="5"/>
      <c r="M13" s="5"/>
      <c r="N13" s="5"/>
      <c r="O13" s="5"/>
      <c r="P13" s="5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</row>
    <row r="14" spans="3:27" s="190" customFormat="1" ht="18" customHeight="1">
      <c r="C14" s="266" t="s">
        <v>1817</v>
      </c>
      <c r="D14" s="267" t="str">
        <f>+'1.0'!D14</f>
        <v>ICS 합병시 처리</v>
      </c>
      <c r="E14" s="241"/>
      <c r="F14" s="241"/>
      <c r="G14" s="241"/>
      <c r="H14" s="241"/>
      <c r="I14" s="5"/>
      <c r="J14" s="5"/>
      <c r="K14" s="5"/>
      <c r="L14" s="5"/>
      <c r="M14" s="5"/>
      <c r="N14" s="5"/>
      <c r="O14" s="5"/>
      <c r="P14" s="5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</row>
    <row r="15" spans="3:27" s="190" customFormat="1" ht="18" customHeight="1">
      <c r="C15" s="242" t="s">
        <v>1817</v>
      </c>
      <c r="D15" s="268" t="str">
        <f>+'1.0'!D15</f>
        <v>320300</v>
      </c>
      <c r="E15" s="243" t="str">
        <f>+'1.0'!E15</f>
        <v>기타자본잉여금</v>
      </c>
      <c r="F15" s="243">
        <v>0</v>
      </c>
      <c r="G15" s="243">
        <v>892464079</v>
      </c>
      <c r="H15" s="243"/>
      <c r="I15" s="5"/>
      <c r="J15" s="5"/>
      <c r="K15" s="269">
        <f>+G15</f>
        <v>892464079</v>
      </c>
      <c r="L15" s="5"/>
      <c r="M15" s="5"/>
      <c r="N15" s="5"/>
      <c r="O15" s="5"/>
      <c r="P15" s="5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</row>
    <row r="16" spans="3:27" s="190" customFormat="1" ht="18" customHeight="1">
      <c r="C16" s="242" t="s">
        <v>1817</v>
      </c>
      <c r="D16" s="268" t="str">
        <f>+'1.0'!D16</f>
        <v>340100</v>
      </c>
      <c r="E16" s="243" t="str">
        <f>+'1.0'!E16</f>
        <v>전기이월이익잉여금</v>
      </c>
      <c r="F16" s="243">
        <v>892464079</v>
      </c>
      <c r="G16" s="243">
        <v>0</v>
      </c>
      <c r="H16" s="243"/>
      <c r="I16" s="5"/>
      <c r="J16" s="5"/>
      <c r="K16" s="5">
        <f>-F16</f>
        <v>-892464079</v>
      </c>
      <c r="L16" s="5"/>
      <c r="M16" s="5"/>
      <c r="N16" s="5"/>
      <c r="O16" s="5"/>
      <c r="P16" s="5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</row>
    <row r="17" spans="3:27" s="190" customFormat="1" ht="18" customHeight="1">
      <c r="C17" s="266" t="s">
        <v>1817</v>
      </c>
      <c r="D17" s="267" t="str">
        <f>+'1.0'!D17</f>
        <v>MPMAN 합병시 처리</v>
      </c>
      <c r="E17" s="241"/>
      <c r="F17" s="241"/>
      <c r="G17" s="241"/>
      <c r="H17" s="241"/>
      <c r="I17" s="5"/>
      <c r="J17" s="5"/>
      <c r="K17" s="5"/>
      <c r="L17" s="5"/>
      <c r="M17" s="5"/>
      <c r="N17" s="5"/>
      <c r="O17" s="5"/>
      <c r="P17" s="5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</row>
    <row r="18" spans="3:27" s="190" customFormat="1" ht="18" customHeight="1">
      <c r="C18" s="242" t="s">
        <v>1817</v>
      </c>
      <c r="D18" s="268" t="str">
        <f>+'1.0'!D18</f>
        <v>320300</v>
      </c>
      <c r="E18" s="243" t="str">
        <f>+'1.0'!E18</f>
        <v>기타자본잉여금</v>
      </c>
      <c r="F18" s="243">
        <v>10952617</v>
      </c>
      <c r="G18" s="243">
        <v>0</v>
      </c>
      <c r="H18" s="243"/>
      <c r="I18" s="5"/>
      <c r="J18" s="5"/>
      <c r="K18" s="269">
        <f>-F18</f>
        <v>-10952617</v>
      </c>
      <c r="L18" s="5"/>
      <c r="M18" s="5"/>
      <c r="N18" s="5"/>
      <c r="O18" s="5"/>
      <c r="P18" s="5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</row>
    <row r="19" spans="3:27" s="190" customFormat="1" ht="18" customHeight="1">
      <c r="C19" s="242" t="s">
        <v>1817</v>
      </c>
      <c r="D19" s="268" t="str">
        <f>+'1.0'!D19</f>
        <v>340100</v>
      </c>
      <c r="E19" s="243" t="str">
        <f>+'1.0'!E19</f>
        <v>전기이월이익잉여금</v>
      </c>
      <c r="F19" s="243">
        <v>0</v>
      </c>
      <c r="G19" s="243">
        <v>10952617</v>
      </c>
      <c r="H19" s="243"/>
      <c r="I19" s="5"/>
      <c r="J19" s="5"/>
      <c r="K19" s="5">
        <f>+G19</f>
        <v>10952617</v>
      </c>
      <c r="L19" s="5"/>
      <c r="M19" s="5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</row>
    <row r="20" spans="3:27" s="190" customFormat="1" ht="18" customHeight="1">
      <c r="C20" s="242" t="s">
        <v>1817</v>
      </c>
      <c r="D20" s="268" t="str">
        <f>+'1.0'!D20</f>
        <v>320300</v>
      </c>
      <c r="E20" s="243" t="str">
        <f>+'1.0'!E20</f>
        <v>기타자본잉여금</v>
      </c>
      <c r="F20" s="243">
        <v>0</v>
      </c>
      <c r="G20" s="243">
        <v>349388</v>
      </c>
      <c r="H20" s="243"/>
      <c r="I20" s="5"/>
      <c r="J20" s="5"/>
      <c r="K20" s="269">
        <f>+G20</f>
        <v>349388</v>
      </c>
      <c r="L20" s="5"/>
      <c r="M20" s="5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</row>
    <row r="21" spans="3:27" s="190" customFormat="1" ht="18" customHeight="1">
      <c r="C21" s="242" t="s">
        <v>1817</v>
      </c>
      <c r="D21" s="268" t="str">
        <f>+'1.0'!D21</f>
        <v>340100</v>
      </c>
      <c r="E21" s="243" t="str">
        <f>+'1.0'!E21</f>
        <v>전기이월이익잉여금</v>
      </c>
      <c r="F21" s="243">
        <v>349388</v>
      </c>
      <c r="G21" s="243">
        <v>0</v>
      </c>
      <c r="H21" s="243"/>
      <c r="I21" s="5"/>
      <c r="J21" s="5"/>
      <c r="K21" s="5">
        <f>-F21</f>
        <v>-349388</v>
      </c>
      <c r="L21" s="5"/>
      <c r="M21" s="5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</row>
    <row r="22" spans="3:27" s="190" customFormat="1" ht="18" customHeight="1">
      <c r="C22" s="242" t="s">
        <v>1817</v>
      </c>
      <c r="D22" s="268" t="str">
        <f>+'1.0'!D22</f>
        <v>320300</v>
      </c>
      <c r="E22" s="243" t="str">
        <f>+'1.0'!E22</f>
        <v>기타자본잉여금</v>
      </c>
      <c r="F22" s="243">
        <v>29855787</v>
      </c>
      <c r="G22" s="243">
        <v>0</v>
      </c>
      <c r="H22" s="243"/>
      <c r="I22" s="5"/>
      <c r="J22" s="5"/>
      <c r="K22" s="269">
        <f>-F22</f>
        <v>-29855787</v>
      </c>
      <c r="L22" s="5"/>
      <c r="M22" s="5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</row>
    <row r="23" spans="3:27" s="190" customFormat="1" ht="18" customHeight="1">
      <c r="C23" s="242" t="s">
        <v>1817</v>
      </c>
      <c r="D23" s="268" t="str">
        <f>+'1.0'!D23</f>
        <v>340100</v>
      </c>
      <c r="E23" s="243" t="str">
        <f>+'1.0'!E23</f>
        <v>전기이월이익잉여금</v>
      </c>
      <c r="F23" s="243">
        <v>0</v>
      </c>
      <c r="G23" s="243">
        <v>29855787</v>
      </c>
      <c r="H23" s="243"/>
      <c r="I23" s="5"/>
      <c r="J23" s="5"/>
      <c r="K23" s="5">
        <f>+G23</f>
        <v>29855787</v>
      </c>
      <c r="L23" s="5"/>
      <c r="M23" s="5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</row>
    <row r="24" spans="3:27" s="190" customFormat="1" ht="18" customHeight="1">
      <c r="C24" s="242"/>
      <c r="D24" s="268"/>
      <c r="E24" s="243"/>
      <c r="F24" s="243"/>
      <c r="G24" s="243"/>
      <c r="H24" s="243"/>
      <c r="I24" s="5"/>
      <c r="J24" s="5"/>
      <c r="K24" s="5"/>
      <c r="L24" s="5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</row>
    <row r="25" spans="3:27" s="190" customFormat="1" ht="18" customHeight="1">
      <c r="C25" s="266">
        <v>2</v>
      </c>
      <c r="D25" s="267" t="str">
        <f>+'2.0'!D12</f>
        <v>미국법인매각</v>
      </c>
      <c r="E25" s="241"/>
      <c r="F25" s="241"/>
      <c r="G25" s="241"/>
      <c r="H25" s="241"/>
      <c r="I25" s="5"/>
      <c r="J25" s="5"/>
      <c r="K25" s="5"/>
      <c r="L25" s="5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</row>
    <row r="26" spans="3:27" s="190" customFormat="1" ht="18" customHeight="1">
      <c r="C26" s="242">
        <v>2</v>
      </c>
      <c r="D26" s="268" t="str">
        <f>+'2.0'!D13</f>
        <v>340100</v>
      </c>
      <c r="E26" s="243" t="str">
        <f>+'2.0'!E13</f>
        <v>이월이익잉여금</v>
      </c>
      <c r="F26" s="270">
        <v>0</v>
      </c>
      <c r="G26" s="270">
        <v>2590571062</v>
      </c>
      <c r="H26" s="243"/>
      <c r="I26" s="5"/>
      <c r="J26" s="5"/>
      <c r="K26" s="5">
        <f>+$G26-$F26</f>
        <v>2590571062</v>
      </c>
      <c r="L26" s="5"/>
      <c r="M26" s="190" t="s">
        <v>1813</v>
      </c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</row>
    <row r="27" spans="3:27" s="190" customFormat="1" ht="18" customHeight="1">
      <c r="C27" s="242">
        <v>2</v>
      </c>
      <c r="D27" s="268" t="str">
        <f>+'2.0'!D14</f>
        <v>연결IS_2</v>
      </c>
      <c r="E27" s="243" t="str">
        <f>+'2.0'!E14</f>
        <v>관계기업투자주식처분이익</v>
      </c>
      <c r="F27" s="270">
        <v>2590571062</v>
      </c>
      <c r="G27" s="270">
        <v>0</v>
      </c>
      <c r="H27" s="243"/>
      <c r="I27" s="5"/>
      <c r="J27" s="5"/>
      <c r="K27" s="5"/>
      <c r="L27" s="5">
        <f t="shared" ref="L27:L35" si="0">+$G27-$F27</f>
        <v>-2590571062</v>
      </c>
      <c r="M27" s="190" t="s">
        <v>1813</v>
      </c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</row>
    <row r="28" spans="3:27" s="190" customFormat="1" ht="18" customHeight="1">
      <c r="C28" s="242">
        <v>2</v>
      </c>
      <c r="D28" s="268" t="str">
        <f>+'2.0'!D15</f>
        <v>643000</v>
      </c>
      <c r="E28" s="243" t="str">
        <f>+'2.0'!E15</f>
        <v>대손상각비</v>
      </c>
      <c r="F28" s="270">
        <v>0</v>
      </c>
      <c r="G28" s="270">
        <v>920006498</v>
      </c>
      <c r="H28" s="243"/>
      <c r="I28" s="5"/>
      <c r="J28" s="5"/>
      <c r="K28" s="5"/>
      <c r="L28" s="5">
        <f t="shared" si="0"/>
        <v>920006498</v>
      </c>
      <c r="M28" s="190" t="s">
        <v>1813</v>
      </c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</row>
    <row r="29" spans="3:27" s="190" customFormat="1" ht="18" customHeight="1">
      <c r="C29" s="242">
        <v>2</v>
      </c>
      <c r="D29" s="268" t="str">
        <f>+'2.0'!D16</f>
        <v>연결IS_2</v>
      </c>
      <c r="E29" s="243" t="str">
        <f>+'2.0'!E16</f>
        <v>관계기업투자주식처분이익</v>
      </c>
      <c r="F29" s="270">
        <v>920006498</v>
      </c>
      <c r="G29" s="270">
        <v>0</v>
      </c>
      <c r="H29" s="243"/>
      <c r="I29" s="5"/>
      <c r="J29" s="5"/>
      <c r="K29" s="5"/>
      <c r="L29" s="5">
        <f t="shared" si="0"/>
        <v>-920006498</v>
      </c>
      <c r="M29" s="190" t="s">
        <v>1813</v>
      </c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</row>
    <row r="30" spans="3:27" s="190" customFormat="1" ht="18" customHeight="1">
      <c r="C30" s="242">
        <v>2</v>
      </c>
      <c r="D30" s="268" t="str">
        <f>+'2.0'!D17</f>
        <v>712800_1</v>
      </c>
      <c r="E30" s="243" t="str">
        <f>+'2.0'!E17</f>
        <v>채무면제이익</v>
      </c>
      <c r="F30" s="270">
        <v>3510577560</v>
      </c>
      <c r="G30" s="270">
        <v>0</v>
      </c>
      <c r="H30" s="243"/>
      <c r="I30" s="5"/>
      <c r="J30" s="5"/>
      <c r="K30" s="5"/>
      <c r="L30" s="5">
        <f t="shared" si="0"/>
        <v>-3510577560</v>
      </c>
      <c r="M30" s="190" t="s">
        <v>1813</v>
      </c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  <c r="AA30" s="212"/>
    </row>
    <row r="31" spans="3:27" s="190" customFormat="1" ht="18" customHeight="1">
      <c r="C31" s="242">
        <v>2</v>
      </c>
      <c r="D31" s="268" t="str">
        <f>+'2.0'!D18</f>
        <v>연결IS_2</v>
      </c>
      <c r="E31" s="243" t="str">
        <f>+'2.0'!E18</f>
        <v>관계기업투자주식처분이익</v>
      </c>
      <c r="F31" s="270">
        <v>0</v>
      </c>
      <c r="G31" s="270">
        <v>3510577560</v>
      </c>
      <c r="H31" s="243"/>
      <c r="I31" s="5"/>
      <c r="J31" s="5"/>
      <c r="K31" s="5"/>
      <c r="L31" s="5">
        <f t="shared" si="0"/>
        <v>3510577560</v>
      </c>
      <c r="M31" s="190" t="s">
        <v>1813</v>
      </c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  <c r="AA31" s="212"/>
    </row>
    <row r="32" spans="3:27" s="190" customFormat="1" ht="18" customHeight="1">
      <c r="C32" s="242">
        <v>2</v>
      </c>
      <c r="D32" s="268" t="str">
        <f>+'2.0'!D19</f>
        <v>643000</v>
      </c>
      <c r="E32" s="243" t="str">
        <f>+'2.0'!E19</f>
        <v>대손상각비</v>
      </c>
      <c r="F32" s="270">
        <v>0</v>
      </c>
      <c r="G32" s="270">
        <v>0</v>
      </c>
      <c r="H32" s="243"/>
      <c r="I32" s="5"/>
      <c r="J32" s="5"/>
      <c r="K32" s="5"/>
      <c r="L32" s="5">
        <f t="shared" si="0"/>
        <v>0</v>
      </c>
      <c r="M32" s="190" t="s">
        <v>1813</v>
      </c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</row>
    <row r="33" spans="3:27" s="190" customFormat="1" ht="18" customHeight="1">
      <c r="C33" s="242">
        <v>2</v>
      </c>
      <c r="D33" s="268" t="str">
        <f>+'2.0'!D20</f>
        <v>연결IS_2</v>
      </c>
      <c r="E33" s="243" t="str">
        <f>+'2.0'!E20</f>
        <v>관계기업투자주식처분이익</v>
      </c>
      <c r="F33" s="270">
        <v>0</v>
      </c>
      <c r="G33" s="270">
        <v>0</v>
      </c>
      <c r="H33" s="243"/>
      <c r="I33" s="5"/>
      <c r="J33" s="5"/>
      <c r="K33" s="5"/>
      <c r="L33" s="5">
        <f t="shared" si="0"/>
        <v>0</v>
      </c>
      <c r="M33" s="190" t="s">
        <v>1813</v>
      </c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</row>
    <row r="34" spans="3:27" s="190" customFormat="1" ht="18" customHeight="1">
      <c r="C34" s="242">
        <v>2</v>
      </c>
      <c r="D34" s="268" t="str">
        <f>+'2.0'!D21</f>
        <v>연결IS_2</v>
      </c>
      <c r="E34" s="243" t="str">
        <f>+'2.0'!E21</f>
        <v>관계기업투자주식처분이익</v>
      </c>
      <c r="F34" s="270">
        <v>798641919</v>
      </c>
      <c r="G34" s="270">
        <v>0</v>
      </c>
      <c r="H34" s="243"/>
      <c r="I34" s="5"/>
      <c r="J34" s="5"/>
      <c r="K34" s="5"/>
      <c r="L34" s="5">
        <f t="shared" si="0"/>
        <v>-798641919</v>
      </c>
      <c r="M34" s="190" t="s">
        <v>1813</v>
      </c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</row>
    <row r="35" spans="3:27" s="190" customFormat="1" ht="18" customHeight="1">
      <c r="C35" s="242">
        <v>2</v>
      </c>
      <c r="D35" s="268" t="str">
        <f>+'2.0'!D22</f>
        <v>연결IS_2</v>
      </c>
      <c r="E35" s="243" t="str">
        <f>+'2.0'!E22</f>
        <v>관계기업투자주식처분이익</v>
      </c>
      <c r="F35" s="270">
        <v>1199</v>
      </c>
      <c r="G35" s="270">
        <v>0</v>
      </c>
      <c r="H35" s="243"/>
      <c r="I35" s="5"/>
      <c r="J35" s="5"/>
      <c r="K35" s="5"/>
      <c r="L35" s="5">
        <f t="shared" si="0"/>
        <v>-1199</v>
      </c>
      <c r="M35" s="190" t="s">
        <v>1813</v>
      </c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</row>
    <row r="36" spans="3:27" s="190" customFormat="1" ht="18" customHeight="1">
      <c r="C36" s="242">
        <v>2</v>
      </c>
      <c r="D36" s="268"/>
      <c r="E36" s="243" t="s">
        <v>1811</v>
      </c>
      <c r="F36" s="270"/>
      <c r="G36" s="271">
        <v>798643118</v>
      </c>
      <c r="H36" s="243"/>
      <c r="I36" s="5"/>
      <c r="J36" s="5"/>
      <c r="K36" s="5"/>
      <c r="L36" s="5"/>
      <c r="M36" s="190" t="s">
        <v>1813</v>
      </c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  <c r="AA36" s="212"/>
    </row>
    <row r="37" spans="3:27" s="190" customFormat="1" ht="18" customHeight="1">
      <c r="C37" s="242"/>
      <c r="D37" s="268"/>
      <c r="E37" s="243"/>
      <c r="F37" s="270"/>
      <c r="G37" s="270"/>
      <c r="H37" s="243"/>
      <c r="I37" s="5"/>
      <c r="J37" s="5"/>
      <c r="K37" s="5"/>
      <c r="L37" s="5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212"/>
      <c r="AA37" s="212"/>
    </row>
    <row r="38" spans="3:27" s="190" customFormat="1" ht="18" customHeight="1">
      <c r="C38" s="266">
        <v>3</v>
      </c>
      <c r="D38" s="267" t="s">
        <v>1800</v>
      </c>
      <c r="E38" s="241"/>
      <c r="F38" s="241"/>
      <c r="G38" s="241"/>
      <c r="H38" s="241"/>
      <c r="I38" s="5"/>
      <c r="J38" s="5"/>
      <c r="K38" s="5"/>
      <c r="L38" s="5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</row>
    <row r="39" spans="3:27" s="190" customFormat="1" ht="18" customHeight="1">
      <c r="C39" s="242">
        <f>+C38</f>
        <v>3</v>
      </c>
      <c r="D39" s="268">
        <f>+'3.0'!J6</f>
        <v>111731</v>
      </c>
      <c r="E39" s="243" t="str">
        <f>+'3.0'!K6</f>
        <v>외상매출금(외화)</v>
      </c>
      <c r="F39" s="243">
        <v>0</v>
      </c>
      <c r="G39" s="243">
        <v>21998200</v>
      </c>
      <c r="H39" s="243" t="str">
        <f>+'3.0'!N6</f>
        <v>드림어스컴퍼니</v>
      </c>
      <c r="I39" s="5">
        <f>+$F39-$G39</f>
        <v>-21998200</v>
      </c>
      <c r="J39" s="5"/>
      <c r="K39" s="5"/>
      <c r="L39" s="5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</row>
    <row r="40" spans="3:27" s="190" customFormat="1" ht="18" customHeight="1">
      <c r="C40" s="242">
        <f t="shared" ref="C40:C49" si="1">+C39</f>
        <v>3</v>
      </c>
      <c r="D40" s="268">
        <f>+'3.0'!J7</f>
        <v>211111</v>
      </c>
      <c r="E40" s="243" t="str">
        <f>+'3.0'!K7</f>
        <v>외상매입금(원화)</v>
      </c>
      <c r="F40" s="243">
        <v>21998200</v>
      </c>
      <c r="G40" s="243">
        <v>0</v>
      </c>
      <c r="H40" s="243" t="str">
        <f>+'3.0'!N7</f>
        <v>Iriver Enterprise Limited</v>
      </c>
      <c r="I40" s="5"/>
      <c r="J40" s="5"/>
      <c r="K40" s="5"/>
      <c r="L40" s="5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</row>
    <row r="41" spans="3:27" s="190" customFormat="1" ht="18" customHeight="1">
      <c r="C41" s="242">
        <f t="shared" si="1"/>
        <v>3</v>
      </c>
      <c r="D41" s="268">
        <f>+'3.0'!J9</f>
        <v>111731</v>
      </c>
      <c r="E41" s="243" t="str">
        <f>+'3.0'!K9</f>
        <v>외상매출금(외화)</v>
      </c>
      <c r="F41" s="243">
        <v>0</v>
      </c>
      <c r="G41" s="243">
        <v>822564121</v>
      </c>
      <c r="H41" s="243" t="str">
        <f>+'3.0'!N9</f>
        <v>IRIVER CHINA CO.,LTD</v>
      </c>
      <c r="I41" s="5">
        <f>+$F41-$G41</f>
        <v>-822564121</v>
      </c>
      <c r="J41" s="5"/>
      <c r="K41" s="5"/>
      <c r="L41" s="5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  <c r="Z41" s="212"/>
      <c r="AA41" s="212"/>
    </row>
    <row r="42" spans="3:27" s="190" customFormat="1" ht="18" customHeight="1">
      <c r="C42" s="242">
        <f t="shared" si="1"/>
        <v>3</v>
      </c>
      <c r="D42" s="268">
        <f>+'3.0'!J8</f>
        <v>211121</v>
      </c>
      <c r="E42" s="243" t="str">
        <f>+'3.0'!K8</f>
        <v>외상매입금(외화)</v>
      </c>
      <c r="F42" s="243">
        <v>822564121</v>
      </c>
      <c r="G42" s="243">
        <v>0</v>
      </c>
      <c r="H42" s="243" t="str">
        <f>+'3.0'!N8</f>
        <v>드림어스컴퍼니</v>
      </c>
      <c r="I42" s="5"/>
      <c r="J42" s="5"/>
      <c r="K42" s="5"/>
      <c r="L42" s="5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12"/>
      <c r="AA42" s="212"/>
    </row>
    <row r="43" spans="3:27" s="190" customFormat="1" ht="18" customHeight="1">
      <c r="C43" s="242">
        <f t="shared" si="1"/>
        <v>3</v>
      </c>
      <c r="D43" s="268"/>
      <c r="E43" s="243"/>
      <c r="F43" s="243"/>
      <c r="G43" s="243"/>
      <c r="H43" s="243"/>
      <c r="I43" s="5">
        <f>+$F43-$G43</f>
        <v>0</v>
      </c>
      <c r="J43" s="5"/>
      <c r="K43" s="5"/>
      <c r="L43" s="5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212"/>
      <c r="AA43" s="212"/>
    </row>
    <row r="44" spans="3:27" s="190" customFormat="1" ht="18" customHeight="1">
      <c r="C44" s="242">
        <f t="shared" si="1"/>
        <v>3</v>
      </c>
      <c r="D44" s="268"/>
      <c r="E44" s="243"/>
      <c r="F44" s="243"/>
      <c r="G44" s="243"/>
      <c r="H44" s="243"/>
      <c r="I44" s="5"/>
      <c r="J44" s="5"/>
      <c r="K44" s="5"/>
      <c r="L44" s="5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12"/>
      <c r="AA44" s="212"/>
    </row>
    <row r="45" spans="3:27" s="190" customFormat="1" ht="18" customHeight="1">
      <c r="C45" s="242">
        <f t="shared" si="1"/>
        <v>3</v>
      </c>
      <c r="D45" s="268"/>
      <c r="E45" s="243"/>
      <c r="F45" s="243"/>
      <c r="G45" s="243"/>
      <c r="H45" s="243"/>
      <c r="I45" s="5"/>
      <c r="J45" s="5"/>
      <c r="K45" s="5"/>
      <c r="L45" s="5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  <c r="Z45" s="212"/>
      <c r="AA45" s="212"/>
    </row>
    <row r="46" spans="3:27" s="190" customFormat="1" ht="18" customHeight="1">
      <c r="C46" s="242">
        <f t="shared" si="1"/>
        <v>3</v>
      </c>
      <c r="D46" s="268"/>
      <c r="E46" s="243"/>
      <c r="F46" s="243"/>
      <c r="G46" s="243"/>
      <c r="H46" s="243"/>
      <c r="I46" s="5"/>
      <c r="J46" s="5"/>
      <c r="K46" s="5"/>
      <c r="L46" s="5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12"/>
      <c r="AA46" s="212"/>
    </row>
    <row r="47" spans="3:27" s="190" customFormat="1" ht="18" customHeight="1">
      <c r="C47" s="242">
        <f t="shared" si="1"/>
        <v>3</v>
      </c>
      <c r="D47" s="268"/>
      <c r="E47" s="243"/>
      <c r="F47" s="243"/>
      <c r="G47" s="243"/>
      <c r="H47" s="243"/>
      <c r="I47" s="5">
        <f>+$F47-$G47</f>
        <v>0</v>
      </c>
      <c r="J47" s="5"/>
      <c r="K47" s="5"/>
      <c r="L47" s="5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  <c r="Z47" s="212"/>
      <c r="AA47" s="212"/>
    </row>
    <row r="48" spans="3:27" s="190" customFormat="1" ht="18" customHeight="1">
      <c r="C48" s="242">
        <f t="shared" si="1"/>
        <v>3</v>
      </c>
      <c r="D48" s="268"/>
      <c r="E48" s="243"/>
      <c r="F48" s="243"/>
      <c r="G48" s="243"/>
      <c r="H48" s="243"/>
      <c r="I48" s="5"/>
      <c r="J48" s="5"/>
      <c r="K48" s="5"/>
      <c r="L48" s="5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12"/>
      <c r="AA48" s="212"/>
    </row>
    <row r="49" spans="3:27" s="190" customFormat="1" ht="18" customHeight="1">
      <c r="C49" s="242">
        <f t="shared" si="1"/>
        <v>3</v>
      </c>
      <c r="D49" s="268">
        <f>+'3.0'!J22</f>
        <v>111711</v>
      </c>
      <c r="E49" s="243" t="str">
        <f>+'3.0'!K22</f>
        <v>외상매출금(원화)</v>
      </c>
      <c r="F49" s="243">
        <v>0</v>
      </c>
      <c r="G49" s="243">
        <v>57500000</v>
      </c>
      <c r="H49" s="243" t="str">
        <f>+'3.0'!N22</f>
        <v>드림어스컴퍼니</v>
      </c>
      <c r="I49" s="5">
        <f>+$F49-$G49</f>
        <v>-57500000</v>
      </c>
      <c r="J49" s="5"/>
      <c r="K49" s="5"/>
      <c r="L49" s="5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  <c r="AA49" s="212"/>
    </row>
    <row r="50" spans="3:27" s="190" customFormat="1" ht="18" customHeight="1">
      <c r="C50" s="242">
        <f t="shared" ref="C50:C84" si="2">+C49</f>
        <v>3</v>
      </c>
      <c r="D50" s="268">
        <f>+'3.0'!J23</f>
        <v>213100</v>
      </c>
      <c r="E50" s="243" t="str">
        <f>+'3.0'!K23</f>
        <v>미지급금(원화)</v>
      </c>
      <c r="F50" s="243">
        <v>57500000</v>
      </c>
      <c r="G50" s="243">
        <v>0</v>
      </c>
      <c r="H50" s="243" t="str">
        <f>+'3.0'!N23</f>
        <v>LIFE DESIGN COMPANY Inc.</v>
      </c>
      <c r="I50" s="5"/>
      <c r="J50" s="5"/>
      <c r="K50" s="5"/>
      <c r="L50" s="5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12"/>
      <c r="AA50" s="212"/>
    </row>
    <row r="51" spans="3:27" s="190" customFormat="1" ht="18" customHeight="1">
      <c r="C51" s="242">
        <f t="shared" si="2"/>
        <v>3</v>
      </c>
      <c r="D51" s="268">
        <f>+'3.0'!J24</f>
        <v>111731</v>
      </c>
      <c r="E51" s="243" t="str">
        <f>+'3.0'!K24</f>
        <v>외상매출금(외화)</v>
      </c>
      <c r="F51" s="243">
        <v>0</v>
      </c>
      <c r="G51" s="243">
        <v>75407514</v>
      </c>
      <c r="H51" s="243" t="str">
        <f>+'3.0'!N24</f>
        <v>드림어스컴퍼니</v>
      </c>
      <c r="I51" s="5">
        <f>+$F51-$G51</f>
        <v>-75407514</v>
      </c>
      <c r="J51" s="5"/>
      <c r="K51" s="5"/>
      <c r="L51" s="5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2"/>
    </row>
    <row r="52" spans="3:27" s="190" customFormat="1" ht="18" customHeight="1">
      <c r="C52" s="242">
        <f t="shared" si="2"/>
        <v>3</v>
      </c>
      <c r="D52" s="268">
        <f>+'3.0'!J27</f>
        <v>211111</v>
      </c>
      <c r="E52" s="243" t="str">
        <f>+'3.0'!K27</f>
        <v>외상매입금(원화)</v>
      </c>
      <c r="F52" s="243">
        <v>75407514</v>
      </c>
      <c r="G52" s="243">
        <v>0</v>
      </c>
      <c r="H52" s="243" t="str">
        <f>+'3.0'!N27</f>
        <v>LIFE DESIGN COMPANY Inc.</v>
      </c>
      <c r="I52" s="5"/>
      <c r="J52" s="5"/>
      <c r="K52" s="5"/>
      <c r="L52" s="5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212"/>
    </row>
    <row r="53" spans="3:27" s="190" customFormat="1" ht="18" customHeight="1">
      <c r="C53" s="242">
        <f t="shared" si="2"/>
        <v>3</v>
      </c>
      <c r="D53" s="268" t="e">
        <f>+'3.0'!#REF!</f>
        <v>#REF!</v>
      </c>
      <c r="E53" s="243" t="e">
        <f>+'3.0'!#REF!</f>
        <v>#REF!</v>
      </c>
      <c r="F53" s="243">
        <v>0</v>
      </c>
      <c r="G53" s="243">
        <v>531735000</v>
      </c>
      <c r="H53" s="243" t="e">
        <f>+'3.0'!#REF!</f>
        <v>#REF!</v>
      </c>
      <c r="I53" s="5"/>
      <c r="J53" s="5"/>
      <c r="K53" s="5"/>
      <c r="L53" s="5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212"/>
      <c r="AA53" s="212"/>
    </row>
    <row r="54" spans="3:27" s="190" customFormat="1" ht="18" customHeight="1">
      <c r="C54" s="242">
        <f t="shared" si="2"/>
        <v>3</v>
      </c>
      <c r="D54" s="268" t="e">
        <f>+'3.0'!#REF!</f>
        <v>#REF!</v>
      </c>
      <c r="E54" s="243" t="e">
        <f>+'3.0'!#REF!</f>
        <v>#REF!</v>
      </c>
      <c r="F54" s="243">
        <v>531735000</v>
      </c>
      <c r="G54" s="243">
        <v>0</v>
      </c>
      <c r="H54" s="243" t="e">
        <f>+'3.0'!#REF!</f>
        <v>#REF!</v>
      </c>
      <c r="I54" s="5"/>
      <c r="J54" s="5"/>
      <c r="K54" s="5"/>
      <c r="L54" s="5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  <c r="AA54" s="212"/>
    </row>
    <row r="55" spans="3:27" s="190" customFormat="1" ht="18" customHeight="1">
      <c r="C55" s="242">
        <f t="shared" si="2"/>
        <v>3</v>
      </c>
      <c r="D55" s="268" t="e">
        <f>+'3.0'!#REF!</f>
        <v>#REF!</v>
      </c>
      <c r="E55" s="243" t="e">
        <f>+'3.0'!#REF!</f>
        <v>#REF!</v>
      </c>
      <c r="F55" s="243">
        <v>0</v>
      </c>
      <c r="G55" s="243">
        <v>30087098</v>
      </c>
      <c r="H55" s="243" t="e">
        <f>+'3.0'!#REF!</f>
        <v>#REF!</v>
      </c>
      <c r="I55" s="5">
        <f>+$F55-$G55</f>
        <v>-30087098</v>
      </c>
      <c r="J55" s="5"/>
      <c r="K55" s="5"/>
      <c r="L55" s="5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212"/>
    </row>
    <row r="56" spans="3:27" s="190" customFormat="1" ht="18" customHeight="1">
      <c r="C56" s="242">
        <f t="shared" si="2"/>
        <v>3</v>
      </c>
      <c r="D56" s="268" t="e">
        <f>+'3.0'!#REF!</f>
        <v>#REF!</v>
      </c>
      <c r="E56" s="243" t="e">
        <f>+'3.0'!#REF!</f>
        <v>#REF!</v>
      </c>
      <c r="F56" s="243">
        <v>30087098</v>
      </c>
      <c r="G56" s="243">
        <v>0</v>
      </c>
      <c r="H56" s="243" t="e">
        <f>+'3.0'!#REF!</f>
        <v>#REF!</v>
      </c>
      <c r="I56" s="5"/>
      <c r="J56" s="5"/>
      <c r="K56" s="5"/>
      <c r="L56" s="5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212"/>
      <c r="AA56" s="212"/>
    </row>
    <row r="57" spans="3:27" s="190" customFormat="1" ht="18" customHeight="1">
      <c r="C57" s="242">
        <f t="shared" si="2"/>
        <v>3</v>
      </c>
      <c r="D57" s="268" t="e">
        <f>+'3.0'!#REF!</f>
        <v>#REF!</v>
      </c>
      <c r="E57" s="243" t="e">
        <f>+'3.0'!#REF!</f>
        <v>#REF!</v>
      </c>
      <c r="F57" s="243">
        <v>0</v>
      </c>
      <c r="G57" s="243">
        <v>3933393</v>
      </c>
      <c r="H57" s="243" t="e">
        <f>+'3.0'!#REF!</f>
        <v>#REF!</v>
      </c>
      <c r="I57" s="5"/>
      <c r="J57" s="5"/>
      <c r="K57" s="5"/>
      <c r="L57" s="5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212"/>
      <c r="AA57" s="212"/>
    </row>
    <row r="58" spans="3:27" s="190" customFormat="1" ht="18" customHeight="1">
      <c r="C58" s="242">
        <f t="shared" si="2"/>
        <v>3</v>
      </c>
      <c r="D58" s="268"/>
      <c r="E58" s="243"/>
      <c r="F58" s="243"/>
      <c r="G58" s="243"/>
      <c r="H58" s="243"/>
      <c r="I58" s="5"/>
      <c r="J58" s="5"/>
      <c r="K58" s="5"/>
      <c r="L58" s="5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212"/>
    </row>
    <row r="59" spans="3:27" s="190" customFormat="1" ht="18" customHeight="1">
      <c r="C59" s="242">
        <f t="shared" si="2"/>
        <v>3</v>
      </c>
      <c r="D59" s="268"/>
      <c r="E59" s="243"/>
      <c r="F59" s="243"/>
      <c r="G59" s="243"/>
      <c r="H59" s="243"/>
      <c r="I59" s="5">
        <f>+$F59-$G59</f>
        <v>0</v>
      </c>
      <c r="J59" s="5"/>
      <c r="K59" s="5"/>
      <c r="L59" s="5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/>
      <c r="Y59" s="212"/>
      <c r="Z59" s="212"/>
      <c r="AA59" s="212"/>
    </row>
    <row r="60" spans="3:27" s="190" customFormat="1" ht="18" customHeight="1">
      <c r="C60" s="242">
        <f t="shared" si="2"/>
        <v>3</v>
      </c>
      <c r="D60" s="268"/>
      <c r="E60" s="243"/>
      <c r="F60" s="243"/>
      <c r="G60" s="243"/>
      <c r="H60" s="243"/>
      <c r="I60" s="5"/>
      <c r="J60" s="5"/>
      <c r="K60" s="5"/>
      <c r="L60" s="5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12"/>
      <c r="AA60" s="212"/>
    </row>
    <row r="61" spans="3:27" s="190" customFormat="1" ht="18" customHeight="1">
      <c r="C61" s="242">
        <f t="shared" si="2"/>
        <v>3</v>
      </c>
      <c r="D61" s="268"/>
      <c r="E61" s="243"/>
      <c r="F61" s="243"/>
      <c r="G61" s="243"/>
      <c r="H61" s="243"/>
      <c r="I61" s="5">
        <f>+$F61-$G61</f>
        <v>0</v>
      </c>
      <c r="J61" s="5"/>
      <c r="K61" s="5"/>
      <c r="L61" s="5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212"/>
    </row>
    <row r="62" spans="3:27" s="190" customFormat="1" ht="18" customHeight="1">
      <c r="C62" s="242">
        <f t="shared" si="2"/>
        <v>3</v>
      </c>
      <c r="D62" s="268"/>
      <c r="E62" s="243"/>
      <c r="F62" s="243"/>
      <c r="G62" s="243"/>
      <c r="H62" s="243"/>
      <c r="I62" s="5"/>
      <c r="J62" s="5"/>
      <c r="K62" s="5"/>
      <c r="L62" s="5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12"/>
      <c r="AA62" s="212"/>
    </row>
    <row r="63" spans="3:27" s="190" customFormat="1" ht="18" customHeight="1">
      <c r="C63" s="242"/>
      <c r="D63" s="268"/>
      <c r="E63" s="243"/>
      <c r="F63" s="243"/>
      <c r="G63" s="243"/>
      <c r="H63" s="243"/>
      <c r="I63" s="5"/>
      <c r="J63" s="5"/>
      <c r="K63" s="5"/>
      <c r="L63" s="5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212"/>
      <c r="AA63" s="212"/>
    </row>
    <row r="64" spans="3:27" s="190" customFormat="1" ht="18" customHeight="1">
      <c r="C64" s="242">
        <f>+C62</f>
        <v>3</v>
      </c>
      <c r="D64" s="268"/>
      <c r="E64" s="243"/>
      <c r="F64" s="243"/>
      <c r="G64" s="243"/>
      <c r="H64" s="243"/>
      <c r="I64" s="5"/>
      <c r="J64" s="5"/>
      <c r="K64" s="5"/>
      <c r="L64" s="5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12"/>
      <c r="AA64" s="212"/>
    </row>
    <row r="65" spans="3:27" s="190" customFormat="1" ht="18" customHeight="1">
      <c r="C65" s="242">
        <f t="shared" si="2"/>
        <v>3</v>
      </c>
      <c r="D65" s="268"/>
      <c r="E65" s="243"/>
      <c r="F65" s="243"/>
      <c r="G65" s="243"/>
      <c r="H65" s="243"/>
      <c r="I65" s="5"/>
      <c r="J65" s="5"/>
      <c r="K65" s="5"/>
      <c r="L65" s="5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212"/>
      <c r="Y65" s="212"/>
      <c r="Z65" s="212"/>
      <c r="AA65" s="212"/>
    </row>
    <row r="66" spans="3:27" s="190" customFormat="1" ht="18" customHeight="1">
      <c r="C66" s="242">
        <f t="shared" si="2"/>
        <v>3</v>
      </c>
      <c r="D66" s="268"/>
      <c r="E66" s="243"/>
      <c r="F66" s="243"/>
      <c r="G66" s="243"/>
      <c r="H66" s="243"/>
      <c r="I66" s="5"/>
      <c r="J66" s="5"/>
      <c r="K66" s="5"/>
      <c r="L66" s="5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12"/>
      <c r="AA66" s="212"/>
    </row>
    <row r="67" spans="3:27" s="190" customFormat="1" ht="18" customHeight="1">
      <c r="C67" s="242">
        <f t="shared" si="2"/>
        <v>3</v>
      </c>
      <c r="D67" s="268"/>
      <c r="E67" s="243"/>
      <c r="F67" s="243"/>
      <c r="G67" s="243"/>
      <c r="H67" s="243"/>
      <c r="I67" s="5"/>
      <c r="J67" s="5"/>
      <c r="K67" s="5"/>
      <c r="L67" s="5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12"/>
      <c r="AA67" s="212"/>
    </row>
    <row r="68" spans="3:27" s="190" customFormat="1" ht="18" customHeight="1">
      <c r="C68" s="242">
        <f t="shared" si="2"/>
        <v>3</v>
      </c>
      <c r="D68" s="268"/>
      <c r="E68" s="243"/>
      <c r="F68" s="243"/>
      <c r="G68" s="243"/>
      <c r="H68" s="243"/>
      <c r="I68" s="5"/>
      <c r="J68" s="5"/>
      <c r="K68" s="5"/>
      <c r="L68" s="5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</row>
    <row r="69" spans="3:27" s="190" customFormat="1" ht="18" customHeight="1">
      <c r="C69" s="242">
        <f t="shared" si="2"/>
        <v>3</v>
      </c>
      <c r="D69" s="268"/>
      <c r="E69" s="243"/>
      <c r="F69" s="243"/>
      <c r="G69" s="243"/>
      <c r="H69" s="243"/>
      <c r="I69" s="5"/>
      <c r="J69" s="5"/>
      <c r="K69" s="5"/>
      <c r="L69" s="5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212"/>
      <c r="AA69" s="212"/>
    </row>
    <row r="70" spans="3:27" s="190" customFormat="1" ht="18" customHeight="1">
      <c r="C70" s="242">
        <f t="shared" si="2"/>
        <v>3</v>
      </c>
      <c r="D70" s="268"/>
      <c r="E70" s="243"/>
      <c r="F70" s="243"/>
      <c r="G70" s="243"/>
      <c r="H70" s="243"/>
      <c r="I70" s="5"/>
      <c r="J70" s="5"/>
      <c r="K70" s="5"/>
      <c r="L70" s="5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12"/>
    </row>
    <row r="71" spans="3:27" s="190" customFormat="1" ht="18" customHeight="1">
      <c r="C71" s="242">
        <f t="shared" si="2"/>
        <v>3</v>
      </c>
      <c r="D71" s="268"/>
      <c r="E71" s="243"/>
      <c r="F71" s="243"/>
      <c r="G71" s="243"/>
      <c r="H71" s="243"/>
      <c r="I71" s="5"/>
      <c r="J71" s="5"/>
      <c r="K71" s="5"/>
      <c r="L71" s="5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212"/>
      <c r="Z71" s="212"/>
    </row>
    <row r="72" spans="3:27" s="190" customFormat="1" ht="18" customHeight="1">
      <c r="C72" s="242">
        <f t="shared" si="2"/>
        <v>3</v>
      </c>
      <c r="D72" s="268"/>
      <c r="E72" s="243"/>
      <c r="F72" s="243"/>
      <c r="G72" s="243"/>
      <c r="H72" s="243"/>
      <c r="I72" s="5"/>
      <c r="J72" s="5"/>
      <c r="K72" s="5"/>
      <c r="L72" s="5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</row>
    <row r="73" spans="3:27" s="190" customFormat="1" ht="18" customHeight="1">
      <c r="C73" s="242">
        <f t="shared" si="2"/>
        <v>3</v>
      </c>
      <c r="D73" s="268"/>
      <c r="E73" s="243"/>
      <c r="F73" s="243"/>
      <c r="G73" s="243"/>
      <c r="H73" s="243"/>
      <c r="I73" s="5"/>
      <c r="J73" s="5"/>
      <c r="K73" s="5"/>
      <c r="L73" s="5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</row>
    <row r="74" spans="3:27" s="190" customFormat="1" ht="18" customHeight="1">
      <c r="C74" s="242">
        <f t="shared" si="2"/>
        <v>3</v>
      </c>
      <c r="D74" s="268">
        <f>+'3.0'!J28</f>
        <v>410240</v>
      </c>
      <c r="E74" s="243" t="str">
        <f>+'3.0'!K28</f>
        <v>제품매출(수출)</v>
      </c>
      <c r="F74" s="243">
        <v>980215414</v>
      </c>
      <c r="G74" s="243">
        <v>0</v>
      </c>
      <c r="H74" s="243" t="str">
        <f>+'3.0'!N28</f>
        <v>드림어스컴퍼니</v>
      </c>
      <c r="I74" s="5"/>
      <c r="J74" s="5"/>
      <c r="K74" s="5"/>
      <c r="L74" s="5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212"/>
    </row>
    <row r="75" spans="3:27" s="190" customFormat="1" ht="18" customHeight="1">
      <c r="C75" s="242">
        <f t="shared" si="2"/>
        <v>3</v>
      </c>
      <c r="D75" s="268">
        <f>+'3.0'!J29</f>
        <v>420199</v>
      </c>
      <c r="E75" s="243" t="str">
        <f>+'3.0'!K29</f>
        <v>제품매출원가</v>
      </c>
      <c r="F75" s="243">
        <v>0</v>
      </c>
      <c r="G75" s="243">
        <v>980215414</v>
      </c>
      <c r="H75" s="243" t="str">
        <f>+'3.0'!N29</f>
        <v>LIFE DESIGN COMPANY Inc.</v>
      </c>
      <c r="I75" s="5"/>
      <c r="J75" s="5"/>
      <c r="K75" s="5"/>
      <c r="L75" s="5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212"/>
      <c r="Z75" s="212"/>
    </row>
    <row r="76" spans="3:27" s="190" customFormat="1" ht="18" customHeight="1">
      <c r="C76" s="242">
        <f t="shared" si="2"/>
        <v>3</v>
      </c>
      <c r="D76" s="268">
        <f>+'3.0'!J30</f>
        <v>410130</v>
      </c>
      <c r="E76" s="243" t="str">
        <f>+'3.0'!K30</f>
        <v>상품매출(수출)</v>
      </c>
      <c r="F76" s="243">
        <v>36729604</v>
      </c>
      <c r="G76" s="243">
        <v>0</v>
      </c>
      <c r="H76" s="243" t="str">
        <f>+'3.0'!N30</f>
        <v>드림어스컴퍼니</v>
      </c>
      <c r="I76" s="5"/>
      <c r="J76" s="5"/>
      <c r="K76" s="5"/>
      <c r="L76" s="5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212"/>
      <c r="Z76" s="212"/>
    </row>
    <row r="77" spans="3:27" s="190" customFormat="1" ht="18" customHeight="1">
      <c r="C77" s="242">
        <f t="shared" si="2"/>
        <v>3</v>
      </c>
      <c r="D77" s="268">
        <f>+'3.0'!J32</f>
        <v>420090</v>
      </c>
      <c r="E77" s="243" t="str">
        <f>+'3.0'!K32</f>
        <v>상품매출원가</v>
      </c>
      <c r="F77" s="243">
        <v>0</v>
      </c>
      <c r="G77" s="243">
        <v>36729604</v>
      </c>
      <c r="H77" s="243" t="str">
        <f>+'3.0'!N32</f>
        <v>LIFE DESIGN COMPANY Inc.</v>
      </c>
      <c r="I77" s="5"/>
      <c r="J77" s="5"/>
      <c r="K77" s="5"/>
      <c r="L77" s="5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212"/>
      <c r="Z77" s="212"/>
    </row>
    <row r="78" spans="3:27" s="190" customFormat="1" ht="18" customHeight="1">
      <c r="C78" s="242">
        <f t="shared" si="2"/>
        <v>3</v>
      </c>
      <c r="D78" s="268"/>
      <c r="E78" s="243"/>
      <c r="F78" s="243"/>
      <c r="G78" s="243"/>
      <c r="H78" s="243"/>
      <c r="I78" s="5"/>
      <c r="J78" s="5"/>
      <c r="K78" s="5"/>
      <c r="L78" s="5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12"/>
    </row>
    <row r="79" spans="3:27" s="190" customFormat="1" ht="18" customHeight="1">
      <c r="C79" s="242">
        <f t="shared" si="2"/>
        <v>3</v>
      </c>
      <c r="D79" s="268"/>
      <c r="E79" s="243"/>
      <c r="F79" s="243"/>
      <c r="G79" s="243"/>
      <c r="H79" s="243"/>
      <c r="I79" s="5"/>
      <c r="J79" s="5"/>
      <c r="K79" s="5"/>
      <c r="L79" s="5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212"/>
      <c r="Z79" s="212"/>
    </row>
    <row r="80" spans="3:27" s="190" customFormat="1" ht="18" customHeight="1">
      <c r="C80" s="242">
        <f t="shared" si="2"/>
        <v>3</v>
      </c>
      <c r="D80" s="268"/>
      <c r="E80" s="243"/>
      <c r="F80" s="243"/>
      <c r="G80" s="243"/>
      <c r="H80" s="243"/>
      <c r="I80" s="5"/>
      <c r="J80" s="5"/>
      <c r="K80" s="5"/>
      <c r="L80" s="5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12"/>
    </row>
    <row r="81" spans="3:26" s="190" customFormat="1" ht="18" customHeight="1">
      <c r="C81" s="242">
        <f t="shared" si="2"/>
        <v>3</v>
      </c>
      <c r="D81" s="268"/>
      <c r="E81" s="243"/>
      <c r="F81" s="243"/>
      <c r="G81" s="243"/>
      <c r="H81" s="243"/>
      <c r="I81" s="5"/>
      <c r="J81" s="5"/>
      <c r="K81" s="5"/>
      <c r="L81" s="5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212"/>
      <c r="Z81" s="212"/>
    </row>
    <row r="82" spans="3:26" s="190" customFormat="1" ht="18" customHeight="1">
      <c r="C82" s="242"/>
      <c r="D82" s="268"/>
      <c r="E82" s="243"/>
      <c r="F82" s="243"/>
      <c r="G82" s="243"/>
      <c r="H82" s="243"/>
      <c r="I82" s="5"/>
      <c r="J82" s="5"/>
      <c r="K82" s="5"/>
      <c r="L82" s="5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12"/>
    </row>
    <row r="83" spans="3:26" s="190" customFormat="1" ht="18" customHeight="1">
      <c r="C83" s="242">
        <f>+C81</f>
        <v>3</v>
      </c>
      <c r="D83" s="268"/>
      <c r="E83" s="243"/>
      <c r="F83" s="243"/>
      <c r="G83" s="243"/>
      <c r="H83" s="243"/>
      <c r="I83" s="5"/>
      <c r="J83" s="5"/>
      <c r="K83" s="5"/>
      <c r="L83" s="5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212"/>
    </row>
    <row r="84" spans="3:26" s="190" customFormat="1" ht="18" customHeight="1">
      <c r="C84" s="242">
        <f t="shared" si="2"/>
        <v>3</v>
      </c>
      <c r="D84" s="268"/>
      <c r="E84" s="243"/>
      <c r="F84" s="243"/>
      <c r="G84" s="243"/>
      <c r="H84" s="243"/>
      <c r="I84" s="5"/>
      <c r="J84" s="5"/>
      <c r="K84" s="5"/>
      <c r="L84" s="5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12"/>
    </row>
    <row r="85" spans="3:26" s="190" customFormat="1" ht="18" customHeight="1">
      <c r="C85" s="242">
        <f>+C84</f>
        <v>3</v>
      </c>
      <c r="D85" s="268"/>
      <c r="E85" s="243"/>
      <c r="F85" s="243"/>
      <c r="G85" s="243"/>
      <c r="H85" s="243"/>
      <c r="I85" s="5"/>
      <c r="J85" s="5"/>
      <c r="K85" s="5"/>
      <c r="L85" s="5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212"/>
      <c r="Z85" s="212"/>
    </row>
    <row r="86" spans="3:26" s="190" customFormat="1" ht="18" customHeight="1">
      <c r="C86" s="242">
        <f>+C85</f>
        <v>3</v>
      </c>
      <c r="D86" s="268"/>
      <c r="E86" s="243"/>
      <c r="F86" s="243"/>
      <c r="G86" s="243"/>
      <c r="H86" s="243"/>
      <c r="I86" s="5"/>
      <c r="J86" s="5"/>
      <c r="K86" s="5"/>
      <c r="L86" s="5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12"/>
    </row>
    <row r="87" spans="3:26" s="190" customFormat="1" ht="18" customHeight="1">
      <c r="C87" s="242">
        <f>+C86</f>
        <v>3</v>
      </c>
      <c r="D87" s="268">
        <f>+'3.0'!J34</f>
        <v>731200</v>
      </c>
      <c r="E87" s="243" t="str">
        <f>+'3.0'!K34</f>
        <v>이자비용(차입금)</v>
      </c>
      <c r="F87" s="243">
        <v>0</v>
      </c>
      <c r="G87" s="243">
        <v>3984249</v>
      </c>
      <c r="H87" s="243" t="str">
        <f>+'3.0'!N34</f>
        <v>LIFE DESIGN COMPANY Inc.</v>
      </c>
      <c r="I87" s="5"/>
      <c r="J87" s="5"/>
      <c r="K87" s="5"/>
      <c r="L87" s="5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212"/>
    </row>
    <row r="88" spans="3:26" s="190" customFormat="1" ht="18" customHeight="1">
      <c r="C88" s="242">
        <f>+C87</f>
        <v>3</v>
      </c>
      <c r="D88" s="268">
        <f>+'3.0'!J33</f>
        <v>711191</v>
      </c>
      <c r="E88" s="243" t="str">
        <f>+'3.0'!K33</f>
        <v>이자수익(기타)</v>
      </c>
      <c r="F88" s="243">
        <v>3984249</v>
      </c>
      <c r="G88" s="243">
        <v>0</v>
      </c>
      <c r="H88" s="243" t="str">
        <f>+'3.0'!N33</f>
        <v>드림어스컴퍼니</v>
      </c>
      <c r="I88" s="5"/>
      <c r="J88" s="5"/>
      <c r="K88" s="5"/>
      <c r="L88" s="5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12"/>
    </row>
    <row r="89" spans="3:26" s="190" customFormat="1" ht="18" customHeight="1">
      <c r="C89" s="242"/>
      <c r="D89" s="268"/>
      <c r="E89" s="243"/>
      <c r="F89" s="243"/>
      <c r="G89" s="243"/>
      <c r="H89" s="243"/>
      <c r="I89" s="5"/>
      <c r="J89" s="5"/>
      <c r="K89" s="5"/>
      <c r="L89" s="5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212"/>
    </row>
    <row r="90" spans="3:26" s="190" customFormat="1" ht="18" customHeight="1">
      <c r="C90" s="266">
        <v>4</v>
      </c>
      <c r="D90" s="267" t="str">
        <f>+'4.0'!D35</f>
        <v>아이리버 &gt; iriver inc 하향판매</v>
      </c>
      <c r="E90" s="241"/>
      <c r="F90" s="241"/>
      <c r="G90" s="241"/>
      <c r="H90" s="241"/>
      <c r="I90" s="5"/>
      <c r="J90" s="5"/>
      <c r="K90" s="5"/>
      <c r="L90" s="5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12"/>
    </row>
    <row r="91" spans="3:26" s="190" customFormat="1" ht="18" customHeight="1">
      <c r="C91" s="242">
        <f>+C90</f>
        <v>4</v>
      </c>
      <c r="D91" s="268" t="str">
        <f>+'4.0'!D43</f>
        <v>115200</v>
      </c>
      <c r="E91" s="268" t="str">
        <f>+'4.0'!E43</f>
        <v>제품</v>
      </c>
      <c r="F91" s="243">
        <v>0</v>
      </c>
      <c r="G91" s="243">
        <v>0</v>
      </c>
      <c r="H91" s="243"/>
      <c r="I91" s="5">
        <f>+$F91-$G91</f>
        <v>0</v>
      </c>
      <c r="J91" s="5"/>
      <c r="K91" s="5"/>
      <c r="L91" s="5"/>
      <c r="M91" s="190" t="s">
        <v>1813</v>
      </c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212"/>
    </row>
    <row r="92" spans="3:26" s="190" customFormat="1" ht="18" customHeight="1">
      <c r="C92" s="242">
        <f>+C91</f>
        <v>4</v>
      </c>
      <c r="D92" s="268" t="str">
        <f>+'4.0'!D44</f>
        <v>420199</v>
      </c>
      <c r="E92" s="268" t="str">
        <f>+'4.0'!E44</f>
        <v>제품매출원가</v>
      </c>
      <c r="F92" s="243">
        <v>0</v>
      </c>
      <c r="G92" s="243">
        <v>0</v>
      </c>
      <c r="H92" s="243"/>
      <c r="I92" s="5"/>
      <c r="J92" s="5"/>
      <c r="K92" s="5"/>
      <c r="L92" s="5">
        <f>+$G92-$F92</f>
        <v>0</v>
      </c>
      <c r="M92" s="190" t="s">
        <v>1813</v>
      </c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212"/>
    </row>
    <row r="93" spans="3:26" s="190" customFormat="1" ht="18" customHeight="1">
      <c r="C93" s="242">
        <f>+C92</f>
        <v>4</v>
      </c>
      <c r="D93" s="268" t="str">
        <f>+'4.0'!D45</f>
        <v>340100</v>
      </c>
      <c r="E93" s="268" t="str">
        <f>+'4.0'!E45</f>
        <v>이월이익잉여금</v>
      </c>
      <c r="F93" s="243">
        <v>0</v>
      </c>
      <c r="G93" s="243">
        <v>0</v>
      </c>
      <c r="H93" s="243"/>
      <c r="I93" s="5"/>
      <c r="J93" s="5"/>
      <c r="K93" s="5">
        <f>+$G93-$F93</f>
        <v>0</v>
      </c>
      <c r="L93" s="5"/>
      <c r="M93" s="190" t="s">
        <v>1813</v>
      </c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212"/>
    </row>
    <row r="94" spans="3:26" s="190" customFormat="1" ht="18" customHeight="1">
      <c r="C94" s="242">
        <f>+C93</f>
        <v>4</v>
      </c>
      <c r="D94" s="268" t="str">
        <f>+'4.0'!D46</f>
        <v>420199</v>
      </c>
      <c r="E94" s="268" t="str">
        <f>+'4.0'!E46</f>
        <v>제품매출원가</v>
      </c>
      <c r="F94" s="243">
        <v>0</v>
      </c>
      <c r="G94" s="243">
        <v>0</v>
      </c>
      <c r="H94" s="243"/>
      <c r="I94" s="5"/>
      <c r="J94" s="5"/>
      <c r="K94" s="5"/>
      <c r="L94" s="5">
        <f>+$G94-$F94</f>
        <v>0</v>
      </c>
      <c r="M94" s="190" t="s">
        <v>1813</v>
      </c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212"/>
    </row>
    <row r="95" spans="3:26" s="190" customFormat="1" ht="18" customHeight="1">
      <c r="C95" s="242"/>
      <c r="D95" s="268"/>
      <c r="E95" s="268"/>
      <c r="F95" s="243"/>
      <c r="G95" s="243"/>
      <c r="H95" s="243"/>
      <c r="I95" s="5"/>
      <c r="J95" s="5"/>
      <c r="K95" s="5"/>
      <c r="L95" s="5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12"/>
      <c r="Y95" s="212"/>
      <c r="Z95" s="212"/>
    </row>
    <row r="96" spans="3:26" s="190" customFormat="1" ht="18" customHeight="1">
      <c r="C96" s="266">
        <v>4</v>
      </c>
      <c r="D96" s="267" t="str">
        <f>+'4.0'!D49</f>
        <v>아이리버 &gt; ent. 하향판매</v>
      </c>
      <c r="E96" s="241"/>
      <c r="F96" s="241"/>
      <c r="G96" s="241"/>
      <c r="H96" s="241"/>
      <c r="I96" s="5"/>
      <c r="J96" s="5"/>
      <c r="K96" s="5"/>
      <c r="L96" s="5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12"/>
    </row>
    <row r="97" spans="3:26" s="190" customFormat="1" ht="18" customHeight="1">
      <c r="C97" s="242">
        <f>+C96</f>
        <v>4</v>
      </c>
      <c r="D97" s="268" t="str">
        <f>+'4.0'!D63</f>
        <v>115200</v>
      </c>
      <c r="E97" s="268" t="str">
        <f>+'4.0'!E63</f>
        <v>제품</v>
      </c>
      <c r="F97" s="243">
        <v>0</v>
      </c>
      <c r="G97" s="243">
        <v>0</v>
      </c>
      <c r="H97" s="243"/>
      <c r="I97" s="5">
        <f>+$F97-$G97</f>
        <v>0</v>
      </c>
      <c r="J97" s="5"/>
      <c r="K97" s="5"/>
      <c r="L97" s="5"/>
      <c r="M97" s="190" t="s">
        <v>1813</v>
      </c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212"/>
    </row>
    <row r="98" spans="3:26" s="190" customFormat="1" ht="18" customHeight="1">
      <c r="C98" s="242">
        <f>+C97</f>
        <v>4</v>
      </c>
      <c r="D98" s="268" t="str">
        <f>+'4.0'!D64</f>
        <v>420199</v>
      </c>
      <c r="E98" s="268" t="str">
        <f>+'4.0'!E64</f>
        <v>제품매출원가</v>
      </c>
      <c r="F98" s="243">
        <v>0</v>
      </c>
      <c r="G98" s="243">
        <v>0</v>
      </c>
      <c r="H98" s="243"/>
      <c r="I98" s="5"/>
      <c r="J98" s="5"/>
      <c r="K98" s="5"/>
      <c r="L98" s="5">
        <f>+$G98-$F98</f>
        <v>0</v>
      </c>
      <c r="M98" s="190" t="s">
        <v>1813</v>
      </c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12"/>
    </row>
    <row r="99" spans="3:26" s="190" customFormat="1" ht="18" customHeight="1">
      <c r="C99" s="242">
        <f>+C98</f>
        <v>4</v>
      </c>
      <c r="D99" s="268" t="str">
        <f>+'4.0'!D65</f>
        <v>340100</v>
      </c>
      <c r="E99" s="268" t="str">
        <f>+'4.0'!E65</f>
        <v>이월이익잉여금</v>
      </c>
      <c r="F99" s="243">
        <v>0</v>
      </c>
      <c r="G99" s="243">
        <v>0</v>
      </c>
      <c r="H99" s="243"/>
      <c r="I99" s="5"/>
      <c r="J99" s="5"/>
      <c r="K99" s="5">
        <f>+$G99-$F99</f>
        <v>0</v>
      </c>
      <c r="L99" s="5"/>
      <c r="M99" s="190" t="s">
        <v>1813</v>
      </c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212"/>
    </row>
    <row r="100" spans="3:26" s="190" customFormat="1" ht="18" customHeight="1">
      <c r="C100" s="242">
        <f>+C99</f>
        <v>4</v>
      </c>
      <c r="D100" s="268" t="str">
        <f>+'4.0'!D66</f>
        <v>420199</v>
      </c>
      <c r="E100" s="268" t="str">
        <f>+'4.0'!E66</f>
        <v>제품매출원가</v>
      </c>
      <c r="F100" s="243">
        <v>0</v>
      </c>
      <c r="G100" s="243">
        <v>0</v>
      </c>
      <c r="H100" s="243"/>
      <c r="I100" s="5"/>
      <c r="J100" s="5"/>
      <c r="K100" s="5"/>
      <c r="L100" s="5">
        <f>+$G100-$F100</f>
        <v>0</v>
      </c>
      <c r="M100" s="190" t="s">
        <v>1813</v>
      </c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12"/>
    </row>
    <row r="101" spans="3:26" s="190" customFormat="1" ht="18" customHeight="1">
      <c r="C101" s="242"/>
      <c r="D101" s="268"/>
      <c r="E101" s="243"/>
      <c r="F101" s="243"/>
      <c r="G101" s="243"/>
      <c r="H101" s="243"/>
      <c r="I101" s="5"/>
      <c r="J101" s="5"/>
      <c r="K101" s="5"/>
      <c r="L101" s="5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212"/>
    </row>
    <row r="102" spans="3:26" s="190" customFormat="1" ht="18" customHeight="1">
      <c r="C102" s="266">
        <v>4</v>
      </c>
      <c r="D102" s="267" t="str">
        <f>+'4.0'!D6</f>
        <v>아이리버 &gt; LDC 하향판매</v>
      </c>
      <c r="E102" s="241"/>
      <c r="F102" s="241"/>
      <c r="G102" s="241"/>
      <c r="H102" s="241"/>
      <c r="I102" s="5"/>
      <c r="J102" s="5"/>
      <c r="K102" s="5"/>
      <c r="L102" s="5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12"/>
    </row>
    <row r="103" spans="3:26" s="190" customFormat="1" ht="18" customHeight="1">
      <c r="C103" s="242">
        <f>+C102</f>
        <v>4</v>
      </c>
      <c r="D103" s="268" t="str">
        <f>+'4.0'!D19</f>
        <v>115200</v>
      </c>
      <c r="E103" s="268" t="str">
        <f>+'4.0'!E19</f>
        <v>제품</v>
      </c>
      <c r="F103" s="243">
        <v>0</v>
      </c>
      <c r="G103" s="243">
        <v>3658730</v>
      </c>
      <c r="H103" s="243"/>
      <c r="I103" s="5">
        <f>+$F103-$G103</f>
        <v>-3658730</v>
      </c>
      <c r="J103" s="5"/>
      <c r="K103" s="5"/>
      <c r="L103" s="5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212"/>
      <c r="Y103" s="212"/>
      <c r="Z103" s="212"/>
    </row>
    <row r="104" spans="3:26" s="190" customFormat="1" ht="18" customHeight="1">
      <c r="C104" s="242">
        <f>+C103</f>
        <v>4</v>
      </c>
      <c r="D104" s="268" t="str">
        <f>+'4.0'!D18</f>
        <v>420199</v>
      </c>
      <c r="E104" s="268" t="str">
        <f>+'4.0'!E18</f>
        <v>제품매출원가</v>
      </c>
      <c r="F104" s="243">
        <v>3658730</v>
      </c>
      <c r="G104" s="243">
        <v>0</v>
      </c>
      <c r="H104" s="243"/>
      <c r="I104" s="5"/>
      <c r="J104" s="5"/>
      <c r="K104" s="5"/>
      <c r="L104" s="5">
        <f>+$G104-$F104</f>
        <v>-3658730</v>
      </c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12"/>
    </row>
    <row r="105" spans="3:26" s="190" customFormat="1" ht="18" customHeight="1">
      <c r="C105" s="242">
        <f>+C104</f>
        <v>4</v>
      </c>
      <c r="D105" s="268" t="str">
        <f>+'4.0'!D22</f>
        <v>340100</v>
      </c>
      <c r="E105" s="268" t="str">
        <f>+'4.0'!E22</f>
        <v>이월이익잉여금</v>
      </c>
      <c r="F105" s="243">
        <v>0</v>
      </c>
      <c r="G105" s="243">
        <v>0</v>
      </c>
      <c r="H105" s="243"/>
      <c r="I105" s="5"/>
      <c r="J105" s="5"/>
      <c r="K105" s="5">
        <f>+$G105-$F105</f>
        <v>0</v>
      </c>
      <c r="L105" s="5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212"/>
    </row>
    <row r="106" spans="3:26" s="190" customFormat="1" ht="18" customHeight="1">
      <c r="C106" s="242">
        <f>+C105</f>
        <v>4</v>
      </c>
      <c r="D106" s="268" t="str">
        <f>+'4.0'!D23</f>
        <v>420199</v>
      </c>
      <c r="E106" s="268" t="str">
        <f>+'4.0'!E23</f>
        <v>제품매출원가</v>
      </c>
      <c r="F106" s="243">
        <v>0</v>
      </c>
      <c r="G106" s="243">
        <v>0</v>
      </c>
      <c r="H106" s="243"/>
      <c r="I106" s="5"/>
      <c r="J106" s="5"/>
      <c r="K106" s="5"/>
      <c r="L106" s="5">
        <f>+$G106-$F106</f>
        <v>0</v>
      </c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12"/>
    </row>
    <row r="107" spans="3:26" s="190" customFormat="1" ht="18" customHeight="1">
      <c r="C107" s="242"/>
      <c r="D107" s="268"/>
      <c r="E107" s="243"/>
      <c r="F107" s="243"/>
      <c r="G107" s="243"/>
      <c r="H107" s="243"/>
      <c r="I107" s="5"/>
      <c r="J107" s="5"/>
      <c r="K107" s="5"/>
      <c r="L107" s="5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212"/>
      <c r="Y107" s="212"/>
      <c r="Z107" s="212"/>
    </row>
    <row r="108" spans="3:26" s="190" customFormat="1" ht="18" customHeight="1">
      <c r="C108" s="266">
        <v>4</v>
      </c>
      <c r="D108" s="267" t="str">
        <f>+'4.0'!D80</f>
        <v>그루버스_미실현손익 실현</v>
      </c>
      <c r="E108" s="241"/>
      <c r="F108" s="241"/>
      <c r="G108" s="241"/>
      <c r="H108" s="241"/>
      <c r="I108" s="5"/>
      <c r="J108" s="5"/>
      <c r="K108" s="5"/>
      <c r="L108" s="5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12"/>
    </row>
    <row r="109" spans="3:26" s="190" customFormat="1" ht="18" customHeight="1">
      <c r="C109" s="242">
        <f>+C108</f>
        <v>4</v>
      </c>
      <c r="D109" s="268" t="str">
        <f>+'4.0'!D81</f>
        <v>640000</v>
      </c>
      <c r="E109" s="268" t="str">
        <f>+'4.0'!E81</f>
        <v>지급수수료</v>
      </c>
      <c r="F109" s="243">
        <v>0</v>
      </c>
      <c r="G109" s="243">
        <v>0</v>
      </c>
      <c r="H109" s="243"/>
      <c r="I109" s="5"/>
      <c r="J109" s="5"/>
      <c r="K109" s="5"/>
      <c r="L109" s="5">
        <f>+$G109-$F109</f>
        <v>0</v>
      </c>
      <c r="M109" s="190" t="s">
        <v>1813</v>
      </c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212"/>
      <c r="Y109" s="212"/>
      <c r="Z109" s="212"/>
    </row>
    <row r="110" spans="3:26" s="190" customFormat="1" ht="18" customHeight="1">
      <c r="C110" s="242">
        <f>+C109</f>
        <v>4</v>
      </c>
      <c r="D110" s="268" t="str">
        <f>+'4.0'!D82</f>
        <v>340100</v>
      </c>
      <c r="E110" s="268" t="str">
        <f>+'4.0'!E82</f>
        <v>이월이익잉여금</v>
      </c>
      <c r="F110" s="243">
        <v>0</v>
      </c>
      <c r="G110" s="243">
        <v>0</v>
      </c>
      <c r="H110" s="243"/>
      <c r="I110" s="5"/>
      <c r="J110" s="5"/>
      <c r="K110" s="5">
        <f>+$G110-$F110</f>
        <v>0</v>
      </c>
      <c r="L110" s="5"/>
      <c r="M110" s="190" t="s">
        <v>1813</v>
      </c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12"/>
      <c r="Y110" s="212"/>
      <c r="Z110" s="212"/>
    </row>
    <row r="111" spans="3:26" s="190" customFormat="1" ht="18" customHeight="1">
      <c r="C111" s="242"/>
      <c r="D111" s="268"/>
      <c r="E111" s="243"/>
      <c r="F111" s="243"/>
      <c r="G111" s="243"/>
      <c r="H111" s="243"/>
      <c r="I111" s="5"/>
      <c r="J111" s="5"/>
      <c r="K111" s="5"/>
      <c r="L111" s="5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12"/>
      <c r="Y111" s="212"/>
      <c r="Z111" s="212"/>
    </row>
    <row r="112" spans="3:26" s="190" customFormat="1" ht="18" customHeight="1">
      <c r="C112" s="266">
        <v>6</v>
      </c>
      <c r="D112" s="267" t="str">
        <f>+'6.0'!$D6</f>
        <v>ENT,  INC., groovers jp 매출재분류 (연결관점에서는 Inc.의 매출이 제품매출)</v>
      </c>
      <c r="E112" s="241"/>
      <c r="F112" s="241"/>
      <c r="G112" s="241"/>
      <c r="H112" s="241"/>
      <c r="I112" s="5"/>
      <c r="J112" s="5"/>
      <c r="K112" s="5"/>
      <c r="L112" s="5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212"/>
      <c r="Y112" s="212"/>
      <c r="Z112" s="212"/>
    </row>
    <row r="113" spans="3:26" s="190" customFormat="1" ht="18" customHeight="1">
      <c r="C113" s="242">
        <v>6</v>
      </c>
      <c r="D113" s="268">
        <f>+'6.0'!$D7</f>
        <v>410100</v>
      </c>
      <c r="E113" s="243" t="str">
        <f>+'6.0'!$E7</f>
        <v>상품매출</v>
      </c>
      <c r="F113" s="243">
        <v>0</v>
      </c>
      <c r="G113" s="243">
        <v>0</v>
      </c>
      <c r="H113" s="243"/>
      <c r="I113" s="5"/>
      <c r="J113" s="5"/>
      <c r="K113" s="5"/>
      <c r="L113" s="5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212"/>
    </row>
    <row r="114" spans="3:26" s="190" customFormat="1" ht="18" customHeight="1">
      <c r="C114" s="242">
        <v>6</v>
      </c>
      <c r="D114" s="268">
        <f>+'6.0'!$D8</f>
        <v>410200</v>
      </c>
      <c r="E114" s="243" t="str">
        <f>+'6.0'!$E8</f>
        <v>제품매출</v>
      </c>
      <c r="F114" s="243">
        <v>0</v>
      </c>
      <c r="G114" s="243">
        <v>0</v>
      </c>
      <c r="H114" s="243"/>
      <c r="I114" s="5"/>
      <c r="J114" s="5"/>
      <c r="K114" s="5"/>
      <c r="L114" s="5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</row>
    <row r="115" spans="3:26" s="190" customFormat="1" ht="18" customHeight="1">
      <c r="C115" s="244">
        <v>6</v>
      </c>
      <c r="D115" s="268" t="str">
        <f>+'6.0'!$D9</f>
        <v>420090</v>
      </c>
      <c r="E115" s="243" t="str">
        <f>+'6.0'!$E9</f>
        <v>상품매출원가</v>
      </c>
      <c r="F115" s="243">
        <v>0</v>
      </c>
      <c r="G115" s="243">
        <v>0</v>
      </c>
      <c r="H115" s="243"/>
      <c r="I115" s="5"/>
      <c r="J115" s="5"/>
      <c r="K115" s="5"/>
      <c r="L115" s="5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212"/>
    </row>
    <row r="116" spans="3:26" s="190" customFormat="1" ht="18" customHeight="1">
      <c r="C116" s="245">
        <v>6</v>
      </c>
      <c r="D116" s="272" t="str">
        <f>+'6.0'!$D10</f>
        <v>420199</v>
      </c>
      <c r="E116" s="268" t="str">
        <f>+'6.0'!$E10</f>
        <v>제품매출원가</v>
      </c>
      <c r="F116" s="243">
        <v>0</v>
      </c>
      <c r="G116" s="243">
        <v>0</v>
      </c>
      <c r="H116" s="243"/>
      <c r="I116" s="5"/>
      <c r="J116" s="5"/>
      <c r="K116" s="5"/>
      <c r="L116" s="5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12"/>
    </row>
    <row r="117" spans="3:26" ht="18" customHeight="1">
      <c r="C117" s="266">
        <v>6</v>
      </c>
      <c r="D117" s="267" t="str">
        <f>+'6.0'!$D13</f>
        <v>기타조정</v>
      </c>
      <c r="E117" s="241"/>
      <c r="F117" s="241"/>
      <c r="G117" s="241"/>
      <c r="H117" s="241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212"/>
    </row>
    <row r="118" spans="3:26" s="190" customFormat="1" ht="18" customHeight="1">
      <c r="C118" s="242">
        <v>6</v>
      </c>
      <c r="D118" s="268" t="str">
        <f>+'6.0'!$D14</f>
        <v>643000</v>
      </c>
      <c r="E118" s="243" t="str">
        <f>+'6.0'!$E14</f>
        <v>대손상각비</v>
      </c>
      <c r="F118" s="243">
        <v>0</v>
      </c>
      <c r="G118" s="243">
        <v>0</v>
      </c>
      <c r="H118" s="243"/>
      <c r="I118" s="5"/>
      <c r="J118" s="5"/>
      <c r="K118" s="5"/>
      <c r="L118" s="5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12"/>
    </row>
    <row r="119" spans="3:26" s="190" customFormat="1" ht="18" customHeight="1">
      <c r="C119" s="242">
        <v>6</v>
      </c>
      <c r="D119" s="268" t="str">
        <f>+'6.0'!$D15</f>
        <v>640000</v>
      </c>
      <c r="E119" s="268" t="str">
        <f>+'6.0'!$E15</f>
        <v>지급수수료</v>
      </c>
      <c r="F119" s="243">
        <v>0</v>
      </c>
      <c r="G119" s="243">
        <v>0</v>
      </c>
      <c r="H119" s="243"/>
      <c r="I119" s="5"/>
      <c r="J119" s="5"/>
      <c r="K119" s="5"/>
      <c r="L119" s="5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212"/>
    </row>
    <row r="120" spans="3:26" s="190" customFormat="1" ht="18" customHeight="1">
      <c r="C120" s="266">
        <v>6</v>
      </c>
      <c r="D120" s="267" t="s">
        <v>1797</v>
      </c>
      <c r="E120" s="241"/>
      <c r="F120" s="241"/>
      <c r="G120" s="241"/>
      <c r="H120" s="241"/>
      <c r="I120" s="5"/>
      <c r="J120" s="5"/>
      <c r="K120" s="5"/>
      <c r="L120" s="5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</row>
    <row r="121" spans="3:26" s="190" customFormat="1" ht="18" customHeight="1">
      <c r="C121" s="246">
        <v>6</v>
      </c>
      <c r="D121" s="268" t="str">
        <f>+'6.0'!$D17</f>
        <v>111731</v>
      </c>
      <c r="E121" s="243" t="str">
        <f>+'6.0'!$E17</f>
        <v>외상매출금(외화)</v>
      </c>
      <c r="F121" s="243">
        <v>0</v>
      </c>
      <c r="G121" s="243">
        <v>327031541</v>
      </c>
      <c r="H121" s="243"/>
      <c r="I121" s="5"/>
      <c r="J121" s="5"/>
      <c r="K121" s="5"/>
      <c r="L121" s="5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</row>
    <row r="122" spans="3:26" s="190" customFormat="1" ht="18" customHeight="1">
      <c r="C122" s="246">
        <v>6</v>
      </c>
      <c r="D122" s="268" t="str">
        <f>+'6.0'!$D18</f>
        <v>112113</v>
      </c>
      <c r="E122" s="243" t="str">
        <f>+'6.0'!$E18</f>
        <v>미수금(외화_일반)</v>
      </c>
      <c r="F122" s="243">
        <v>327031541</v>
      </c>
      <c r="G122" s="243">
        <v>0</v>
      </c>
      <c r="H122" s="243"/>
      <c r="I122" s="5"/>
      <c r="J122" s="5"/>
      <c r="K122" s="5"/>
      <c r="L122" s="5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12"/>
    </row>
    <row r="123" spans="3:26" s="190" customFormat="1" ht="18" customHeight="1">
      <c r="C123" s="246">
        <v>6</v>
      </c>
      <c r="D123" s="268" t="str">
        <f>+'6.0'!$D19</f>
        <v>121800</v>
      </c>
      <c r="E123" s="243" t="str">
        <f>+'6.0'!$E19</f>
        <v>외상매출금(외화_비유동)</v>
      </c>
      <c r="F123" s="243">
        <v>0</v>
      </c>
      <c r="G123" s="243">
        <v>300136621</v>
      </c>
      <c r="H123" s="243"/>
      <c r="I123" s="5"/>
      <c r="J123" s="5"/>
      <c r="K123" s="5"/>
      <c r="L123" s="5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212"/>
    </row>
    <row r="124" spans="3:26" s="190" customFormat="1" ht="18" customHeight="1">
      <c r="C124" s="242">
        <v>6</v>
      </c>
      <c r="D124" s="268" t="str">
        <f>+'6.0'!$D20</f>
        <v>121805**</v>
      </c>
      <c r="E124" s="243" t="str">
        <f>+'6.0'!$E20</f>
        <v>장기미수금</v>
      </c>
      <c r="F124" s="243">
        <v>300136621</v>
      </c>
      <c r="G124" s="243">
        <v>0</v>
      </c>
      <c r="H124" s="243"/>
      <c r="I124" s="5"/>
      <c r="J124" s="5"/>
      <c r="K124" s="5"/>
      <c r="L124" s="5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12"/>
    </row>
    <row r="125" spans="3:26" s="190" customFormat="1" ht="18" customHeight="1">
      <c r="C125" s="242"/>
      <c r="D125" s="268"/>
      <c r="E125" s="243"/>
      <c r="F125" s="243"/>
      <c r="G125" s="243"/>
      <c r="H125" s="243"/>
      <c r="I125" s="5"/>
      <c r="J125" s="5"/>
      <c r="K125" s="5"/>
      <c r="L125" s="5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212"/>
    </row>
    <row r="126" spans="3:26" s="190" customFormat="1" ht="18" customHeight="1">
      <c r="C126" s="266" t="s">
        <v>1818</v>
      </c>
      <c r="D126" s="267" t="s">
        <v>1801</v>
      </c>
      <c r="E126" s="241"/>
      <c r="F126" s="241"/>
      <c r="G126" s="241"/>
      <c r="H126" s="241"/>
      <c r="I126" s="5"/>
      <c r="J126" s="5"/>
      <c r="K126" s="5"/>
      <c r="L126" s="5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</row>
    <row r="127" spans="3:26" ht="18" customHeight="1">
      <c r="C127" s="239" t="s">
        <v>1817</v>
      </c>
      <c r="D127" s="273">
        <v>310100</v>
      </c>
      <c r="E127" s="34" t="s">
        <v>10</v>
      </c>
      <c r="F127" s="34">
        <v>37013277500</v>
      </c>
      <c r="G127" s="34"/>
      <c r="H127" s="34"/>
      <c r="K127" s="269">
        <f>+$G127-$F127</f>
        <v>-37013277500</v>
      </c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212"/>
    </row>
    <row r="128" spans="3:26" ht="18" customHeight="1">
      <c r="C128" s="239" t="s">
        <v>1817</v>
      </c>
      <c r="D128" s="273">
        <v>900019</v>
      </c>
      <c r="E128" s="34" t="s">
        <v>81</v>
      </c>
      <c r="F128" s="34"/>
      <c r="G128" s="34">
        <v>2042283617</v>
      </c>
      <c r="H128" s="34"/>
      <c r="I128" s="269">
        <f>+$F128-$G128</f>
        <v>-2042283617</v>
      </c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</row>
    <row r="129" spans="3:26" ht="18" customHeight="1">
      <c r="C129" s="239" t="s">
        <v>1817</v>
      </c>
      <c r="D129" s="273" t="s">
        <v>378</v>
      </c>
      <c r="E129" s="274" t="s">
        <v>377</v>
      </c>
      <c r="F129" s="34">
        <v>-1401597960</v>
      </c>
      <c r="G129" s="34"/>
      <c r="H129" s="34"/>
      <c r="L129" s="269">
        <f>+$G129-$F129</f>
        <v>1401597960</v>
      </c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</row>
    <row r="130" spans="3:26" ht="18" customHeight="1">
      <c r="C130" s="239" t="s">
        <v>1817</v>
      </c>
      <c r="D130" s="273" t="s">
        <v>1354</v>
      </c>
      <c r="E130" s="34" t="s">
        <v>207</v>
      </c>
      <c r="F130" s="34"/>
      <c r="G130" s="34">
        <v>33569395923</v>
      </c>
      <c r="H130" s="34"/>
      <c r="K130" s="5">
        <f>+$G130-$F130</f>
        <v>33569395923</v>
      </c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212"/>
      <c r="Y130" s="212"/>
      <c r="Z130" s="212"/>
    </row>
    <row r="131" spans="3:26" ht="18" customHeight="1">
      <c r="C131" s="239" t="s">
        <v>1817</v>
      </c>
      <c r="D131" s="273"/>
      <c r="E131" s="34"/>
      <c r="F131" s="34"/>
      <c r="G131" s="34"/>
      <c r="H131" s="34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212"/>
      <c r="Y131" s="212"/>
      <c r="Z131" s="212"/>
    </row>
    <row r="132" spans="3:26" ht="18" customHeight="1">
      <c r="C132" s="266" t="s">
        <v>1817</v>
      </c>
      <c r="D132" s="267" t="s">
        <v>1802</v>
      </c>
      <c r="E132" s="241"/>
      <c r="F132" s="241"/>
      <c r="G132" s="241"/>
      <c r="H132" s="241"/>
    </row>
    <row r="133" spans="3:26" ht="18" customHeight="1">
      <c r="C133" s="239" t="s">
        <v>1817</v>
      </c>
      <c r="D133" s="273">
        <v>310100</v>
      </c>
      <c r="E133" s="34" t="s">
        <v>10</v>
      </c>
      <c r="F133" s="34">
        <v>511470000</v>
      </c>
      <c r="G133" s="34"/>
      <c r="H133" s="34" t="s">
        <v>1804</v>
      </c>
      <c r="K133" s="269">
        <f>+$G133-$F133</f>
        <v>-511470000</v>
      </c>
    </row>
    <row r="134" spans="3:26" ht="18" customHeight="1">
      <c r="C134" s="239" t="s">
        <v>1817</v>
      </c>
      <c r="D134" s="273">
        <v>900019</v>
      </c>
      <c r="E134" s="34" t="s">
        <v>81</v>
      </c>
      <c r="F134" s="34"/>
      <c r="G134" s="34">
        <v>29999999995</v>
      </c>
      <c r="H134" s="34"/>
      <c r="I134" s="269">
        <f>+$F134-$G134</f>
        <v>-29999999995</v>
      </c>
    </row>
    <row r="135" spans="3:26" ht="18" customHeight="1">
      <c r="C135" s="239" t="s">
        <v>1817</v>
      </c>
      <c r="D135" s="273" t="s">
        <v>128</v>
      </c>
      <c r="E135" s="34" t="s">
        <v>1803</v>
      </c>
      <c r="F135" s="34">
        <v>21748156278</v>
      </c>
      <c r="G135" s="34"/>
      <c r="H135" s="34"/>
      <c r="I135" s="269">
        <f>+$F135-$G135</f>
        <v>21748156278</v>
      </c>
    </row>
    <row r="136" spans="3:26" ht="18" customHeight="1">
      <c r="C136" s="239" t="s">
        <v>1817</v>
      </c>
      <c r="D136" s="273" t="s">
        <v>1354</v>
      </c>
      <c r="E136" s="34" t="s">
        <v>207</v>
      </c>
      <c r="F136" s="34">
        <v>3387647121</v>
      </c>
      <c r="G136" s="34"/>
      <c r="H136" s="34"/>
      <c r="K136" s="5">
        <f>+$G136-$F136</f>
        <v>-3387647121</v>
      </c>
    </row>
    <row r="137" spans="3:26" ht="18" customHeight="1">
      <c r="C137" s="239" t="s">
        <v>1817</v>
      </c>
      <c r="D137" s="273" t="s">
        <v>486</v>
      </c>
      <c r="E137" s="34" t="s">
        <v>449</v>
      </c>
      <c r="F137" s="34">
        <v>6676985115</v>
      </c>
      <c r="G137" s="34"/>
      <c r="H137" s="34"/>
      <c r="I137" s="269">
        <f>+$F137-$G137</f>
        <v>6676985115</v>
      </c>
    </row>
    <row r="138" spans="3:26" ht="18" customHeight="1">
      <c r="C138" s="239" t="s">
        <v>1817</v>
      </c>
      <c r="D138" s="273" t="s">
        <v>1346</v>
      </c>
      <c r="E138" s="34" t="s">
        <v>452</v>
      </c>
      <c r="F138" s="34"/>
      <c r="G138" s="34">
        <v>2324258519</v>
      </c>
      <c r="H138" s="34"/>
      <c r="J138" s="269">
        <f>+$G138-$F138</f>
        <v>2324258519</v>
      </c>
    </row>
    <row r="139" spans="3:26" ht="18" customHeight="1">
      <c r="C139" s="239" t="s">
        <v>1817</v>
      </c>
      <c r="D139" s="273"/>
      <c r="E139" s="34"/>
      <c r="F139" s="34"/>
      <c r="G139" s="34"/>
      <c r="H139" s="34"/>
    </row>
    <row r="140" spans="3:26" ht="18" customHeight="1">
      <c r="C140" s="239" t="s">
        <v>1817</v>
      </c>
      <c r="D140" s="273" t="s">
        <v>486</v>
      </c>
      <c r="E140" s="34" t="s">
        <v>449</v>
      </c>
      <c r="F140" s="34"/>
      <c r="G140" s="34">
        <v>222566171</v>
      </c>
      <c r="H140" s="275" t="s">
        <v>1805</v>
      </c>
      <c r="I140" s="269">
        <f>+$F140-$G140</f>
        <v>-222566171</v>
      </c>
    </row>
    <row r="141" spans="3:26" ht="18" customHeight="1">
      <c r="C141" s="239" t="s">
        <v>1817</v>
      </c>
      <c r="D141" s="273" t="s">
        <v>1354</v>
      </c>
      <c r="E141" s="34" t="s">
        <v>207</v>
      </c>
      <c r="F141" s="34">
        <v>222566171</v>
      </c>
      <c r="G141" s="34"/>
      <c r="H141" s="34"/>
      <c r="K141" s="5">
        <f>+$G141-$F141</f>
        <v>-222566171</v>
      </c>
    </row>
    <row r="142" spans="3:26" ht="18" customHeight="1">
      <c r="C142" s="239" t="s">
        <v>1817</v>
      </c>
      <c r="D142" s="273" t="s">
        <v>1354</v>
      </c>
      <c r="E142" s="34" t="s">
        <v>207</v>
      </c>
      <c r="F142" s="34"/>
      <c r="G142" s="34">
        <v>77475284</v>
      </c>
      <c r="H142" s="34"/>
      <c r="K142" s="5">
        <f>+$G142-$F142</f>
        <v>77475284</v>
      </c>
    </row>
    <row r="143" spans="3:26" ht="18" customHeight="1">
      <c r="C143" s="239" t="s">
        <v>1817</v>
      </c>
      <c r="D143" s="273" t="s">
        <v>1346</v>
      </c>
      <c r="E143" s="34" t="s">
        <v>452</v>
      </c>
      <c r="F143" s="34">
        <v>77475284</v>
      </c>
      <c r="G143" s="34"/>
      <c r="H143" s="34"/>
      <c r="J143" s="269">
        <f>+$G143-$F143</f>
        <v>-77475284</v>
      </c>
    </row>
    <row r="144" spans="3:26" ht="18" customHeight="1">
      <c r="C144" s="239" t="s">
        <v>1817</v>
      </c>
      <c r="D144" s="273"/>
      <c r="E144" s="34"/>
      <c r="F144" s="34"/>
      <c r="G144" s="34"/>
      <c r="H144" s="34"/>
    </row>
    <row r="145" spans="3:13" ht="18" customHeight="1">
      <c r="C145" s="239" t="s">
        <v>1817</v>
      </c>
      <c r="D145" s="273" t="s">
        <v>486</v>
      </c>
      <c r="E145" s="34" t="s">
        <v>449</v>
      </c>
      <c r="F145" s="34"/>
      <c r="G145" s="34">
        <v>722910343</v>
      </c>
      <c r="H145" s="275" t="s">
        <v>1806</v>
      </c>
      <c r="I145" s="269">
        <f>+$F145-$G145</f>
        <v>-722910343</v>
      </c>
    </row>
    <row r="146" spans="3:13" ht="18" customHeight="1">
      <c r="C146" s="239" t="s">
        <v>1817</v>
      </c>
      <c r="D146" s="273" t="s">
        <v>1354</v>
      </c>
      <c r="E146" s="34" t="s">
        <v>207</v>
      </c>
      <c r="F146" s="34">
        <v>640750760</v>
      </c>
      <c r="G146" s="34"/>
      <c r="H146" s="34"/>
      <c r="K146" s="5">
        <f>+$G146-$F146</f>
        <v>-640750760</v>
      </c>
    </row>
    <row r="147" spans="3:13" ht="18" customHeight="1">
      <c r="C147" s="239" t="s">
        <v>1817</v>
      </c>
      <c r="D147" s="273" t="s">
        <v>1354</v>
      </c>
      <c r="E147" s="34" t="s">
        <v>207</v>
      </c>
      <c r="F147" s="34"/>
      <c r="G147" s="34">
        <v>223045329</v>
      </c>
      <c r="H147" s="34"/>
      <c r="K147" s="5">
        <f>+$G147-$F147</f>
        <v>223045329</v>
      </c>
    </row>
    <row r="148" spans="3:13" ht="18" customHeight="1">
      <c r="C148" s="239" t="s">
        <v>1817</v>
      </c>
      <c r="D148" s="273" t="s">
        <v>1346</v>
      </c>
      <c r="E148" s="34" t="s">
        <v>452</v>
      </c>
      <c r="F148" s="34">
        <v>251645076</v>
      </c>
      <c r="G148" s="34"/>
      <c r="H148" s="34"/>
      <c r="J148" s="269">
        <f>+$G148-$F148</f>
        <v>-251645076</v>
      </c>
    </row>
    <row r="149" spans="3:13" ht="18" customHeight="1">
      <c r="C149" s="239" t="s">
        <v>1817</v>
      </c>
      <c r="D149" s="273" t="s">
        <v>1352</v>
      </c>
      <c r="E149" s="34" t="s">
        <v>204</v>
      </c>
      <c r="F149" s="34">
        <v>53559836</v>
      </c>
      <c r="G149" s="34"/>
      <c r="H149" s="34"/>
      <c r="K149" s="5">
        <f>+$G149-$F149</f>
        <v>-53559836</v>
      </c>
    </row>
    <row r="150" spans="3:13" ht="18" customHeight="1">
      <c r="C150" s="239" t="s">
        <v>1817</v>
      </c>
      <c r="D150" s="273"/>
      <c r="E150" s="34"/>
      <c r="F150" s="34"/>
      <c r="G150" s="34"/>
      <c r="H150" s="34"/>
      <c r="M150" s="5">
        <f>SUM('5.1'!M27:Q27)</f>
        <v>395704704</v>
      </c>
    </row>
    <row r="151" spans="3:13" ht="18" customHeight="1">
      <c r="C151" s="239" t="s">
        <v>1817</v>
      </c>
      <c r="D151" s="273" t="s">
        <v>486</v>
      </c>
      <c r="E151" s="34" t="s">
        <v>449</v>
      </c>
      <c r="F151" s="34"/>
      <c r="G151" s="34">
        <v>409665440</v>
      </c>
      <c r="H151" s="275" t="s">
        <v>1806</v>
      </c>
      <c r="I151" s="269">
        <f>+$F151-$G151</f>
        <v>-409665440</v>
      </c>
    </row>
    <row r="152" spans="3:13" ht="18" customHeight="1">
      <c r="C152" s="239" t="s">
        <v>1817</v>
      </c>
      <c r="D152" s="273" t="s">
        <v>390</v>
      </c>
      <c r="E152" s="34" t="s">
        <v>450</v>
      </c>
      <c r="F152" s="34">
        <v>685224178</v>
      </c>
      <c r="G152" s="34"/>
      <c r="H152" s="34"/>
      <c r="L152" s="269">
        <f>+$G152-$F152</f>
        <v>-685224178</v>
      </c>
    </row>
    <row r="153" spans="3:13" ht="18" customHeight="1">
      <c r="C153" s="239" t="s">
        <v>1817</v>
      </c>
      <c r="D153" s="273" t="s">
        <v>381</v>
      </c>
      <c r="E153" s="34" t="s">
        <v>451</v>
      </c>
      <c r="F153" s="34"/>
      <c r="G153" s="34">
        <v>238526523</v>
      </c>
      <c r="H153" s="34"/>
      <c r="L153" s="269">
        <f>+$G153-$F153</f>
        <v>238526523</v>
      </c>
    </row>
    <row r="154" spans="3:13" ht="18" customHeight="1">
      <c r="C154" s="239" t="s">
        <v>1817</v>
      </c>
      <c r="D154" s="273" t="s">
        <v>1346</v>
      </c>
      <c r="E154" s="34" t="s">
        <v>452</v>
      </c>
      <c r="F154" s="34">
        <v>142604525</v>
      </c>
      <c r="G154" s="34"/>
      <c r="H154" s="34"/>
      <c r="J154" s="269">
        <f>+$G154-$F154</f>
        <v>-142604525</v>
      </c>
    </row>
    <row r="155" spans="3:13" ht="18" customHeight="1">
      <c r="C155" s="239" t="s">
        <v>1817</v>
      </c>
      <c r="D155" s="273" t="s">
        <v>1352</v>
      </c>
      <c r="E155" s="34" t="s">
        <v>204</v>
      </c>
      <c r="F155" s="34">
        <v>-179636740</v>
      </c>
      <c r="G155" s="34"/>
      <c r="H155" s="34"/>
      <c r="K155" s="5">
        <f>+$G155-$F155</f>
        <v>179636740</v>
      </c>
    </row>
    <row r="156" spans="3:13" ht="18" customHeight="1">
      <c r="C156" s="239" t="s">
        <v>1817</v>
      </c>
      <c r="D156" s="273"/>
      <c r="E156" s="34"/>
      <c r="F156" s="34"/>
      <c r="G156" s="34"/>
      <c r="H156" s="34"/>
      <c r="M156" s="5">
        <f>SUM('5.1'!R27:U27)</f>
        <v>-81295376</v>
      </c>
    </row>
    <row r="157" spans="3:13" ht="18" customHeight="1">
      <c r="C157" s="239" t="s">
        <v>1817</v>
      </c>
      <c r="D157" s="273" t="s">
        <v>128</v>
      </c>
      <c r="E157" s="34" t="s">
        <v>129</v>
      </c>
      <c r="F157" s="34"/>
      <c r="G157" s="34">
        <v>207501906</v>
      </c>
      <c r="H157" s="275" t="s">
        <v>1807</v>
      </c>
      <c r="I157" s="269">
        <f>+$F157-$G157</f>
        <v>-207501906</v>
      </c>
    </row>
    <row r="158" spans="3:13" ht="18" customHeight="1">
      <c r="C158" s="239" t="s">
        <v>1817</v>
      </c>
      <c r="D158" s="273" t="s">
        <v>1352</v>
      </c>
      <c r="E158" s="34" t="s">
        <v>204</v>
      </c>
      <c r="F158" s="34"/>
      <c r="G158" s="34">
        <v>-207501906</v>
      </c>
      <c r="H158" s="34"/>
      <c r="K158" s="5">
        <f>+$G158-$F158</f>
        <v>-207501906</v>
      </c>
    </row>
    <row r="159" spans="3:13" ht="18" customHeight="1">
      <c r="C159" s="239" t="s">
        <v>1817</v>
      </c>
      <c r="D159" s="273"/>
      <c r="E159" s="34"/>
      <c r="F159" s="34"/>
      <c r="G159" s="34"/>
      <c r="H159" s="34"/>
    </row>
    <row r="160" spans="3:13" ht="18" customHeight="1">
      <c r="C160" s="239" t="s">
        <v>1817</v>
      </c>
      <c r="D160" s="273" t="s">
        <v>128</v>
      </c>
      <c r="E160" s="34" t="s">
        <v>129</v>
      </c>
      <c r="F160" s="34"/>
      <c r="G160" s="34">
        <v>-1069187616</v>
      </c>
      <c r="H160" s="275" t="s">
        <v>1808</v>
      </c>
      <c r="I160" s="269">
        <f>+$F160-$G160</f>
        <v>1069187616</v>
      </c>
    </row>
    <row r="161" spans="3:12" ht="18" customHeight="1">
      <c r="C161" s="239" t="s">
        <v>1817</v>
      </c>
      <c r="D161" s="273" t="s">
        <v>1352</v>
      </c>
      <c r="E161" s="34" t="s">
        <v>204</v>
      </c>
      <c r="F161" s="34"/>
      <c r="G161" s="34">
        <f>-G160</f>
        <v>1069187616</v>
      </c>
      <c r="H161" s="34"/>
      <c r="K161" s="5">
        <f>+$G161-$F161</f>
        <v>1069187616</v>
      </c>
    </row>
    <row r="162" spans="3:12" ht="18" customHeight="1">
      <c r="C162" s="239" t="s">
        <v>1817</v>
      </c>
      <c r="D162" s="273"/>
      <c r="E162" s="34"/>
      <c r="F162" s="34"/>
      <c r="G162" s="34"/>
      <c r="H162" s="34"/>
    </row>
    <row r="163" spans="3:12" ht="18" customHeight="1">
      <c r="C163" s="239" t="s">
        <v>1817</v>
      </c>
      <c r="D163" s="273">
        <v>2508</v>
      </c>
      <c r="E163" s="34" t="s">
        <v>131</v>
      </c>
      <c r="F163" s="34"/>
      <c r="G163" s="34">
        <v>20593687255</v>
      </c>
      <c r="H163" s="275" t="s">
        <v>1809</v>
      </c>
      <c r="I163" s="269">
        <f>+$F163-$G163</f>
        <v>-20593687255</v>
      </c>
    </row>
    <row r="164" spans="3:12" ht="18" customHeight="1">
      <c r="C164" s="239" t="s">
        <v>1817</v>
      </c>
      <c r="D164" s="273" t="s">
        <v>362</v>
      </c>
      <c r="E164" s="34" t="s">
        <v>485</v>
      </c>
      <c r="F164" s="34">
        <v>20593687255</v>
      </c>
      <c r="G164" s="34"/>
      <c r="H164" s="34"/>
      <c r="L164" s="269">
        <f>+$G164-$F164</f>
        <v>-20593687255</v>
      </c>
    </row>
    <row r="165" spans="3:12" ht="18" customHeight="1">
      <c r="C165" s="239" t="s">
        <v>1817</v>
      </c>
      <c r="D165" s="273"/>
      <c r="E165" s="34"/>
      <c r="F165" s="34"/>
      <c r="G165" s="34"/>
      <c r="H165" s="34"/>
    </row>
    <row r="166" spans="3:12" ht="18" customHeight="1">
      <c r="C166" s="239" t="s">
        <v>1817</v>
      </c>
      <c r="D166" s="273">
        <v>900019</v>
      </c>
      <c r="E166" s="34" t="s">
        <v>81</v>
      </c>
      <c r="F166" s="34"/>
      <c r="G166" s="34">
        <v>-24071000000</v>
      </c>
      <c r="H166" s="275" t="s">
        <v>1810</v>
      </c>
      <c r="I166" s="269">
        <f>+$F166-$G166</f>
        <v>24071000000</v>
      </c>
    </row>
    <row r="167" spans="3:12" ht="18" customHeight="1">
      <c r="C167" s="239" t="s">
        <v>1817</v>
      </c>
      <c r="D167" s="273" t="s">
        <v>378</v>
      </c>
      <c r="E167" s="274" t="s">
        <v>377</v>
      </c>
      <c r="F167" s="34">
        <v>-24071000000</v>
      </c>
      <c r="G167" s="34"/>
      <c r="H167" s="34"/>
      <c r="L167" s="269">
        <f>+$G167-$F167</f>
        <v>24071000000</v>
      </c>
    </row>
    <row r="168" spans="3:12" ht="18" customHeight="1">
      <c r="C168" s="239" t="s">
        <v>1817</v>
      </c>
      <c r="D168" s="273"/>
      <c r="E168" s="34"/>
      <c r="F168" s="34"/>
      <c r="G168" s="34"/>
      <c r="H168" s="34"/>
    </row>
    <row r="169" spans="3:12" ht="18" customHeight="1">
      <c r="C169" s="239" t="s">
        <v>1817</v>
      </c>
      <c r="D169" s="273"/>
      <c r="E169" s="34"/>
      <c r="F169" s="34"/>
      <c r="G169" s="34"/>
      <c r="H169" s="34"/>
    </row>
    <row r="170" spans="3:12" ht="18" customHeight="1">
      <c r="C170" s="239" t="s">
        <v>1817</v>
      </c>
      <c r="D170" s="273"/>
      <c r="E170" s="34"/>
      <c r="F170" s="34"/>
      <c r="G170" s="34"/>
      <c r="H170" s="34"/>
    </row>
    <row r="171" spans="3:12" ht="18" customHeight="1">
      <c r="C171" s="239"/>
      <c r="D171" s="273"/>
      <c r="E171" s="34"/>
      <c r="F171" s="34"/>
      <c r="G171" s="34"/>
      <c r="H171" s="34"/>
    </row>
    <row r="172" spans="3:12" ht="18" customHeight="1">
      <c r="C172" s="239"/>
      <c r="D172" s="273"/>
      <c r="E172" s="34"/>
      <c r="F172" s="34"/>
      <c r="G172" s="34"/>
      <c r="H172" s="34"/>
    </row>
    <row r="173" spans="3:12" ht="18" customHeight="1" thickBot="1">
      <c r="C173" s="240"/>
      <c r="D173" s="276"/>
      <c r="E173" s="37"/>
      <c r="F173" s="37"/>
      <c r="G173" s="37"/>
      <c r="H173" s="37"/>
    </row>
  </sheetData>
  <autoFilter ref="C5:AA173"/>
  <phoneticPr fontId="2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D2:U317"/>
  <sheetViews>
    <sheetView showGridLines="0" topLeftCell="A2" zoomScale="80" zoomScaleNormal="80" workbookViewId="0">
      <pane xSplit="8" ySplit="3" topLeftCell="I287" activePane="bottomRight" state="frozen"/>
      <selection activeCell="J13" sqref="J13"/>
      <selection pane="topRight" activeCell="J13" sqref="J13"/>
      <selection pane="bottomLeft" activeCell="J13" sqref="J13"/>
      <selection pane="bottomRight" activeCell="R329" sqref="R329"/>
    </sheetView>
  </sheetViews>
  <sheetFormatPr defaultColWidth="8.75" defaultRowHeight="18" customHeight="1"/>
  <cols>
    <col min="1" max="3" width="2.375" style="5" customWidth="1"/>
    <col min="4" max="4" width="9.875" style="203" customWidth="1"/>
    <col min="5" max="7" width="9.875" style="201" customWidth="1"/>
    <col min="8" max="8" width="37.375" style="201" bestFit="1" customWidth="1"/>
    <col min="9" max="9" width="2.25" style="201" bestFit="1" customWidth="1"/>
    <col min="10" max="10" width="18.125" style="201" customWidth="1"/>
    <col min="11" max="11" width="16.75" style="201" hidden="1" customWidth="1"/>
    <col min="12" max="13" width="21.875" style="201" customWidth="1"/>
    <col min="14" max="14" width="2.125" style="5" customWidth="1"/>
    <col min="15" max="15" width="17.375" style="171" customWidth="1"/>
    <col min="16" max="16" width="17.375" style="201" customWidth="1"/>
    <col min="17" max="17" width="17.375" style="202" customWidth="1"/>
    <col min="18" max="18" width="11.25" style="5" bestFit="1" customWidth="1"/>
    <col min="19" max="20" width="8.75" style="5"/>
    <col min="21" max="21" width="15" style="5" bestFit="1" customWidth="1"/>
    <col min="22" max="16384" width="8.75" style="5"/>
  </cols>
  <sheetData>
    <row r="2" spans="4:21" ht="18" customHeight="1">
      <c r="K2" s="460"/>
    </row>
    <row r="3" spans="4:21" s="25" customFormat="1" ht="18" customHeight="1" thickBot="1">
      <c r="D3" s="170"/>
      <c r="K3" s="25" t="b">
        <f>K317=0</f>
        <v>0</v>
      </c>
      <c r="L3" s="25" t="b">
        <f>L317=0</f>
        <v>1</v>
      </c>
      <c r="M3" s="25" t="b">
        <f>M317=0</f>
        <v>1</v>
      </c>
      <c r="O3" s="171" t="s">
        <v>2052</v>
      </c>
      <c r="P3" s="171"/>
      <c r="Q3" s="172"/>
    </row>
    <row r="4" spans="4:21" s="8" customFormat="1" ht="18" customHeight="1" thickBot="1">
      <c r="D4" s="173" t="s">
        <v>1478</v>
      </c>
      <c r="E4" s="174" t="s">
        <v>1479</v>
      </c>
      <c r="F4" s="174" t="s">
        <v>1480</v>
      </c>
      <c r="G4" s="174" t="s">
        <v>1481</v>
      </c>
      <c r="H4" s="174" t="s">
        <v>691</v>
      </c>
      <c r="I4" s="174"/>
      <c r="J4" s="174" t="s">
        <v>1482</v>
      </c>
      <c r="K4" s="174" t="s">
        <v>1530</v>
      </c>
      <c r="L4" s="174" t="s">
        <v>1529</v>
      </c>
      <c r="M4" s="175" t="s">
        <v>1528</v>
      </c>
      <c r="O4" s="176" t="s">
        <v>18</v>
      </c>
      <c r="P4" s="177" t="s">
        <v>610</v>
      </c>
      <c r="Q4" s="178" t="s">
        <v>477</v>
      </c>
    </row>
    <row r="5" spans="4:21" ht="18" customHeight="1">
      <c r="D5" s="179">
        <v>2020</v>
      </c>
      <c r="E5" s="180">
        <v>12</v>
      </c>
      <c r="F5" s="180" t="s">
        <v>1483</v>
      </c>
      <c r="G5" s="180" t="s">
        <v>692</v>
      </c>
      <c r="H5" s="180" t="s">
        <v>693</v>
      </c>
      <c r="I5" s="180">
        <v>1</v>
      </c>
      <c r="J5" s="180" t="s">
        <v>1484</v>
      </c>
      <c r="K5" s="180">
        <f>SUM(K6,K8,K63,K107,K150)</f>
        <v>48018325109</v>
      </c>
      <c r="L5" s="180">
        <f>SUM(L6,L8,L63,L107,L150)</f>
        <v>11134172774</v>
      </c>
      <c r="M5" s="181">
        <f>SUM(M6,M8,M63,M107,M150)</f>
        <v>-42832690731</v>
      </c>
      <c r="O5" s="182"/>
      <c r="P5" s="183">
        <f>O5-L5</f>
        <v>-11134172774</v>
      </c>
      <c r="Q5" s="184"/>
    </row>
    <row r="6" spans="4:21" ht="18" customHeight="1">
      <c r="D6" s="179">
        <v>2020</v>
      </c>
      <c r="E6" s="180">
        <v>12</v>
      </c>
      <c r="F6" s="180" t="s">
        <v>632</v>
      </c>
      <c r="G6" s="180" t="s">
        <v>694</v>
      </c>
      <c r="H6" s="180" t="s">
        <v>209</v>
      </c>
      <c r="I6" s="180">
        <v>2</v>
      </c>
      <c r="J6" s="180" t="s">
        <v>473</v>
      </c>
      <c r="K6" s="180">
        <f>K7</f>
        <v>46029036772</v>
      </c>
      <c r="L6" s="180">
        <f>L7</f>
        <v>-15789338077</v>
      </c>
      <c r="M6" s="181">
        <f>L6-K6</f>
        <v>-61818374849</v>
      </c>
      <c r="O6" s="182"/>
      <c r="P6" s="183">
        <f t="shared" ref="P6:P70" si="0">O6-L6</f>
        <v>15789338077</v>
      </c>
      <c r="Q6" s="184"/>
    </row>
    <row r="7" spans="4:21" ht="18" customHeight="1">
      <c r="D7" s="185">
        <v>2020</v>
      </c>
      <c r="E7" s="183">
        <v>12</v>
      </c>
      <c r="F7" s="183" t="s">
        <v>632</v>
      </c>
      <c r="G7" s="183" t="s">
        <v>695</v>
      </c>
      <c r="H7" s="183" t="s">
        <v>696</v>
      </c>
      <c r="I7" s="183">
        <v>3</v>
      </c>
      <c r="J7" s="183" t="s">
        <v>473</v>
      </c>
      <c r="K7" s="183">
        <f>SUMIF(CF.1!$D:$D,'CFS(2개월)'!G7,CF.1!$U:$U)</f>
        <v>46029036772</v>
      </c>
      <c r="L7" s="183">
        <f>SUMIF('CF.1_2개월(단순차감)'!D:D,'CFS(2개월)'!G7,'CF.1_2개월(단순차감)'!AB:AB)</f>
        <v>-15789338077</v>
      </c>
      <c r="M7" s="186">
        <f>L7-K7</f>
        <v>-61818374849</v>
      </c>
      <c r="O7" s="182"/>
      <c r="P7" s="183">
        <f t="shared" si="0"/>
        <v>15789338077</v>
      </c>
      <c r="Q7" s="184"/>
      <c r="T7" s="5" t="s">
        <v>1816</v>
      </c>
      <c r="U7" s="5">
        <f>-SUMIF(T198_TB!M:M,'CFS(2개월)'!T7,T198_TB!$L:$L)</f>
        <v>222552493271</v>
      </c>
    </row>
    <row r="8" spans="4:21" ht="18" customHeight="1">
      <c r="D8" s="179">
        <v>2020</v>
      </c>
      <c r="E8" s="180">
        <v>12</v>
      </c>
      <c r="F8" s="180" t="s">
        <v>632</v>
      </c>
      <c r="G8" s="180" t="s">
        <v>697</v>
      </c>
      <c r="H8" s="180" t="s">
        <v>1485</v>
      </c>
      <c r="I8" s="180">
        <v>2</v>
      </c>
      <c r="J8" s="180" t="s">
        <v>473</v>
      </c>
      <c r="K8" s="180">
        <f>SUM(K9:K62)</f>
        <v>7538016657</v>
      </c>
      <c r="L8" s="180">
        <f>SUM(L9:L62)</f>
        <v>18011232721</v>
      </c>
      <c r="M8" s="181">
        <f>SUM(M9:M62)</f>
        <v>10473216064</v>
      </c>
      <c r="O8" s="182"/>
      <c r="P8" s="183">
        <f t="shared" si="0"/>
        <v>-18011232721</v>
      </c>
      <c r="Q8" s="184"/>
      <c r="T8" s="5" t="s">
        <v>1915</v>
      </c>
      <c r="U8" s="5">
        <f>-SUMIF(T198_TB!M:M,'CFS(2개월)'!T8,T198_TB!$L:$L)</f>
        <v>0</v>
      </c>
    </row>
    <row r="9" spans="4:21" s="190" customFormat="1" ht="18" customHeight="1">
      <c r="D9" s="187">
        <v>2020</v>
      </c>
      <c r="E9" s="188">
        <v>12</v>
      </c>
      <c r="F9" s="188" t="s">
        <v>632</v>
      </c>
      <c r="G9" s="188" t="s">
        <v>699</v>
      </c>
      <c r="H9" s="188" t="s">
        <v>488</v>
      </c>
      <c r="I9" s="188">
        <v>3</v>
      </c>
      <c r="J9" s="188" t="s">
        <v>473</v>
      </c>
      <c r="K9" s="183">
        <f>SUMIF(CF.1!$D:$D,'CFS(2개월)'!G9,CF.1!$U:$U)</f>
        <v>1054349734</v>
      </c>
      <c r="L9" s="183">
        <f>SUMIF('CF.1_2개월(단순차감)'!D:D,'CFS(2개월)'!G9,'CF.1_2개월(단순차감)'!AB:AB)</f>
        <v>914025569</v>
      </c>
      <c r="M9" s="189">
        <f t="shared" ref="M9:M62" si="1">L9-K9</f>
        <v>-140324165</v>
      </c>
      <c r="O9" s="191"/>
      <c r="P9" s="183">
        <f t="shared" si="0"/>
        <v>-914025569</v>
      </c>
      <c r="Q9" s="192" t="s">
        <v>1677</v>
      </c>
      <c r="R9" s="190">
        <f>L9-T_IS!X47-T_IS!X48-T_IS!X49-T_IS!X50-T_IS!X51-T_IS!X52</f>
        <v>-2084883648</v>
      </c>
      <c r="T9" s="190" t="s">
        <v>1916</v>
      </c>
      <c r="U9" s="190">
        <f>SUM(U7:U8)</f>
        <v>222552493271</v>
      </c>
    </row>
    <row r="10" spans="4:21" ht="18" customHeight="1">
      <c r="D10" s="185">
        <v>2020</v>
      </c>
      <c r="E10" s="183">
        <v>12</v>
      </c>
      <c r="F10" s="183" t="s">
        <v>632</v>
      </c>
      <c r="G10" s="183" t="s">
        <v>700</v>
      </c>
      <c r="H10" s="183" t="s">
        <v>386</v>
      </c>
      <c r="I10" s="188">
        <v>3</v>
      </c>
      <c r="J10" s="183" t="s">
        <v>473</v>
      </c>
      <c r="K10" s="183">
        <f>SUMIF(CF.1!$D:$D,'CFS(2개월)'!G10,CF.1!$U:$U)</f>
        <v>2714238500</v>
      </c>
      <c r="L10" s="183">
        <f>SUMIF('CF.1_2개월(단순차감)'!D:D,'CFS(2개월)'!G10,'CF.1_2개월(단순차감)'!AB:AB)</f>
        <v>662686099</v>
      </c>
      <c r="M10" s="186">
        <f t="shared" si="1"/>
        <v>-2051552401</v>
      </c>
      <c r="O10" s="191"/>
      <c r="P10" s="183">
        <f t="shared" si="0"/>
        <v>-662686099</v>
      </c>
      <c r="Q10" s="184"/>
      <c r="R10" s="5">
        <v>114157326</v>
      </c>
      <c r="U10" s="5">
        <f>L7-U9</f>
        <v>-238341831348</v>
      </c>
    </row>
    <row r="11" spans="4:21" ht="18" customHeight="1">
      <c r="D11" s="185">
        <v>2020</v>
      </c>
      <c r="E11" s="183">
        <v>12</v>
      </c>
      <c r="F11" s="183" t="s">
        <v>632</v>
      </c>
      <c r="G11" s="183" t="s">
        <v>701</v>
      </c>
      <c r="H11" s="183" t="s">
        <v>262</v>
      </c>
      <c r="I11" s="188">
        <v>3</v>
      </c>
      <c r="J11" s="183" t="s">
        <v>473</v>
      </c>
      <c r="K11" s="183">
        <f>SUMIF(CF.1!$D:$D,'CFS(2개월)'!G11,CF.1!$U:$U)</f>
        <v>1438114849</v>
      </c>
      <c r="L11" s="183">
        <f>SUMIF('CF.1_2개월(단순차감)'!D:D,'CFS(2개월)'!G11,'CF.1_2개월(단순차감)'!AB:AB)</f>
        <v>318619230</v>
      </c>
      <c r="M11" s="186">
        <f t="shared" si="1"/>
        <v>-1119495619</v>
      </c>
      <c r="O11" s="191"/>
      <c r="P11" s="183">
        <f t="shared" si="0"/>
        <v>-318619230</v>
      </c>
      <c r="Q11" s="184"/>
      <c r="R11" s="5">
        <f>R9-R10</f>
        <v>-2199040974</v>
      </c>
    </row>
    <row r="12" spans="4:21" ht="18" customHeight="1">
      <c r="D12" s="185">
        <v>2020</v>
      </c>
      <c r="E12" s="183">
        <v>12</v>
      </c>
      <c r="F12" s="183" t="s">
        <v>632</v>
      </c>
      <c r="G12" s="183" t="s">
        <v>702</v>
      </c>
      <c r="H12" s="183" t="s">
        <v>302</v>
      </c>
      <c r="I12" s="188">
        <v>3</v>
      </c>
      <c r="J12" s="183" t="s">
        <v>473</v>
      </c>
      <c r="K12" s="183">
        <f>SUMIF(CF.1!$D:$D,'CFS(2개월)'!G12,CF.1!$U:$U)</f>
        <v>11147782</v>
      </c>
      <c r="L12" s="183">
        <f>SUMIF('CF.1_2개월(단순차감)'!D:D,'CFS(2개월)'!G12,'CF.1_2개월(단순차감)'!AB:AB)</f>
        <v>-187445938</v>
      </c>
      <c r="M12" s="186">
        <f t="shared" si="1"/>
        <v>-198593720</v>
      </c>
      <c r="O12" s="191"/>
      <c r="P12" s="183">
        <f t="shared" si="0"/>
        <v>187445938</v>
      </c>
      <c r="Q12" s="184"/>
    </row>
    <row r="13" spans="4:21" ht="18" customHeight="1">
      <c r="D13" s="185">
        <v>2020</v>
      </c>
      <c r="E13" s="183">
        <v>12</v>
      </c>
      <c r="F13" s="183" t="s">
        <v>632</v>
      </c>
      <c r="G13" s="183" t="s">
        <v>703</v>
      </c>
      <c r="H13" s="183" t="s">
        <v>683</v>
      </c>
      <c r="I13" s="188">
        <v>3</v>
      </c>
      <c r="J13" s="183" t="s">
        <v>473</v>
      </c>
      <c r="K13" s="183">
        <f>SUMIF(CF.1!$D:$D,'CFS(2개월)'!G13,CF.1!$U:$U)</f>
        <v>103356804</v>
      </c>
      <c r="L13" s="183">
        <f>SUMIF('CF.1_2개월(단순차감)'!D:D,'CFS(2개월)'!G13,'CF.1_2개월(단순차감)'!AB:AB)</f>
        <v>-2767196</v>
      </c>
      <c r="M13" s="186">
        <f t="shared" si="1"/>
        <v>-106124000</v>
      </c>
      <c r="O13" s="191"/>
      <c r="P13" s="183">
        <f t="shared" si="0"/>
        <v>2767196</v>
      </c>
      <c r="Q13" s="184"/>
    </row>
    <row r="14" spans="4:21" ht="18" customHeight="1">
      <c r="D14" s="185">
        <v>2020</v>
      </c>
      <c r="E14" s="183">
        <v>12</v>
      </c>
      <c r="F14" s="183" t="s">
        <v>632</v>
      </c>
      <c r="G14" s="183" t="s">
        <v>704</v>
      </c>
      <c r="H14" s="183" t="s">
        <v>705</v>
      </c>
      <c r="I14" s="188">
        <v>3</v>
      </c>
      <c r="J14" s="183" t="s">
        <v>473</v>
      </c>
      <c r="K14" s="183">
        <f>SUMIF(CF.1!$D:$D,'CFS(2개월)'!G14,CF.1!$U:$U)</f>
        <v>0</v>
      </c>
      <c r="L14" s="183">
        <f>SUMIF('CF.1_2개월(단순차감)'!D:D,'CFS(2개월)'!G14,'CF.1_2개월(단순차감)'!AB:AB)</f>
        <v>0</v>
      </c>
      <c r="M14" s="186">
        <f t="shared" si="1"/>
        <v>0</v>
      </c>
      <c r="O14" s="191"/>
      <c r="P14" s="183">
        <f t="shared" si="0"/>
        <v>0</v>
      </c>
      <c r="Q14" s="184"/>
    </row>
    <row r="15" spans="4:21" ht="18" customHeight="1">
      <c r="D15" s="185">
        <v>2020</v>
      </c>
      <c r="E15" s="183">
        <v>12</v>
      </c>
      <c r="F15" s="183" t="s">
        <v>632</v>
      </c>
      <c r="G15" s="183" t="s">
        <v>706</v>
      </c>
      <c r="H15" s="183" t="s">
        <v>707</v>
      </c>
      <c r="I15" s="188">
        <v>3</v>
      </c>
      <c r="J15" s="183" t="s">
        <v>473</v>
      </c>
      <c r="K15" s="183">
        <f>SUMIF(CF.1!$D:$D,'CFS(2개월)'!G15,CF.1!$U:$U)</f>
        <v>0</v>
      </c>
      <c r="L15" s="183">
        <f>SUMIF('CF.1_2개월(단순차감)'!D:D,'CFS(2개월)'!G15,'CF.1_2개월(단순차감)'!AB:AB)</f>
        <v>0</v>
      </c>
      <c r="M15" s="186">
        <f t="shared" si="1"/>
        <v>0</v>
      </c>
      <c r="O15" s="191"/>
      <c r="P15" s="183">
        <f t="shared" si="0"/>
        <v>0</v>
      </c>
      <c r="Q15" s="184"/>
    </row>
    <row r="16" spans="4:21" ht="18" customHeight="1">
      <c r="D16" s="185">
        <v>2020</v>
      </c>
      <c r="E16" s="183">
        <v>12</v>
      </c>
      <c r="F16" s="183" t="s">
        <v>632</v>
      </c>
      <c r="G16" s="183" t="s">
        <v>1486</v>
      </c>
      <c r="H16" s="183" t="s">
        <v>1487</v>
      </c>
      <c r="I16" s="188">
        <v>3</v>
      </c>
      <c r="J16" s="183" t="s">
        <v>473</v>
      </c>
      <c r="K16" s="183">
        <f>SUMIF(CF.1!$D:$D,'CFS(2개월)'!G16,CF.1!$U:$U)</f>
        <v>0</v>
      </c>
      <c r="L16" s="183">
        <f>SUMIF('CF.1_2개월(단순차감)'!D:D,'CFS(2개월)'!G16,'CF.1_2개월(단순차감)'!AB:AB)</f>
        <v>0</v>
      </c>
      <c r="M16" s="186">
        <f t="shared" si="1"/>
        <v>0</v>
      </c>
      <c r="O16" s="191"/>
      <c r="P16" s="183">
        <f t="shared" si="0"/>
        <v>0</v>
      </c>
      <c r="Q16" s="184"/>
    </row>
    <row r="17" spans="4:17" ht="18" customHeight="1">
      <c r="D17" s="185">
        <v>2020</v>
      </c>
      <c r="E17" s="183">
        <v>12</v>
      </c>
      <c r="F17" s="183" t="s">
        <v>632</v>
      </c>
      <c r="G17" s="183" t="s">
        <v>1488</v>
      </c>
      <c r="H17" s="183" t="s">
        <v>1489</v>
      </c>
      <c r="I17" s="188">
        <v>3</v>
      </c>
      <c r="J17" s="183" t="s">
        <v>473</v>
      </c>
      <c r="K17" s="183">
        <f>SUMIF(CF.1!$D:$D,'CFS(2개월)'!G17,CF.1!$U:$U)</f>
        <v>0</v>
      </c>
      <c r="L17" s="183">
        <f>SUMIF('CF.1_2개월(단순차감)'!D:D,'CFS(2개월)'!G17,'CF.1_2개월(단순차감)'!AB:AB)</f>
        <v>0</v>
      </c>
      <c r="M17" s="186">
        <f t="shared" si="1"/>
        <v>0</v>
      </c>
      <c r="O17" s="191"/>
      <c r="P17" s="183">
        <f t="shared" si="0"/>
        <v>0</v>
      </c>
      <c r="Q17" s="184"/>
    </row>
    <row r="18" spans="4:17" ht="18" customHeight="1">
      <c r="D18" s="185">
        <v>2020</v>
      </c>
      <c r="E18" s="183">
        <v>12</v>
      </c>
      <c r="F18" s="183" t="s">
        <v>632</v>
      </c>
      <c r="G18" s="183" t="s">
        <v>708</v>
      </c>
      <c r="H18" s="183" t="s">
        <v>709</v>
      </c>
      <c r="I18" s="188">
        <v>3</v>
      </c>
      <c r="J18" s="183" t="s">
        <v>473</v>
      </c>
      <c r="K18" s="183">
        <f>SUMIF(CF.1!$D:$D,'CFS(2개월)'!G18,CF.1!$U:$U)</f>
        <v>0</v>
      </c>
      <c r="L18" s="183">
        <f>SUMIF('CF.1_2개월(단순차감)'!D:D,'CFS(2개월)'!G18,'CF.1_2개월(단순차감)'!AB:AB)</f>
        <v>0</v>
      </c>
      <c r="M18" s="186">
        <f t="shared" si="1"/>
        <v>0</v>
      </c>
      <c r="O18" s="191"/>
      <c r="P18" s="183">
        <f t="shared" si="0"/>
        <v>0</v>
      </c>
      <c r="Q18" s="184"/>
    </row>
    <row r="19" spans="4:17" ht="18" customHeight="1">
      <c r="D19" s="185">
        <v>2020</v>
      </c>
      <c r="E19" s="183">
        <v>12</v>
      </c>
      <c r="F19" s="183" t="s">
        <v>632</v>
      </c>
      <c r="G19" s="183" t="s">
        <v>710</v>
      </c>
      <c r="H19" s="183" t="s">
        <v>711</v>
      </c>
      <c r="I19" s="188">
        <v>3</v>
      </c>
      <c r="J19" s="183" t="s">
        <v>473</v>
      </c>
      <c r="K19" s="183">
        <f>SUMIF(CF.1!$D:$D,'CFS(2개월)'!G19,CF.1!$U:$U)</f>
        <v>0</v>
      </c>
      <c r="L19" s="183">
        <f>SUMIF('CF.1_2개월(단순차감)'!D:D,'CFS(2개월)'!G19,'CF.1_2개월(단순차감)'!AB:AB)</f>
        <v>0</v>
      </c>
      <c r="M19" s="186">
        <f t="shared" si="1"/>
        <v>0</v>
      </c>
      <c r="O19" s="191"/>
      <c r="P19" s="183">
        <f t="shared" si="0"/>
        <v>0</v>
      </c>
      <c r="Q19" s="184"/>
    </row>
    <row r="20" spans="4:17" ht="18" customHeight="1">
      <c r="D20" s="185">
        <v>2020</v>
      </c>
      <c r="E20" s="183">
        <v>12</v>
      </c>
      <c r="F20" s="183" t="s">
        <v>632</v>
      </c>
      <c r="G20" s="183" t="s">
        <v>712</v>
      </c>
      <c r="H20" s="183" t="s">
        <v>713</v>
      </c>
      <c r="I20" s="188">
        <v>3</v>
      </c>
      <c r="J20" s="183" t="s">
        <v>473</v>
      </c>
      <c r="K20" s="183">
        <f>SUMIF(CF.1!$D:$D,'CFS(2개월)'!G20,CF.1!$U:$U)</f>
        <v>0</v>
      </c>
      <c r="L20" s="183">
        <f>SUMIF('CF.1_2개월(단순차감)'!D:D,'CFS(2개월)'!G20,'CF.1_2개월(단순차감)'!AB:AB)</f>
        <v>0</v>
      </c>
      <c r="M20" s="186">
        <f t="shared" si="1"/>
        <v>0</v>
      </c>
      <c r="O20" s="191"/>
      <c r="P20" s="183">
        <f t="shared" si="0"/>
        <v>0</v>
      </c>
      <c r="Q20" s="184"/>
    </row>
    <row r="21" spans="4:17" ht="18" customHeight="1">
      <c r="D21" s="185">
        <v>2020</v>
      </c>
      <c r="E21" s="183">
        <v>12</v>
      </c>
      <c r="F21" s="183" t="s">
        <v>632</v>
      </c>
      <c r="G21" s="183" t="s">
        <v>714</v>
      </c>
      <c r="H21" s="183" t="s">
        <v>715</v>
      </c>
      <c r="I21" s="188">
        <v>3</v>
      </c>
      <c r="J21" s="183" t="s">
        <v>473</v>
      </c>
      <c r="K21" s="183">
        <f>SUMIF(CF.1!$D:$D,'CFS(2개월)'!G21,CF.1!$U:$U)</f>
        <v>766553853</v>
      </c>
      <c r="L21" s="183">
        <f>SUMIF('CF.1_2개월(단순차감)'!D:D,'CFS(2개월)'!G21,'CF.1_2개월(단순차감)'!AB:AB)</f>
        <v>0</v>
      </c>
      <c r="M21" s="186">
        <f t="shared" si="1"/>
        <v>-766553853</v>
      </c>
      <c r="O21" s="191"/>
      <c r="P21" s="183">
        <f t="shared" si="0"/>
        <v>0</v>
      </c>
      <c r="Q21" s="184"/>
    </row>
    <row r="22" spans="4:17" ht="18" customHeight="1">
      <c r="D22" s="185">
        <v>2020</v>
      </c>
      <c r="E22" s="183">
        <v>12</v>
      </c>
      <c r="F22" s="183" t="s">
        <v>632</v>
      </c>
      <c r="G22" s="183" t="s">
        <v>716</v>
      </c>
      <c r="H22" s="183" t="s">
        <v>717</v>
      </c>
      <c r="I22" s="188">
        <v>3</v>
      </c>
      <c r="J22" s="183" t="s">
        <v>473</v>
      </c>
      <c r="K22" s="183">
        <f>SUMIF(CF.1!$D:$D,'CFS(2개월)'!G22,CF.1!$U:$U)</f>
        <v>0</v>
      </c>
      <c r="L22" s="183">
        <f>SUMIF('CF.1_2개월(단순차감)'!D:D,'CFS(2개월)'!G22,'CF.1_2개월(단순차감)'!AB:AB)</f>
        <v>0</v>
      </c>
      <c r="M22" s="186">
        <f t="shared" si="1"/>
        <v>0</v>
      </c>
      <c r="O22" s="191"/>
      <c r="P22" s="183">
        <f t="shared" si="0"/>
        <v>0</v>
      </c>
      <c r="Q22" s="184"/>
    </row>
    <row r="23" spans="4:17" ht="18" customHeight="1">
      <c r="D23" s="185">
        <v>2020</v>
      </c>
      <c r="E23" s="183">
        <v>12</v>
      </c>
      <c r="F23" s="183" t="s">
        <v>632</v>
      </c>
      <c r="G23" s="183" t="s">
        <v>718</v>
      </c>
      <c r="H23" s="183" t="s">
        <v>719</v>
      </c>
      <c r="I23" s="188">
        <v>3</v>
      </c>
      <c r="J23" s="183" t="s">
        <v>473</v>
      </c>
      <c r="K23" s="183">
        <f>SUMIF(CF.1!$D:$D,'CFS(2개월)'!G23,CF.1!$U:$U)</f>
        <v>0</v>
      </c>
      <c r="L23" s="183">
        <f>SUMIF('CF.1_2개월(단순차감)'!D:D,'CFS(2개월)'!G23,'CF.1_2개월(단순차감)'!AB:AB)</f>
        <v>0</v>
      </c>
      <c r="M23" s="186">
        <f t="shared" si="1"/>
        <v>0</v>
      </c>
      <c r="O23" s="191"/>
      <c r="P23" s="183">
        <f t="shared" si="0"/>
        <v>0</v>
      </c>
      <c r="Q23" s="184"/>
    </row>
    <row r="24" spans="4:17" ht="18" customHeight="1">
      <c r="D24" s="185">
        <v>2020</v>
      </c>
      <c r="E24" s="183">
        <v>12</v>
      </c>
      <c r="F24" s="183" t="s">
        <v>632</v>
      </c>
      <c r="G24" s="183" t="s">
        <v>720</v>
      </c>
      <c r="H24" s="183" t="s">
        <v>721</v>
      </c>
      <c r="I24" s="188">
        <v>3</v>
      </c>
      <c r="J24" s="183" t="s">
        <v>473</v>
      </c>
      <c r="K24" s="183">
        <f>SUMIF(CF.1!$D:$D,'CFS(2개월)'!G24,CF.1!$U:$U)</f>
        <v>0</v>
      </c>
      <c r="L24" s="183">
        <f>SUMIF('CF.1_2개월(단순차감)'!D:D,'CFS(2개월)'!G24,'CF.1_2개월(단순차감)'!AB:AB)</f>
        <v>0</v>
      </c>
      <c r="M24" s="186">
        <f t="shared" si="1"/>
        <v>0</v>
      </c>
      <c r="O24" s="191"/>
      <c r="P24" s="183">
        <f t="shared" si="0"/>
        <v>0</v>
      </c>
      <c r="Q24" s="184"/>
    </row>
    <row r="25" spans="4:17" ht="18" customHeight="1">
      <c r="D25" s="185">
        <v>2020</v>
      </c>
      <c r="E25" s="183">
        <v>12</v>
      </c>
      <c r="F25" s="183" t="s">
        <v>632</v>
      </c>
      <c r="G25" s="183" t="s">
        <v>722</v>
      </c>
      <c r="H25" s="183" t="s">
        <v>723</v>
      </c>
      <c r="I25" s="188">
        <v>3</v>
      </c>
      <c r="J25" s="183" t="s">
        <v>473</v>
      </c>
      <c r="K25" s="183">
        <f>SUMIF(CF.1!$D:$D,'CFS(2개월)'!G25,CF.1!$U:$U)</f>
        <v>0</v>
      </c>
      <c r="L25" s="183">
        <f>SUMIF('CF.1_2개월(단순차감)'!D:D,'CFS(2개월)'!G25,'CF.1_2개월(단순차감)'!AB:AB)</f>
        <v>0</v>
      </c>
      <c r="M25" s="186">
        <f t="shared" si="1"/>
        <v>0</v>
      </c>
      <c r="O25" s="191"/>
      <c r="P25" s="183">
        <f t="shared" si="0"/>
        <v>0</v>
      </c>
      <c r="Q25" s="184"/>
    </row>
    <row r="26" spans="4:17" ht="18" customHeight="1">
      <c r="D26" s="185">
        <v>2020</v>
      </c>
      <c r="E26" s="183">
        <v>12</v>
      </c>
      <c r="F26" s="183" t="s">
        <v>632</v>
      </c>
      <c r="G26" s="183" t="s">
        <v>724</v>
      </c>
      <c r="H26" s="183" t="s">
        <v>725</v>
      </c>
      <c r="I26" s="188">
        <v>3</v>
      </c>
      <c r="J26" s="183" t="s">
        <v>473</v>
      </c>
      <c r="K26" s="183">
        <f>SUMIF(CF.1!$D:$D,'CFS(2개월)'!G26,CF.1!$U:$U)</f>
        <v>0</v>
      </c>
      <c r="L26" s="183">
        <f>SUMIF('CF.1_2개월(단순차감)'!D:D,'CFS(2개월)'!G26,'CF.1_2개월(단순차감)'!AB:AB)</f>
        <v>0</v>
      </c>
      <c r="M26" s="186">
        <f t="shared" si="1"/>
        <v>0</v>
      </c>
      <c r="O26" s="191"/>
      <c r="P26" s="183">
        <f t="shared" si="0"/>
        <v>0</v>
      </c>
      <c r="Q26" s="184"/>
    </row>
    <row r="27" spans="4:17" ht="18" customHeight="1">
      <c r="D27" s="185">
        <v>2020</v>
      </c>
      <c r="E27" s="183">
        <v>12</v>
      </c>
      <c r="F27" s="183" t="s">
        <v>632</v>
      </c>
      <c r="G27" s="183" t="s">
        <v>726</v>
      </c>
      <c r="H27" s="183" t="s">
        <v>727</v>
      </c>
      <c r="I27" s="188">
        <v>3</v>
      </c>
      <c r="J27" s="183" t="s">
        <v>473</v>
      </c>
      <c r="K27" s="183">
        <f>SUMIF(CF.1!$D:$D,'CFS(2개월)'!G27,CF.1!$U:$U)</f>
        <v>0</v>
      </c>
      <c r="L27" s="183">
        <f>SUMIF('CF.1_2개월(단순차감)'!D:D,'CFS(2개월)'!G27,'CF.1_2개월(단순차감)'!AB:AB)</f>
        <v>0</v>
      </c>
      <c r="M27" s="186">
        <f t="shared" si="1"/>
        <v>0</v>
      </c>
      <c r="O27" s="191"/>
      <c r="P27" s="183">
        <f t="shared" si="0"/>
        <v>0</v>
      </c>
      <c r="Q27" s="184"/>
    </row>
    <row r="28" spans="4:17" ht="18" customHeight="1">
      <c r="D28" s="185">
        <v>2020</v>
      </c>
      <c r="E28" s="183">
        <v>12</v>
      </c>
      <c r="F28" s="183" t="s">
        <v>632</v>
      </c>
      <c r="G28" s="183" t="s">
        <v>728</v>
      </c>
      <c r="H28" s="183" t="s">
        <v>729</v>
      </c>
      <c r="I28" s="188">
        <v>3</v>
      </c>
      <c r="J28" s="183" t="s">
        <v>473</v>
      </c>
      <c r="K28" s="183">
        <f>SUMIF(CF.1!$D:$D,'CFS(2개월)'!G28,CF.1!$U:$U)</f>
        <v>0</v>
      </c>
      <c r="L28" s="183">
        <f>SUMIF('CF.1_2개월(단순차감)'!D:D,'CFS(2개월)'!G28,'CF.1_2개월(단순차감)'!AB:AB)</f>
        <v>0</v>
      </c>
      <c r="M28" s="186">
        <f t="shared" si="1"/>
        <v>0</v>
      </c>
      <c r="O28" s="191"/>
      <c r="P28" s="183">
        <f t="shared" si="0"/>
        <v>0</v>
      </c>
      <c r="Q28" s="184"/>
    </row>
    <row r="29" spans="4:17" ht="18" customHeight="1">
      <c r="D29" s="185">
        <v>2020</v>
      </c>
      <c r="E29" s="183">
        <v>12</v>
      </c>
      <c r="F29" s="183" t="s">
        <v>632</v>
      </c>
      <c r="G29" s="183" t="s">
        <v>730</v>
      </c>
      <c r="H29" s="183" t="s">
        <v>687</v>
      </c>
      <c r="I29" s="188">
        <v>3</v>
      </c>
      <c r="J29" s="183" t="s">
        <v>473</v>
      </c>
      <c r="K29" s="183">
        <f>SUMIF(CF.1!$D:$D,'CFS(2개월)'!G29,CF.1!$U:$U)</f>
        <v>0</v>
      </c>
      <c r="L29" s="183">
        <f>SUMIF('CF.1_2개월(단순차감)'!D:D,'CFS(2개월)'!G29,'CF.1_2개월(단순차감)'!AB:AB)</f>
        <v>0</v>
      </c>
      <c r="M29" s="186">
        <f t="shared" si="1"/>
        <v>0</v>
      </c>
      <c r="O29" s="191"/>
      <c r="P29" s="183">
        <f t="shared" si="0"/>
        <v>0</v>
      </c>
      <c r="Q29" s="184"/>
    </row>
    <row r="30" spans="4:17" ht="18" customHeight="1">
      <c r="D30" s="185">
        <v>2020</v>
      </c>
      <c r="E30" s="183">
        <v>12</v>
      </c>
      <c r="F30" s="183" t="s">
        <v>632</v>
      </c>
      <c r="G30" s="183" t="s">
        <v>731</v>
      </c>
      <c r="H30" s="183" t="s">
        <v>732</v>
      </c>
      <c r="I30" s="188">
        <v>3</v>
      </c>
      <c r="J30" s="183" t="s">
        <v>473</v>
      </c>
      <c r="K30" s="183">
        <f>SUMIF(CF.1!$D:$D,'CFS(2개월)'!G30,CF.1!$U:$U)</f>
        <v>62881122</v>
      </c>
      <c r="L30" s="183">
        <f>SUMIF('CF.1_2개월(단순차감)'!D:D,'CFS(2개월)'!G30,'CF.1_2개월(단순차감)'!AB:AB)</f>
        <v>0</v>
      </c>
      <c r="M30" s="186">
        <f t="shared" si="1"/>
        <v>-62881122</v>
      </c>
      <c r="O30" s="191"/>
      <c r="P30" s="183">
        <f t="shared" si="0"/>
        <v>0</v>
      </c>
      <c r="Q30" s="184"/>
    </row>
    <row r="31" spans="4:17" ht="18" customHeight="1">
      <c r="D31" s="185">
        <v>2020</v>
      </c>
      <c r="E31" s="183">
        <v>12</v>
      </c>
      <c r="F31" s="183" t="s">
        <v>632</v>
      </c>
      <c r="G31" s="183" t="s">
        <v>733</v>
      </c>
      <c r="H31" s="183" t="s">
        <v>734</v>
      </c>
      <c r="I31" s="188">
        <v>3</v>
      </c>
      <c r="J31" s="183" t="s">
        <v>473</v>
      </c>
      <c r="K31" s="183">
        <f>SUMIF(CF.1!$D:$D,'CFS(2개월)'!G31,CF.1!$U:$U)</f>
        <v>216671</v>
      </c>
      <c r="L31" s="183">
        <f>SUMIF('CF.1_2개월(단순차감)'!D:D,'CFS(2개월)'!G31,'CF.1_2개월(단순차감)'!AB:AB)</f>
        <v>1790214</v>
      </c>
      <c r="M31" s="186">
        <f t="shared" si="1"/>
        <v>1573543</v>
      </c>
      <c r="O31" s="191"/>
      <c r="P31" s="183">
        <f t="shared" si="0"/>
        <v>-1790214</v>
      </c>
      <c r="Q31" s="184"/>
    </row>
    <row r="32" spans="4:17" ht="18" customHeight="1">
      <c r="D32" s="185">
        <v>2020</v>
      </c>
      <c r="E32" s="183">
        <v>12</v>
      </c>
      <c r="F32" s="183" t="s">
        <v>632</v>
      </c>
      <c r="G32" s="183" t="s">
        <v>735</v>
      </c>
      <c r="H32" s="183" t="s">
        <v>481</v>
      </c>
      <c r="I32" s="188">
        <v>3</v>
      </c>
      <c r="J32" s="183" t="s">
        <v>473</v>
      </c>
      <c r="K32" s="183">
        <f>SUMIF(CF.1!$D:$D,'CFS(2개월)'!G32,CF.1!$U:$U)</f>
        <v>0</v>
      </c>
      <c r="L32" s="183">
        <f>SUMIF('CF.1_2개월(단순차감)'!D:D,'CFS(2개월)'!G32,'CF.1_2개월(단순차감)'!AB:AB)</f>
        <v>0</v>
      </c>
      <c r="M32" s="186">
        <f t="shared" si="1"/>
        <v>0</v>
      </c>
      <c r="O32" s="191"/>
      <c r="P32" s="183">
        <f t="shared" si="0"/>
        <v>0</v>
      </c>
      <c r="Q32" s="184"/>
    </row>
    <row r="33" spans="4:17" ht="18" customHeight="1">
      <c r="D33" s="185">
        <v>2020</v>
      </c>
      <c r="E33" s="183">
        <v>12</v>
      </c>
      <c r="F33" s="183" t="s">
        <v>632</v>
      </c>
      <c r="G33" s="183" t="s">
        <v>736</v>
      </c>
      <c r="H33" s="183" t="s">
        <v>686</v>
      </c>
      <c r="I33" s="188">
        <v>3</v>
      </c>
      <c r="J33" s="183" t="s">
        <v>473</v>
      </c>
      <c r="K33" s="183">
        <f>SUMIF(CF.1!$D:$D,'CFS(2개월)'!G33,CF.1!$U:$U)</f>
        <v>242686686</v>
      </c>
      <c r="L33" s="183">
        <f>SUMIF('CF.1_2개월(단순차감)'!D:D,'CFS(2개월)'!G33,'CF.1_2개월(단순차감)'!AB:AB)</f>
        <v>585423259</v>
      </c>
      <c r="M33" s="186">
        <f t="shared" si="1"/>
        <v>342736573</v>
      </c>
      <c r="O33" s="191"/>
      <c r="P33" s="183">
        <f t="shared" si="0"/>
        <v>-585423259</v>
      </c>
      <c r="Q33" s="184"/>
    </row>
    <row r="34" spans="4:17" ht="18" customHeight="1">
      <c r="D34" s="185">
        <v>2020</v>
      </c>
      <c r="E34" s="183">
        <v>12</v>
      </c>
      <c r="F34" s="183" t="s">
        <v>632</v>
      </c>
      <c r="G34" s="183" t="s">
        <v>737</v>
      </c>
      <c r="H34" s="183" t="s">
        <v>738</v>
      </c>
      <c r="I34" s="188">
        <v>3</v>
      </c>
      <c r="J34" s="183" t="s">
        <v>473</v>
      </c>
      <c r="K34" s="183">
        <f>SUMIF(CF.1!$D:$D,'CFS(2개월)'!G34,CF.1!$U:$U)</f>
        <v>150801848</v>
      </c>
      <c r="L34" s="183">
        <f>SUMIF('CF.1_2개월(단순차감)'!D:D,'CFS(2개월)'!G34,'CF.1_2개월(단순차감)'!AB:AB)</f>
        <v>0</v>
      </c>
      <c r="M34" s="186">
        <f t="shared" si="1"/>
        <v>-150801848</v>
      </c>
      <c r="O34" s="191"/>
      <c r="P34" s="183">
        <f t="shared" si="0"/>
        <v>0</v>
      </c>
      <c r="Q34" s="184" t="s">
        <v>1678</v>
      </c>
    </row>
    <row r="35" spans="4:17" ht="18" customHeight="1">
      <c r="D35" s="185">
        <v>2020</v>
      </c>
      <c r="E35" s="183">
        <v>12</v>
      </c>
      <c r="F35" s="183" t="s">
        <v>632</v>
      </c>
      <c r="G35" s="183" t="s">
        <v>739</v>
      </c>
      <c r="H35" s="183" t="s">
        <v>740</v>
      </c>
      <c r="I35" s="188">
        <v>3</v>
      </c>
      <c r="J35" s="183" t="s">
        <v>473</v>
      </c>
      <c r="K35" s="183">
        <f>SUMIF(CF.1!$D:$D,'CFS(2개월)'!G35,CF.1!$U:$U)</f>
        <v>0</v>
      </c>
      <c r="L35" s="183">
        <f>SUMIF('CF.1_2개월(단순차감)'!D:D,'CFS(2개월)'!G35,'CF.1_2개월(단순차감)'!AB:AB)</f>
        <v>0</v>
      </c>
      <c r="M35" s="186">
        <f t="shared" si="1"/>
        <v>0</v>
      </c>
      <c r="O35" s="191"/>
      <c r="P35" s="183">
        <f t="shared" si="0"/>
        <v>0</v>
      </c>
      <c r="Q35" s="184"/>
    </row>
    <row r="36" spans="4:17" ht="18" customHeight="1">
      <c r="D36" s="185">
        <v>2020</v>
      </c>
      <c r="E36" s="183">
        <v>12</v>
      </c>
      <c r="F36" s="183" t="s">
        <v>632</v>
      </c>
      <c r="G36" s="183" t="s">
        <v>741</v>
      </c>
      <c r="H36" s="183" t="s">
        <v>742</v>
      </c>
      <c r="I36" s="188">
        <v>3</v>
      </c>
      <c r="J36" s="183" t="s">
        <v>473</v>
      </c>
      <c r="K36" s="183">
        <f>SUMIF(CF.1!$D:$D,'CFS(2개월)'!G36,CF.1!$U:$U)</f>
        <v>0</v>
      </c>
      <c r="L36" s="183">
        <f>SUMIF('CF.1_2개월(단순차감)'!D:D,'CFS(2개월)'!G36,'CF.1_2개월(단순차감)'!AB:AB)</f>
        <v>0</v>
      </c>
      <c r="M36" s="186">
        <f t="shared" si="1"/>
        <v>0</v>
      </c>
      <c r="O36" s="191"/>
      <c r="P36" s="183">
        <f t="shared" si="0"/>
        <v>0</v>
      </c>
      <c r="Q36" s="184"/>
    </row>
    <row r="37" spans="4:17" ht="18" customHeight="1">
      <c r="D37" s="185">
        <v>2020</v>
      </c>
      <c r="E37" s="183">
        <v>12</v>
      </c>
      <c r="F37" s="183" t="s">
        <v>632</v>
      </c>
      <c r="G37" s="183" t="s">
        <v>743</v>
      </c>
      <c r="H37" s="183" t="s">
        <v>744</v>
      </c>
      <c r="I37" s="188">
        <v>3</v>
      </c>
      <c r="J37" s="183" t="s">
        <v>473</v>
      </c>
      <c r="K37" s="183">
        <f>SUMIF(CF.1!$D:$D,'CFS(2개월)'!G37,CF.1!$U:$U)</f>
        <v>418674455</v>
      </c>
      <c r="L37" s="183">
        <f>SUMIF('CF.1_2개월(단순차감)'!D:D,'CFS(2개월)'!G37,'CF.1_2개월(단순차감)'!AB:AB)</f>
        <v>30108708</v>
      </c>
      <c r="M37" s="186">
        <f t="shared" si="1"/>
        <v>-388565747</v>
      </c>
      <c r="O37" s="191"/>
      <c r="P37" s="183">
        <f t="shared" si="0"/>
        <v>-30108708</v>
      </c>
      <c r="Q37" s="184"/>
    </row>
    <row r="38" spans="4:17" ht="18" customHeight="1">
      <c r="D38" s="185">
        <v>2020</v>
      </c>
      <c r="E38" s="183">
        <v>12</v>
      </c>
      <c r="F38" s="183" t="s">
        <v>632</v>
      </c>
      <c r="G38" s="183" t="s">
        <v>745</v>
      </c>
      <c r="H38" s="183" t="s">
        <v>746</v>
      </c>
      <c r="I38" s="188">
        <v>3</v>
      </c>
      <c r="J38" s="183" t="s">
        <v>473</v>
      </c>
      <c r="K38" s="183">
        <f>SUMIF(CF.1!$D:$D,'CFS(2개월)'!G38,CF.1!$U:$U)</f>
        <v>0</v>
      </c>
      <c r="L38" s="183">
        <f>SUMIF('CF.1_2개월(단순차감)'!D:D,'CFS(2개월)'!G38,'CF.1_2개월(단순차감)'!AB:AB)</f>
        <v>0</v>
      </c>
      <c r="M38" s="186">
        <f t="shared" si="1"/>
        <v>0</v>
      </c>
      <c r="O38" s="191"/>
      <c r="P38" s="183">
        <f t="shared" si="0"/>
        <v>0</v>
      </c>
      <c r="Q38" s="184"/>
    </row>
    <row r="39" spans="4:17" ht="18" customHeight="1">
      <c r="D39" s="185">
        <v>2020</v>
      </c>
      <c r="E39" s="183">
        <v>12</v>
      </c>
      <c r="F39" s="183" t="s">
        <v>632</v>
      </c>
      <c r="G39" s="183" t="s">
        <v>747</v>
      </c>
      <c r="H39" s="183" t="s">
        <v>748</v>
      </c>
      <c r="I39" s="188">
        <v>3</v>
      </c>
      <c r="J39" s="183" t="s">
        <v>473</v>
      </c>
      <c r="K39" s="183">
        <f>SUMIF(CF.1!$D:$D,'CFS(2개월)'!G39,CF.1!$U:$U)</f>
        <v>0</v>
      </c>
      <c r="L39" s="183">
        <f>SUMIF('CF.1_2개월(단순차감)'!D:D,'CFS(2개월)'!G39,'CF.1_2개월(단순차감)'!AB:AB)</f>
        <v>0</v>
      </c>
      <c r="M39" s="186">
        <f t="shared" si="1"/>
        <v>0</v>
      </c>
      <c r="O39" s="191"/>
      <c r="P39" s="183">
        <f t="shared" si="0"/>
        <v>0</v>
      </c>
      <c r="Q39" s="184"/>
    </row>
    <row r="40" spans="4:17" ht="18" customHeight="1">
      <c r="D40" s="185">
        <v>2020</v>
      </c>
      <c r="E40" s="183">
        <v>12</v>
      </c>
      <c r="F40" s="183" t="s">
        <v>632</v>
      </c>
      <c r="G40" s="183" t="s">
        <v>749</v>
      </c>
      <c r="H40" s="183" t="s">
        <v>750</v>
      </c>
      <c r="I40" s="188">
        <v>3</v>
      </c>
      <c r="J40" s="183" t="s">
        <v>473</v>
      </c>
      <c r="K40" s="183">
        <f>SUMIF(CF.1!$D:$D,'CFS(2개월)'!G40,CF.1!$U:$U)</f>
        <v>0</v>
      </c>
      <c r="L40" s="183">
        <f>SUMIF('CF.1_2개월(단순차감)'!D:D,'CFS(2개월)'!G40,'CF.1_2개월(단순차감)'!AB:AB)</f>
        <v>0</v>
      </c>
      <c r="M40" s="186">
        <f t="shared" si="1"/>
        <v>0</v>
      </c>
      <c r="O40" s="191"/>
      <c r="P40" s="183">
        <f t="shared" si="0"/>
        <v>0</v>
      </c>
      <c r="Q40" s="184"/>
    </row>
    <row r="41" spans="4:17" ht="18" customHeight="1">
      <c r="D41" s="185">
        <v>2020</v>
      </c>
      <c r="E41" s="183">
        <v>12</v>
      </c>
      <c r="F41" s="183" t="s">
        <v>632</v>
      </c>
      <c r="G41" s="183" t="s">
        <v>751</v>
      </c>
      <c r="H41" s="183" t="s">
        <v>752</v>
      </c>
      <c r="I41" s="188">
        <v>3</v>
      </c>
      <c r="J41" s="183" t="s">
        <v>473</v>
      </c>
      <c r="K41" s="183">
        <f>SUMIF(CF.1!$D:$D,'CFS(2개월)'!G41,CF.1!$U:$U)</f>
        <v>0</v>
      </c>
      <c r="L41" s="183">
        <f>SUMIF('CF.1_2개월(단순차감)'!D:D,'CFS(2개월)'!G41,'CF.1_2개월(단순차감)'!AB:AB)</f>
        <v>0</v>
      </c>
      <c r="M41" s="186">
        <f t="shared" si="1"/>
        <v>0</v>
      </c>
      <c r="O41" s="191"/>
      <c r="P41" s="183">
        <f t="shared" si="0"/>
        <v>0</v>
      </c>
      <c r="Q41" s="184"/>
    </row>
    <row r="42" spans="4:17" ht="18" customHeight="1">
      <c r="D42" s="185">
        <v>2020</v>
      </c>
      <c r="E42" s="183">
        <v>12</v>
      </c>
      <c r="F42" s="183" t="s">
        <v>632</v>
      </c>
      <c r="G42" s="183" t="s">
        <v>753</v>
      </c>
      <c r="H42" s="183" t="s">
        <v>754</v>
      </c>
      <c r="I42" s="188">
        <v>3</v>
      </c>
      <c r="J42" s="183" t="s">
        <v>473</v>
      </c>
      <c r="K42" s="183">
        <f>SUMIF(CF.1!$D:$D,'CFS(2개월)'!G42,CF.1!$U:$U)</f>
        <v>0</v>
      </c>
      <c r="L42" s="183">
        <f>SUMIF('CF.1_2개월(단순차감)'!D:D,'CFS(2개월)'!G42,'CF.1_2개월(단순차감)'!AB:AB)</f>
        <v>0</v>
      </c>
      <c r="M42" s="186">
        <f t="shared" si="1"/>
        <v>0</v>
      </c>
      <c r="O42" s="191"/>
      <c r="P42" s="183">
        <f t="shared" si="0"/>
        <v>0</v>
      </c>
      <c r="Q42" s="184"/>
    </row>
    <row r="43" spans="4:17" ht="18" customHeight="1">
      <c r="D43" s="185">
        <v>2020</v>
      </c>
      <c r="E43" s="183">
        <v>12</v>
      </c>
      <c r="F43" s="183" t="s">
        <v>632</v>
      </c>
      <c r="G43" s="183" t="s">
        <v>755</v>
      </c>
      <c r="H43" s="183" t="s">
        <v>756</v>
      </c>
      <c r="I43" s="188">
        <v>3</v>
      </c>
      <c r="J43" s="183" t="s">
        <v>473</v>
      </c>
      <c r="K43" s="183">
        <f>SUMIF(CF.1!$D:$D,'CFS(2개월)'!G43,CF.1!$U:$U)</f>
        <v>0</v>
      </c>
      <c r="L43" s="183">
        <f>SUMIF('CF.1_2개월(단순차감)'!D:D,'CFS(2개월)'!G43,'CF.1_2개월(단순차감)'!AB:AB)</f>
        <v>0</v>
      </c>
      <c r="M43" s="186">
        <f t="shared" si="1"/>
        <v>0</v>
      </c>
      <c r="O43" s="191"/>
      <c r="P43" s="183">
        <f t="shared" si="0"/>
        <v>0</v>
      </c>
      <c r="Q43" s="184"/>
    </row>
    <row r="44" spans="4:17" ht="18" customHeight="1">
      <c r="D44" s="185">
        <v>2020</v>
      </c>
      <c r="E44" s="183">
        <v>12</v>
      </c>
      <c r="F44" s="183" t="s">
        <v>632</v>
      </c>
      <c r="G44" s="183" t="s">
        <v>757</v>
      </c>
      <c r="H44" s="183" t="s">
        <v>758</v>
      </c>
      <c r="I44" s="188">
        <v>3</v>
      </c>
      <c r="J44" s="183" t="s">
        <v>473</v>
      </c>
      <c r="K44" s="183">
        <f>SUMIF(CF.1!$D:$D,'CFS(2개월)'!G44,CF.1!$U:$U)</f>
        <v>-56133700</v>
      </c>
      <c r="L44" s="183">
        <f>SUMIF('CF.1_2개월(단순차감)'!D:D,'CFS(2개월)'!G44,'CF.1_2개월(단순차감)'!AB:AB)</f>
        <v>32978699</v>
      </c>
      <c r="M44" s="186">
        <f t="shared" si="1"/>
        <v>89112399</v>
      </c>
      <c r="O44" s="191"/>
      <c r="P44" s="183">
        <f t="shared" si="0"/>
        <v>-32978699</v>
      </c>
      <c r="Q44" s="184"/>
    </row>
    <row r="45" spans="4:17" ht="18" customHeight="1">
      <c r="D45" s="185">
        <v>2020</v>
      </c>
      <c r="E45" s="183">
        <v>12</v>
      </c>
      <c r="F45" s="183" t="s">
        <v>632</v>
      </c>
      <c r="G45" s="183" t="s">
        <v>759</v>
      </c>
      <c r="H45" s="183" t="s">
        <v>760</v>
      </c>
      <c r="I45" s="188">
        <v>3</v>
      </c>
      <c r="J45" s="183" t="s">
        <v>473</v>
      </c>
      <c r="K45" s="183">
        <f>SUMIF(CF.1!$D:$D,'CFS(2개월)'!G45,CF.1!$U:$U)</f>
        <v>0</v>
      </c>
      <c r="L45" s="183">
        <f>SUMIF('CF.1_2개월(단순차감)'!D:D,'CFS(2개월)'!G45,'CF.1_2개월(단순차감)'!AB:AB)</f>
        <v>0</v>
      </c>
      <c r="M45" s="186">
        <f t="shared" si="1"/>
        <v>0</v>
      </c>
      <c r="O45" s="191"/>
      <c r="P45" s="183">
        <f t="shared" si="0"/>
        <v>0</v>
      </c>
      <c r="Q45" s="184"/>
    </row>
    <row r="46" spans="4:17" ht="18" customHeight="1">
      <c r="D46" s="187">
        <v>2020</v>
      </c>
      <c r="E46" s="188">
        <v>12</v>
      </c>
      <c r="F46" s="188" t="s">
        <v>632</v>
      </c>
      <c r="G46" s="188" t="s">
        <v>761</v>
      </c>
      <c r="H46" s="188" t="s">
        <v>762</v>
      </c>
      <c r="I46" s="188">
        <v>3</v>
      </c>
      <c r="J46" s="188" t="s">
        <v>473</v>
      </c>
      <c r="K46" s="188">
        <f>SUMIF(CF.1!$D:$D,'CFS(2개월)'!G46,CF.1!$U:$U)</f>
        <v>0</v>
      </c>
      <c r="L46" s="183">
        <f>SUMIF('CF.1_2개월(단순차감)'!D:D,'CFS(2개월)'!G46,'CF.1_2개월(단순차감)'!AB:AB)</f>
        <v>636996048</v>
      </c>
      <c r="M46" s="189">
        <f t="shared" si="1"/>
        <v>636996048</v>
      </c>
      <c r="N46" s="190"/>
      <c r="O46" s="191"/>
      <c r="P46" s="183">
        <f t="shared" si="0"/>
        <v>-636996048</v>
      </c>
      <c r="Q46" s="192"/>
    </row>
    <row r="47" spans="4:17" ht="18" customHeight="1">
      <c r="D47" s="185">
        <v>2020</v>
      </c>
      <c r="E47" s="183">
        <v>12</v>
      </c>
      <c r="F47" s="183" t="s">
        <v>632</v>
      </c>
      <c r="G47" s="183" t="s">
        <v>763</v>
      </c>
      <c r="H47" s="183" t="s">
        <v>764</v>
      </c>
      <c r="I47" s="188">
        <v>3</v>
      </c>
      <c r="J47" s="183" t="s">
        <v>473</v>
      </c>
      <c r="K47" s="183">
        <f>SUMIF(CF.1!$D:$D,'CFS(2개월)'!G47,CF.1!$U:$U)</f>
        <v>0</v>
      </c>
      <c r="L47" s="183">
        <f>SUMIF('CF.1_2개월(단순차감)'!D:D,'CFS(2개월)'!G47,'CF.1_2개월(단순차감)'!AB:AB)</f>
        <v>0</v>
      </c>
      <c r="M47" s="186">
        <f t="shared" si="1"/>
        <v>0</v>
      </c>
      <c r="O47" s="191"/>
      <c r="P47" s="183">
        <f t="shared" si="0"/>
        <v>0</v>
      </c>
      <c r="Q47" s="184"/>
    </row>
    <row r="48" spans="4:17" ht="18" customHeight="1">
      <c r="D48" s="185">
        <v>2020</v>
      </c>
      <c r="E48" s="183">
        <v>12</v>
      </c>
      <c r="F48" s="183" t="s">
        <v>632</v>
      </c>
      <c r="G48" s="183" t="s">
        <v>765</v>
      </c>
      <c r="H48" s="183" t="s">
        <v>1490</v>
      </c>
      <c r="I48" s="188">
        <v>3</v>
      </c>
      <c r="J48" s="183" t="s">
        <v>473</v>
      </c>
      <c r="K48" s="183">
        <f>SUMIF(CF.1!$D:$D,'CFS(2개월)'!G48,CF.1!$U:$U)</f>
        <v>77779216</v>
      </c>
      <c r="L48" s="183">
        <f>SUMIF('CF.1_2개월(단순차감)'!D:D,'CFS(2개월)'!G48,'CF.1_2개월(단순차감)'!AB:AB)</f>
        <v>44777274</v>
      </c>
      <c r="M48" s="186">
        <f t="shared" si="1"/>
        <v>-33001942</v>
      </c>
      <c r="O48" s="191"/>
      <c r="P48" s="183">
        <f t="shared" si="0"/>
        <v>-44777274</v>
      </c>
      <c r="Q48" s="184" t="s">
        <v>1881</v>
      </c>
    </row>
    <row r="49" spans="4:17" ht="18" customHeight="1">
      <c r="D49" s="185">
        <v>2020</v>
      </c>
      <c r="E49" s="183">
        <v>12</v>
      </c>
      <c r="F49" s="183" t="s">
        <v>632</v>
      </c>
      <c r="G49" s="183" t="s">
        <v>766</v>
      </c>
      <c r="H49" s="183" t="s">
        <v>767</v>
      </c>
      <c r="I49" s="188">
        <v>3</v>
      </c>
      <c r="J49" s="183" t="s">
        <v>473</v>
      </c>
      <c r="K49" s="183">
        <f>SUMIF(CF.1!$D:$D,'CFS(2개월)'!G49,CF.1!$U:$U)</f>
        <v>0</v>
      </c>
      <c r="L49" s="183">
        <f>SUMIF('CF.1_2개월(단순차감)'!D:D,'CFS(2개월)'!G49,'CF.1_2개월(단순차감)'!AB:AB)</f>
        <v>0</v>
      </c>
      <c r="M49" s="186">
        <f t="shared" si="1"/>
        <v>0</v>
      </c>
      <c r="O49" s="191"/>
      <c r="P49" s="183">
        <f t="shared" si="0"/>
        <v>0</v>
      </c>
      <c r="Q49" s="184"/>
    </row>
    <row r="50" spans="4:17" ht="18" customHeight="1">
      <c r="D50" s="185">
        <v>2020</v>
      </c>
      <c r="E50" s="183">
        <v>12</v>
      </c>
      <c r="F50" s="183" t="s">
        <v>632</v>
      </c>
      <c r="G50" s="183" t="s">
        <v>768</v>
      </c>
      <c r="H50" s="183" t="s">
        <v>769</v>
      </c>
      <c r="I50" s="188">
        <v>3</v>
      </c>
      <c r="J50" s="183" t="s">
        <v>473</v>
      </c>
      <c r="K50" s="183">
        <f>SUMIF(CF.1!$D:$D,'CFS(2개월)'!G50,CF.1!$U:$U)</f>
        <v>0</v>
      </c>
      <c r="L50" s="183">
        <f>SUMIF('CF.1_2개월(단순차감)'!D:D,'CFS(2개월)'!G50,'CF.1_2개월(단순차감)'!AB:AB)</f>
        <v>0</v>
      </c>
      <c r="M50" s="186">
        <f t="shared" si="1"/>
        <v>0</v>
      </c>
      <c r="O50" s="191"/>
      <c r="P50" s="183">
        <f t="shared" si="0"/>
        <v>0</v>
      </c>
      <c r="Q50" s="184"/>
    </row>
    <row r="51" spans="4:17" ht="18" customHeight="1">
      <c r="D51" s="185">
        <v>2020</v>
      </c>
      <c r="E51" s="183">
        <v>12</v>
      </c>
      <c r="F51" s="183" t="s">
        <v>632</v>
      </c>
      <c r="G51" s="183" t="s">
        <v>770</v>
      </c>
      <c r="H51" s="183" t="s">
        <v>771</v>
      </c>
      <c r="I51" s="188">
        <v>3</v>
      </c>
      <c r="J51" s="183" t="s">
        <v>473</v>
      </c>
      <c r="K51" s="183">
        <f>SUMIF(CF.1!$D:$D,'CFS(2개월)'!G51,CF.1!$U:$U)</f>
        <v>0</v>
      </c>
      <c r="L51" s="183">
        <f>SUMIF('CF.1_2개월(단순차감)'!D:D,'CFS(2개월)'!G51,'CF.1_2개월(단순차감)'!AB:AB)</f>
        <v>0</v>
      </c>
      <c r="M51" s="186">
        <f t="shared" si="1"/>
        <v>0</v>
      </c>
      <c r="O51" s="191"/>
      <c r="P51" s="183">
        <f t="shared" si="0"/>
        <v>0</v>
      </c>
      <c r="Q51" s="184"/>
    </row>
    <row r="52" spans="4:17" ht="18" customHeight="1">
      <c r="D52" s="185">
        <v>2020</v>
      </c>
      <c r="E52" s="183">
        <v>12</v>
      </c>
      <c r="F52" s="183" t="s">
        <v>632</v>
      </c>
      <c r="G52" s="183" t="s">
        <v>772</v>
      </c>
      <c r="H52" s="183" t="s">
        <v>260</v>
      </c>
      <c r="I52" s="188">
        <v>3</v>
      </c>
      <c r="J52" s="183" t="s">
        <v>473</v>
      </c>
      <c r="K52" s="183">
        <f>SUMIF(CF.1!$D:$D,'CFS(2개월)'!G52,CF.1!$U:$U)</f>
        <v>0</v>
      </c>
      <c r="L52" s="183">
        <f>SUMIF('CF.1_2개월(단순차감)'!D:D,'CFS(2개월)'!G52,'CF.1_2개월(단순차감)'!AB:AB)</f>
        <v>0</v>
      </c>
      <c r="M52" s="186">
        <f t="shared" si="1"/>
        <v>0</v>
      </c>
      <c r="O52" s="191"/>
      <c r="P52" s="183">
        <f t="shared" si="0"/>
        <v>0</v>
      </c>
      <c r="Q52" s="184"/>
    </row>
    <row r="53" spans="4:17" ht="18" customHeight="1">
      <c r="D53" s="185">
        <v>2020</v>
      </c>
      <c r="E53" s="183">
        <v>12</v>
      </c>
      <c r="F53" s="183" t="s">
        <v>632</v>
      </c>
      <c r="G53" s="183" t="s">
        <v>773</v>
      </c>
      <c r="H53" s="183" t="s">
        <v>774</v>
      </c>
      <c r="I53" s="188">
        <v>3</v>
      </c>
      <c r="J53" s="183" t="s">
        <v>473</v>
      </c>
      <c r="K53" s="183">
        <f>SUMIF(CF.1!$D:$D,'CFS(2개월)'!G53,CF.1!$U:$U)</f>
        <v>0</v>
      </c>
      <c r="L53" s="183">
        <f>SUMIF('CF.1_2개월(단순차감)'!D:D,'CFS(2개월)'!G53,'CF.1_2개월(단순차감)'!AB:AB)</f>
        <v>0</v>
      </c>
      <c r="M53" s="186">
        <f t="shared" si="1"/>
        <v>0</v>
      </c>
      <c r="O53" s="191"/>
      <c r="P53" s="183">
        <f t="shared" si="0"/>
        <v>0</v>
      </c>
      <c r="Q53" s="184"/>
    </row>
    <row r="54" spans="4:17" ht="18" customHeight="1">
      <c r="D54" s="185">
        <v>2020</v>
      </c>
      <c r="E54" s="183">
        <v>12</v>
      </c>
      <c r="F54" s="183" t="s">
        <v>632</v>
      </c>
      <c r="G54" s="183" t="s">
        <v>775</v>
      </c>
      <c r="H54" s="183" t="s">
        <v>776</v>
      </c>
      <c r="I54" s="188">
        <v>3</v>
      </c>
      <c r="J54" s="183" t="s">
        <v>473</v>
      </c>
      <c r="K54" s="183">
        <f>SUMIF(CF.1!$D:$D,'CFS(2개월)'!G54,CF.1!$U:$U)</f>
        <v>0</v>
      </c>
      <c r="L54" s="183">
        <f>SUMIF('CF.1_2개월(단순차감)'!D:D,'CFS(2개월)'!G54,'CF.1_2개월(단순차감)'!AB:AB)</f>
        <v>0</v>
      </c>
      <c r="M54" s="186">
        <f t="shared" si="1"/>
        <v>0</v>
      </c>
      <c r="O54" s="191"/>
      <c r="P54" s="183">
        <f t="shared" si="0"/>
        <v>0</v>
      </c>
      <c r="Q54" s="184"/>
    </row>
    <row r="55" spans="4:17" ht="18" customHeight="1">
      <c r="D55" s="185">
        <v>2020</v>
      </c>
      <c r="E55" s="183">
        <v>12</v>
      </c>
      <c r="F55" s="183" t="s">
        <v>632</v>
      </c>
      <c r="G55" s="183" t="s">
        <v>777</v>
      </c>
      <c r="H55" s="183" t="s">
        <v>778</v>
      </c>
      <c r="I55" s="188">
        <v>3</v>
      </c>
      <c r="J55" s="183" t="s">
        <v>473</v>
      </c>
      <c r="K55" s="183">
        <f>SUMIF(CF.1!$D:$D,'CFS(2개월)'!G55,CF.1!$U:$U)</f>
        <v>0</v>
      </c>
      <c r="L55" s="183">
        <f>SUMIF('CF.1_2개월(단순차감)'!D:D,'CFS(2개월)'!G55,'CF.1_2개월(단순차감)'!AB:AB)</f>
        <v>0</v>
      </c>
      <c r="M55" s="186">
        <f t="shared" si="1"/>
        <v>0</v>
      </c>
      <c r="O55" s="191"/>
      <c r="P55" s="183">
        <f t="shared" si="0"/>
        <v>0</v>
      </c>
      <c r="Q55" s="184"/>
    </row>
    <row r="56" spans="4:17" ht="18" customHeight="1">
      <c r="D56" s="185">
        <v>2020</v>
      </c>
      <c r="E56" s="183">
        <v>12</v>
      </c>
      <c r="F56" s="183" t="s">
        <v>632</v>
      </c>
      <c r="G56" s="183" t="s">
        <v>779</v>
      </c>
      <c r="H56" s="183" t="s">
        <v>780</v>
      </c>
      <c r="I56" s="188">
        <v>3</v>
      </c>
      <c r="J56" s="183" t="s">
        <v>473</v>
      </c>
      <c r="K56" s="183">
        <f>SUMIF(CF.1!$D:$D,'CFS(2개월)'!G56,CF.1!$U:$U)</f>
        <v>0</v>
      </c>
      <c r="L56" s="183">
        <f>SUMIF('CF.1_2개월(단순차감)'!D:D,'CFS(2개월)'!G56,'CF.1_2개월(단순차감)'!AB:AB)</f>
        <v>0</v>
      </c>
      <c r="M56" s="186">
        <f t="shared" si="1"/>
        <v>0</v>
      </c>
      <c r="O56" s="191"/>
      <c r="P56" s="183">
        <f t="shared" si="0"/>
        <v>0</v>
      </c>
      <c r="Q56" s="184"/>
    </row>
    <row r="57" spans="4:17" ht="18" customHeight="1">
      <c r="D57" s="185">
        <v>2020</v>
      </c>
      <c r="E57" s="183">
        <v>12</v>
      </c>
      <c r="F57" s="183" t="s">
        <v>632</v>
      </c>
      <c r="G57" s="183" t="s">
        <v>781</v>
      </c>
      <c r="H57" s="183" t="s">
        <v>688</v>
      </c>
      <c r="I57" s="188">
        <v>3</v>
      </c>
      <c r="J57" s="183" t="s">
        <v>473</v>
      </c>
      <c r="K57" s="183">
        <f>SUMIF(CF.1!$D:$D,'CFS(2개월)'!G57,CF.1!$U:$U)</f>
        <v>0</v>
      </c>
      <c r="L57" s="183">
        <f>SUMIF('CF.1_2개월(단순차감)'!D:D,'CFS(2개월)'!G57,'CF.1_2개월(단순차감)'!AB:AB)</f>
        <v>0</v>
      </c>
      <c r="M57" s="186">
        <f t="shared" si="1"/>
        <v>0</v>
      </c>
      <c r="O57" s="191"/>
      <c r="P57" s="183">
        <f t="shared" si="0"/>
        <v>0</v>
      </c>
      <c r="Q57" s="184"/>
    </row>
    <row r="58" spans="4:17" ht="18" customHeight="1">
      <c r="D58" s="185">
        <v>2020</v>
      </c>
      <c r="E58" s="183">
        <v>12</v>
      </c>
      <c r="F58" s="183" t="s">
        <v>632</v>
      </c>
      <c r="G58" s="183" t="s">
        <v>782</v>
      </c>
      <c r="H58" s="183" t="s">
        <v>681</v>
      </c>
      <c r="I58" s="188">
        <v>3</v>
      </c>
      <c r="J58" s="183" t="s">
        <v>473</v>
      </c>
      <c r="K58" s="183">
        <f>SUMIF(CF.1!$D:$D,'CFS(2개월)'!G58,CF.1!$U:$U)</f>
        <v>195958275</v>
      </c>
      <c r="L58" s="183">
        <f>SUMIF('CF.1_2개월(단순차감)'!D:D,'CFS(2개월)'!G58,'CF.1_2개월(단순차감)'!AB:AB)</f>
        <v>46277451</v>
      </c>
      <c r="M58" s="186">
        <f t="shared" si="1"/>
        <v>-149680824</v>
      </c>
      <c r="O58" s="191"/>
      <c r="P58" s="183">
        <f t="shared" si="0"/>
        <v>-46277451</v>
      </c>
      <c r="Q58" s="184"/>
    </row>
    <row r="59" spans="4:17" ht="18" customHeight="1">
      <c r="D59" s="185">
        <v>2020</v>
      </c>
      <c r="E59" s="183">
        <v>12</v>
      </c>
      <c r="F59" s="183" t="s">
        <v>632</v>
      </c>
      <c r="G59" s="183" t="s">
        <v>783</v>
      </c>
      <c r="H59" s="183" t="s">
        <v>380</v>
      </c>
      <c r="I59" s="188">
        <v>3</v>
      </c>
      <c r="J59" s="183" t="s">
        <v>473</v>
      </c>
      <c r="K59" s="183">
        <f>SUMIF(CF.1!$D:$D,'CFS(2개월)'!G59,CF.1!$U:$U)</f>
        <v>315254908</v>
      </c>
      <c r="L59" s="183">
        <f>SUMIF('CF.1_2개월(단순차감)'!D:D,'CFS(2개월)'!G59,'CF.1_2개월(단순차감)'!AB:AB)</f>
        <v>-222318921</v>
      </c>
      <c r="M59" s="186">
        <f t="shared" si="1"/>
        <v>-537573829</v>
      </c>
      <c r="O59" s="191"/>
      <c r="P59" s="183">
        <f t="shared" si="0"/>
        <v>222318921</v>
      </c>
      <c r="Q59" s="184"/>
    </row>
    <row r="60" spans="4:17" ht="18" customHeight="1">
      <c r="D60" s="185">
        <v>2020</v>
      </c>
      <c r="E60" s="183">
        <v>12</v>
      </c>
      <c r="F60" s="183" t="s">
        <v>632</v>
      </c>
      <c r="G60" s="183" t="s">
        <v>1491</v>
      </c>
      <c r="H60" s="183" t="s">
        <v>1492</v>
      </c>
      <c r="I60" s="188">
        <v>3</v>
      </c>
      <c r="J60" s="183" t="s">
        <v>473</v>
      </c>
      <c r="K60" s="183">
        <f>SUMIF(CF.1!$D:$D,'CFS(2개월)'!G60,CF.1!$U:$U)</f>
        <v>0</v>
      </c>
      <c r="L60" s="183">
        <f>SUMIF('CF.1_2개월(단순차감)'!D:D,'CFS(2개월)'!G60,'CF.1_2개월(단순차감)'!AB:AB)</f>
        <v>0</v>
      </c>
      <c r="M60" s="186">
        <f t="shared" si="1"/>
        <v>0</v>
      </c>
      <c r="O60" s="191"/>
      <c r="P60" s="183">
        <f t="shared" si="0"/>
        <v>0</v>
      </c>
      <c r="Q60" s="184"/>
    </row>
    <row r="61" spans="4:17" ht="18" customHeight="1">
      <c r="D61" s="185">
        <v>2020</v>
      </c>
      <c r="E61" s="183">
        <v>12</v>
      </c>
      <c r="F61" s="183" t="s">
        <v>632</v>
      </c>
      <c r="G61" s="183" t="s">
        <v>2203</v>
      </c>
      <c r="H61" s="183" t="s">
        <v>801</v>
      </c>
      <c r="I61" s="188">
        <v>3</v>
      </c>
      <c r="J61" s="183" t="s">
        <v>473</v>
      </c>
      <c r="K61" s="183">
        <f>SUMIF(CF.1!$D:$D,'CFS(2개월)'!G61,CF.1!$U:$U)</f>
        <v>0</v>
      </c>
      <c r="L61" s="183">
        <f>SUMIF('CF.1_2개월(단순차감)'!D:D,'CFS(2개월)'!G61,'CF.1_2개월(단순차감)'!AB:AB)</f>
        <v>15150082225</v>
      </c>
      <c r="M61" s="186">
        <f t="shared" si="1"/>
        <v>15150082225</v>
      </c>
      <c r="O61" s="191"/>
      <c r="P61" s="183">
        <f t="shared" si="0"/>
        <v>-15150082225</v>
      </c>
      <c r="Q61" s="184"/>
    </row>
    <row r="62" spans="4:17" ht="18" customHeight="1">
      <c r="D62" s="185">
        <v>2020</v>
      </c>
      <c r="E62" s="183">
        <v>12</v>
      </c>
      <c r="F62" s="183" t="s">
        <v>632</v>
      </c>
      <c r="G62" s="183" t="s">
        <v>802</v>
      </c>
      <c r="H62" s="183" t="s">
        <v>1493</v>
      </c>
      <c r="I62" s="188">
        <v>3</v>
      </c>
      <c r="J62" s="183" t="s">
        <v>473</v>
      </c>
      <c r="K62" s="183">
        <f>SUMIF(CF.1!$D:$D,'CFS(2개월)'!G62,CF.1!$U:$U)</f>
        <v>42135654</v>
      </c>
      <c r="L62" s="183">
        <f>SUMIF('CF.1_2개월(단순차감)'!D:D,'CFS(2개월)'!G62,'CF.1_2개월(단순차감)'!AB:AB)</f>
        <v>0</v>
      </c>
      <c r="M62" s="186">
        <f t="shared" si="1"/>
        <v>-42135654</v>
      </c>
      <c r="O62" s="191"/>
      <c r="P62" s="183">
        <f t="shared" si="0"/>
        <v>0</v>
      </c>
      <c r="Q62" s="184"/>
    </row>
    <row r="63" spans="4:17" ht="18" customHeight="1">
      <c r="D63" s="179">
        <v>2020</v>
      </c>
      <c r="E63" s="180">
        <v>12</v>
      </c>
      <c r="F63" s="180" t="s">
        <v>632</v>
      </c>
      <c r="G63" s="180" t="s">
        <v>804</v>
      </c>
      <c r="H63" s="180" t="s">
        <v>805</v>
      </c>
      <c r="I63" s="180">
        <v>2</v>
      </c>
      <c r="J63" s="180" t="s">
        <v>473</v>
      </c>
      <c r="K63" s="180">
        <f>SUM(K64:K106)</f>
        <v>-9265690886</v>
      </c>
      <c r="L63" s="180">
        <f>SUM(L64:L106)</f>
        <v>-1778586844</v>
      </c>
      <c r="M63" s="181">
        <f>SUM(M64:M106)</f>
        <v>3976478355</v>
      </c>
      <c r="O63" s="182"/>
      <c r="P63" s="183">
        <f t="shared" si="0"/>
        <v>1778586844</v>
      </c>
      <c r="Q63" s="184"/>
    </row>
    <row r="64" spans="4:17" ht="18" customHeight="1">
      <c r="D64" s="187">
        <v>2020</v>
      </c>
      <c r="E64" s="188">
        <v>12</v>
      </c>
      <c r="F64" s="188" t="s">
        <v>632</v>
      </c>
      <c r="G64" s="188" t="s">
        <v>806</v>
      </c>
      <c r="H64" s="188" t="s">
        <v>675</v>
      </c>
      <c r="I64" s="188">
        <v>3</v>
      </c>
      <c r="J64" s="188" t="s">
        <v>473</v>
      </c>
      <c r="K64" s="188">
        <f>SUMIF(CF.1!$D:$D,'CFS(2개월)'!G64,CF.1!$U:$U)</f>
        <v>-1557307639</v>
      </c>
      <c r="L64" s="183">
        <f>SUMIF('CF.1_2개월(단순차감)'!D:D,'CFS(2개월)'!G64,'CF.1_2개월(단순차감)'!AB:AB)</f>
        <v>-140323834</v>
      </c>
      <c r="M64" s="189">
        <f t="shared" ref="M64:M106" si="2">L64-K64</f>
        <v>1416983805</v>
      </c>
      <c r="O64" s="191"/>
      <c r="P64" s="183">
        <f t="shared" si="0"/>
        <v>140323834</v>
      </c>
      <c r="Q64" s="184"/>
    </row>
    <row r="65" spans="4:17" s="190" customFormat="1" ht="18" customHeight="1">
      <c r="D65" s="187">
        <v>2020</v>
      </c>
      <c r="E65" s="188">
        <v>12</v>
      </c>
      <c r="F65" s="188" t="s">
        <v>632</v>
      </c>
      <c r="G65" s="188" t="s">
        <v>807</v>
      </c>
      <c r="H65" s="188" t="s">
        <v>808</v>
      </c>
      <c r="I65" s="188">
        <v>3</v>
      </c>
      <c r="J65" s="188" t="s">
        <v>473</v>
      </c>
      <c r="K65" s="188">
        <v>0</v>
      </c>
      <c r="L65" s="183">
        <f>SUMIF('CF.1_2개월(단순차감)'!D:D,'CFS(2개월)'!G65,'CF.1_2개월(단순차감)'!AB:AB)</f>
        <v>0</v>
      </c>
      <c r="M65" s="189">
        <f t="shared" si="2"/>
        <v>0</v>
      </c>
      <c r="O65" s="191"/>
      <c r="P65" s="183">
        <f t="shared" si="0"/>
        <v>0</v>
      </c>
      <c r="Q65" s="192"/>
    </row>
    <row r="66" spans="4:17" s="190" customFormat="1" ht="18" customHeight="1">
      <c r="D66" s="187">
        <v>2020</v>
      </c>
      <c r="E66" s="188">
        <v>12</v>
      </c>
      <c r="F66" s="188" t="s">
        <v>632</v>
      </c>
      <c r="G66" s="188" t="s">
        <v>809</v>
      </c>
      <c r="H66" s="188" t="s">
        <v>810</v>
      </c>
      <c r="I66" s="188">
        <v>3</v>
      </c>
      <c r="J66" s="188" t="s">
        <v>473</v>
      </c>
      <c r="K66" s="188">
        <f>SUMIF(CF.1!$D:$D,'CFS(2개월)'!G66,CF.1!$U:$U)</f>
        <v>0</v>
      </c>
      <c r="L66" s="183">
        <f>SUMIF('CF.1_2개월(단순차감)'!D:D,'CFS(2개월)'!G66,'CF.1_2개월(단순차감)'!AB:AB)</f>
        <v>-770071633</v>
      </c>
      <c r="M66" s="189">
        <f t="shared" si="2"/>
        <v>-770071633</v>
      </c>
      <c r="O66" s="191"/>
      <c r="P66" s="183">
        <f t="shared" si="0"/>
        <v>770071633</v>
      </c>
      <c r="Q66" s="192"/>
    </row>
    <row r="67" spans="4:17" s="190" customFormat="1" ht="18" customHeight="1">
      <c r="D67" s="187">
        <v>2020</v>
      </c>
      <c r="E67" s="188">
        <v>12</v>
      </c>
      <c r="F67" s="188" t="s">
        <v>632</v>
      </c>
      <c r="G67" s="188" t="s">
        <v>1494</v>
      </c>
      <c r="H67" s="188" t="s">
        <v>1495</v>
      </c>
      <c r="I67" s="188">
        <v>3</v>
      </c>
      <c r="J67" s="188" t="s">
        <v>473</v>
      </c>
      <c r="K67" s="188">
        <f>SUMIF(CF.1!$D:$D,'CFS(2개월)'!G67,CF.1!$U:$U)</f>
        <v>0</v>
      </c>
      <c r="L67" s="183">
        <f>SUMIF('CF.1_2개월(단순차감)'!D:D,'CFS(2개월)'!G67,'CF.1_2개월(단순차감)'!AB:AB)</f>
        <v>0</v>
      </c>
      <c r="M67" s="189">
        <f t="shared" si="2"/>
        <v>0</v>
      </c>
      <c r="O67" s="191"/>
      <c r="P67" s="183">
        <f t="shared" si="0"/>
        <v>0</v>
      </c>
      <c r="Q67" s="192"/>
    </row>
    <row r="68" spans="4:17" ht="18" customHeight="1">
      <c r="D68" s="187">
        <v>2020</v>
      </c>
      <c r="E68" s="188">
        <v>12</v>
      </c>
      <c r="F68" s="188" t="s">
        <v>632</v>
      </c>
      <c r="G68" s="188" t="s">
        <v>1496</v>
      </c>
      <c r="H68" s="188" t="s">
        <v>1497</v>
      </c>
      <c r="I68" s="188">
        <v>3</v>
      </c>
      <c r="J68" s="188" t="s">
        <v>473</v>
      </c>
      <c r="K68" s="188">
        <f>SUMIF(CF.1!$D:$D,'CFS(2개월)'!G68,CF.1!$U:$U)</f>
        <v>0</v>
      </c>
      <c r="L68" s="183">
        <f>SUMIF('CF.1_2개월(단순차감)'!D:D,'CFS(2개월)'!G68,'CF.1_2개월(단순차감)'!AB:AB)</f>
        <v>0</v>
      </c>
      <c r="M68" s="189">
        <f t="shared" si="2"/>
        <v>0</v>
      </c>
      <c r="O68" s="191"/>
      <c r="P68" s="183">
        <f t="shared" si="0"/>
        <v>0</v>
      </c>
      <c r="Q68" s="184"/>
    </row>
    <row r="69" spans="4:17" ht="18" customHeight="1">
      <c r="D69" s="187">
        <v>2020</v>
      </c>
      <c r="E69" s="188">
        <v>12</v>
      </c>
      <c r="F69" s="188" t="s">
        <v>632</v>
      </c>
      <c r="G69" s="188" t="s">
        <v>811</v>
      </c>
      <c r="H69" s="188" t="s">
        <v>812</v>
      </c>
      <c r="I69" s="188">
        <v>3</v>
      </c>
      <c r="J69" s="188" t="s">
        <v>473</v>
      </c>
      <c r="K69" s="188">
        <f>SUMIF(CF.1!$D:$D,'CFS(2개월)'!G69,CF.1!$U:$U)</f>
        <v>0</v>
      </c>
      <c r="L69" s="183">
        <f>SUMIF('CF.1_2개월(단순차감)'!D:D,'CFS(2개월)'!G69,'CF.1_2개월(단순차감)'!AB:AB)</f>
        <v>0</v>
      </c>
      <c r="M69" s="189">
        <f t="shared" si="2"/>
        <v>0</v>
      </c>
      <c r="O69" s="191"/>
      <c r="P69" s="183">
        <f t="shared" si="0"/>
        <v>0</v>
      </c>
      <c r="Q69" s="184"/>
    </row>
    <row r="70" spans="4:17" ht="18" customHeight="1">
      <c r="D70" s="187">
        <v>2020</v>
      </c>
      <c r="E70" s="188">
        <v>12</v>
      </c>
      <c r="F70" s="188" t="s">
        <v>632</v>
      </c>
      <c r="G70" s="188" t="s">
        <v>880</v>
      </c>
      <c r="H70" s="188" t="s">
        <v>881</v>
      </c>
      <c r="I70" s="188">
        <v>3</v>
      </c>
      <c r="J70" s="188" t="s">
        <v>473</v>
      </c>
      <c r="K70" s="188">
        <f>SUMIF(CF.1!$D:$D,'CFS(2개월)'!G70,CF.1!$U:$U)</f>
        <v>0</v>
      </c>
      <c r="L70" s="183">
        <f>SUMIF('CF.1_2개월(단순차감)'!D:D,'CFS(2개월)'!G70,'CF.1_2개월(단순차감)'!AB:AB)</f>
        <v>0</v>
      </c>
      <c r="M70" s="189"/>
      <c r="O70" s="191"/>
      <c r="P70" s="183">
        <f t="shared" si="0"/>
        <v>0</v>
      </c>
      <c r="Q70" s="184"/>
    </row>
    <row r="71" spans="4:17" ht="18" customHeight="1">
      <c r="D71" s="187">
        <v>2020</v>
      </c>
      <c r="E71" s="188">
        <v>12</v>
      </c>
      <c r="F71" s="188" t="s">
        <v>632</v>
      </c>
      <c r="G71" s="188" t="s">
        <v>882</v>
      </c>
      <c r="H71" s="188" t="s">
        <v>883</v>
      </c>
      <c r="I71" s="188">
        <v>3</v>
      </c>
      <c r="J71" s="188" t="s">
        <v>473</v>
      </c>
      <c r="K71" s="188">
        <f>SUMIF(CF.1!$D:$D,'CFS(2개월)'!G71,CF.1!$U:$U)</f>
        <v>-3510625687</v>
      </c>
      <c r="L71" s="183">
        <f>SUMIF('CF.1_2개월(단순차감)'!D:D,'CFS(2개월)'!G71,'CF.1_2개월(단순차감)'!AB:AB)</f>
        <v>0</v>
      </c>
      <c r="M71" s="189"/>
      <c r="O71" s="191"/>
      <c r="P71" s="183">
        <f t="shared" ref="P71:P136" si="3">O71-L71</f>
        <v>0</v>
      </c>
      <c r="Q71" s="184"/>
    </row>
    <row r="72" spans="4:17" ht="18" customHeight="1">
      <c r="D72" s="185">
        <v>2020</v>
      </c>
      <c r="E72" s="183">
        <v>12</v>
      </c>
      <c r="F72" s="183" t="s">
        <v>632</v>
      </c>
      <c r="G72" s="183" t="s">
        <v>813</v>
      </c>
      <c r="H72" s="183" t="s">
        <v>814</v>
      </c>
      <c r="I72" s="183">
        <v>3</v>
      </c>
      <c r="J72" s="183" t="s">
        <v>473</v>
      </c>
      <c r="K72" s="183">
        <f>SUMIF(CF.1!$D:$D,'CFS(2개월)'!G72,CF.1!$U:$U)</f>
        <v>0</v>
      </c>
      <c r="L72" s="183">
        <f>SUMIF('CF.1_2개월(단순차감)'!D:D,'CFS(2개월)'!G72,'CF.1_2개월(단순차감)'!AB:AB)</f>
        <v>0</v>
      </c>
      <c r="M72" s="186">
        <f t="shared" si="2"/>
        <v>0</v>
      </c>
      <c r="O72" s="191"/>
      <c r="P72" s="183">
        <f t="shared" si="3"/>
        <v>0</v>
      </c>
      <c r="Q72" s="184"/>
    </row>
    <row r="73" spans="4:17" ht="18" customHeight="1">
      <c r="D73" s="185">
        <v>2020</v>
      </c>
      <c r="E73" s="183">
        <v>12</v>
      </c>
      <c r="F73" s="183" t="s">
        <v>632</v>
      </c>
      <c r="G73" s="183" t="s">
        <v>815</v>
      </c>
      <c r="H73" s="183" t="s">
        <v>816</v>
      </c>
      <c r="I73" s="183">
        <v>3</v>
      </c>
      <c r="J73" s="183" t="s">
        <v>473</v>
      </c>
      <c r="K73" s="183">
        <f>SUMIF(CF.1!$D:$D,'CFS(2개월)'!G73,CF.1!$U:$U)</f>
        <v>-1413694186</v>
      </c>
      <c r="L73" s="183">
        <f>SUMIF('CF.1_2개월(단순차감)'!D:D,'CFS(2개월)'!G73,'CF.1_2개월(단순차감)'!AB:AB)</f>
        <v>0</v>
      </c>
      <c r="M73" s="186">
        <f t="shared" si="2"/>
        <v>1413694186</v>
      </c>
      <c r="O73" s="191"/>
      <c r="P73" s="183">
        <f t="shared" si="3"/>
        <v>0</v>
      </c>
      <c r="Q73" s="184"/>
    </row>
    <row r="74" spans="4:17" ht="18" customHeight="1">
      <c r="D74" s="185">
        <v>2020</v>
      </c>
      <c r="E74" s="183">
        <v>12</v>
      </c>
      <c r="F74" s="183" t="s">
        <v>632</v>
      </c>
      <c r="G74" s="183" t="s">
        <v>817</v>
      </c>
      <c r="H74" s="183" t="s">
        <v>818</v>
      </c>
      <c r="I74" s="183">
        <v>3</v>
      </c>
      <c r="J74" s="183" t="s">
        <v>473</v>
      </c>
      <c r="K74" s="183">
        <f>SUMIF(CF.1!$D:$D,'CFS(2개월)'!G74,CF.1!$U:$U)</f>
        <v>0</v>
      </c>
      <c r="L74" s="183">
        <f>SUMIF('CF.1_2개월(단순차감)'!D:D,'CFS(2개월)'!G74,'CF.1_2개월(단순차감)'!AB:AB)</f>
        <v>-24157280</v>
      </c>
      <c r="M74" s="186">
        <f t="shared" si="2"/>
        <v>-24157280</v>
      </c>
      <c r="O74" s="191"/>
      <c r="P74" s="183">
        <f t="shared" si="3"/>
        <v>24157280</v>
      </c>
      <c r="Q74" s="184"/>
    </row>
    <row r="75" spans="4:17" ht="18" customHeight="1">
      <c r="D75" s="185">
        <v>2020</v>
      </c>
      <c r="E75" s="183">
        <v>12</v>
      </c>
      <c r="F75" s="183" t="s">
        <v>632</v>
      </c>
      <c r="G75" s="183" t="s">
        <v>819</v>
      </c>
      <c r="H75" s="183" t="s">
        <v>820</v>
      </c>
      <c r="I75" s="183">
        <v>3</v>
      </c>
      <c r="J75" s="183" t="s">
        <v>473</v>
      </c>
      <c r="K75" s="183">
        <f>SUMIF(CF.1!$D:$D,'CFS(2개월)'!G75,CF.1!$U:$U)</f>
        <v>0</v>
      </c>
      <c r="L75" s="183">
        <f>SUMIF('CF.1_2개월(단순차감)'!D:D,'CFS(2개월)'!G75,'CF.1_2개월(단순차감)'!AB:AB)</f>
        <v>0</v>
      </c>
      <c r="M75" s="186">
        <f t="shared" si="2"/>
        <v>0</v>
      </c>
      <c r="O75" s="191"/>
      <c r="P75" s="183">
        <f t="shared" si="3"/>
        <v>0</v>
      </c>
      <c r="Q75" s="184"/>
    </row>
    <row r="76" spans="4:17" ht="18" customHeight="1">
      <c r="D76" s="185">
        <v>2020</v>
      </c>
      <c r="E76" s="183">
        <v>12</v>
      </c>
      <c r="F76" s="183" t="s">
        <v>632</v>
      </c>
      <c r="G76" s="183" t="s">
        <v>821</v>
      </c>
      <c r="H76" s="183" t="s">
        <v>822</v>
      </c>
      <c r="I76" s="183">
        <v>3</v>
      </c>
      <c r="J76" s="183" t="s">
        <v>473</v>
      </c>
      <c r="K76" s="183">
        <f>SUMIF(CF.1!$D:$D,'CFS(2개월)'!G76,CF.1!$U:$U)</f>
        <v>0</v>
      </c>
      <c r="L76" s="183">
        <f>SUMIF('CF.1_2개월(단순차감)'!D:D,'CFS(2개월)'!G76,'CF.1_2개월(단순차감)'!AB:AB)</f>
        <v>0</v>
      </c>
      <c r="M76" s="186">
        <f t="shared" si="2"/>
        <v>0</v>
      </c>
      <c r="O76" s="191"/>
      <c r="P76" s="183">
        <f t="shared" si="3"/>
        <v>0</v>
      </c>
      <c r="Q76" s="184"/>
    </row>
    <row r="77" spans="4:17" ht="18" customHeight="1">
      <c r="D77" s="185">
        <v>2020</v>
      </c>
      <c r="E77" s="183">
        <v>12</v>
      </c>
      <c r="F77" s="183" t="s">
        <v>632</v>
      </c>
      <c r="G77" s="183" t="s">
        <v>823</v>
      </c>
      <c r="H77" s="183" t="s">
        <v>824</v>
      </c>
      <c r="I77" s="183">
        <v>3</v>
      </c>
      <c r="J77" s="183" t="s">
        <v>473</v>
      </c>
      <c r="K77" s="183">
        <f>SUMIF(CF.1!$D:$D,'CFS(2개월)'!G77,CF.1!$U:$U)</f>
        <v>0</v>
      </c>
      <c r="L77" s="183">
        <f>SUMIF('CF.1_2개월(단순차감)'!D:D,'CFS(2개월)'!G77,'CF.1_2개월(단순차감)'!AB:AB)</f>
        <v>0</v>
      </c>
      <c r="M77" s="186">
        <f t="shared" si="2"/>
        <v>0</v>
      </c>
      <c r="O77" s="191"/>
      <c r="P77" s="183">
        <f t="shared" si="3"/>
        <v>0</v>
      </c>
      <c r="Q77" s="184"/>
    </row>
    <row r="78" spans="4:17" ht="18" customHeight="1">
      <c r="D78" s="185">
        <v>2020</v>
      </c>
      <c r="E78" s="183">
        <v>12</v>
      </c>
      <c r="F78" s="183" t="s">
        <v>632</v>
      </c>
      <c r="G78" s="183" t="s">
        <v>825</v>
      </c>
      <c r="H78" s="183" t="s">
        <v>826</v>
      </c>
      <c r="I78" s="183">
        <v>3</v>
      </c>
      <c r="J78" s="183" t="s">
        <v>473</v>
      </c>
      <c r="K78" s="183">
        <f>SUMIF(CF.1!$D:$D,'CFS(2개월)'!G78,CF.1!$U:$U)</f>
        <v>0</v>
      </c>
      <c r="L78" s="183">
        <f>SUMIF('CF.1_2개월(단순차감)'!D:D,'CFS(2개월)'!G78,'CF.1_2개월(단순차감)'!AB:AB)</f>
        <v>0</v>
      </c>
      <c r="M78" s="186">
        <f t="shared" si="2"/>
        <v>0</v>
      </c>
      <c r="O78" s="191"/>
      <c r="P78" s="183">
        <f t="shared" si="3"/>
        <v>0</v>
      </c>
      <c r="Q78" s="184"/>
    </row>
    <row r="79" spans="4:17" ht="18" customHeight="1">
      <c r="D79" s="185">
        <v>2020</v>
      </c>
      <c r="E79" s="183">
        <v>12</v>
      </c>
      <c r="F79" s="183" t="s">
        <v>632</v>
      </c>
      <c r="G79" s="183" t="s">
        <v>827</v>
      </c>
      <c r="H79" s="183" t="s">
        <v>828</v>
      </c>
      <c r="I79" s="183">
        <v>3</v>
      </c>
      <c r="J79" s="183" t="s">
        <v>473</v>
      </c>
      <c r="K79" s="183">
        <f>SUMIF(CF.1!$D:$D,'CFS(2개월)'!G79,CF.1!$U:$U)</f>
        <v>0</v>
      </c>
      <c r="L79" s="183">
        <f>SUMIF('CF.1_2개월(단순차감)'!D:D,'CFS(2개월)'!G79,'CF.1_2개월(단순차감)'!AB:AB)</f>
        <v>0</v>
      </c>
      <c r="M79" s="186">
        <f t="shared" si="2"/>
        <v>0</v>
      </c>
      <c r="O79" s="191"/>
      <c r="P79" s="183">
        <f t="shared" si="3"/>
        <v>0</v>
      </c>
      <c r="Q79" s="184"/>
    </row>
    <row r="80" spans="4:17" ht="18" customHeight="1">
      <c r="D80" s="185">
        <v>2020</v>
      </c>
      <c r="E80" s="183">
        <v>12</v>
      </c>
      <c r="F80" s="183" t="s">
        <v>632</v>
      </c>
      <c r="G80" s="183" t="s">
        <v>829</v>
      </c>
      <c r="H80" s="183" t="s">
        <v>830</v>
      </c>
      <c r="I80" s="183">
        <v>3</v>
      </c>
      <c r="J80" s="183" t="s">
        <v>473</v>
      </c>
      <c r="K80" s="183">
        <f>SUMIF(CF.1!$D:$D,'CFS(2개월)'!G80,CF.1!$U:$U)</f>
        <v>0</v>
      </c>
      <c r="L80" s="183">
        <f>SUMIF('CF.1_2개월(단순차감)'!D:D,'CFS(2개월)'!G80,'CF.1_2개월(단순차감)'!AB:AB)</f>
        <v>0</v>
      </c>
      <c r="M80" s="186">
        <f t="shared" si="2"/>
        <v>0</v>
      </c>
      <c r="O80" s="191"/>
      <c r="P80" s="183">
        <f t="shared" si="3"/>
        <v>0</v>
      </c>
      <c r="Q80" s="184"/>
    </row>
    <row r="81" spans="4:17" ht="18" customHeight="1">
      <c r="D81" s="185">
        <v>2020</v>
      </c>
      <c r="E81" s="183">
        <v>12</v>
      </c>
      <c r="F81" s="183" t="s">
        <v>632</v>
      </c>
      <c r="G81" s="183" t="s">
        <v>831</v>
      </c>
      <c r="H81" s="183" t="s">
        <v>832</v>
      </c>
      <c r="I81" s="183">
        <v>3</v>
      </c>
      <c r="J81" s="183" t="s">
        <v>473</v>
      </c>
      <c r="K81" s="183">
        <f>SUMIF(CF.1!$D:$D,'CFS(2개월)'!G81,CF.1!$U:$U)</f>
        <v>0</v>
      </c>
      <c r="L81" s="183">
        <f>SUMIF('CF.1_2개월(단순차감)'!D:D,'CFS(2개월)'!G81,'CF.1_2개월(단순차감)'!AB:AB)</f>
        <v>0</v>
      </c>
      <c r="M81" s="186">
        <f t="shared" si="2"/>
        <v>0</v>
      </c>
      <c r="O81" s="191"/>
      <c r="P81" s="183">
        <f t="shared" si="3"/>
        <v>0</v>
      </c>
      <c r="Q81" s="184"/>
    </row>
    <row r="82" spans="4:17" ht="18" customHeight="1">
      <c r="D82" s="185">
        <v>2020</v>
      </c>
      <c r="E82" s="183">
        <v>12</v>
      </c>
      <c r="F82" s="183" t="s">
        <v>632</v>
      </c>
      <c r="G82" s="183" t="s">
        <v>833</v>
      </c>
      <c r="H82" s="183" t="s">
        <v>678</v>
      </c>
      <c r="I82" s="183">
        <v>3</v>
      </c>
      <c r="J82" s="183" t="s">
        <v>473</v>
      </c>
      <c r="K82" s="183">
        <f>SUMIF(CF.1!$D:$D,'CFS(2개월)'!G82,CF.1!$U:$U)</f>
        <v>-63636363</v>
      </c>
      <c r="L82" s="183">
        <f>SUMIF('CF.1_2개월(단순차감)'!D:D,'CFS(2개월)'!G82,'CF.1_2개월(단순차감)'!AB:AB)</f>
        <v>0</v>
      </c>
      <c r="M82" s="186">
        <f t="shared" si="2"/>
        <v>63636363</v>
      </c>
      <c r="O82" s="191"/>
      <c r="P82" s="183">
        <f t="shared" si="3"/>
        <v>0</v>
      </c>
      <c r="Q82" s="184"/>
    </row>
    <row r="83" spans="4:17" ht="18" customHeight="1">
      <c r="D83" s="185">
        <v>2020</v>
      </c>
      <c r="E83" s="183">
        <v>12</v>
      </c>
      <c r="F83" s="183" t="s">
        <v>632</v>
      </c>
      <c r="G83" s="183" t="s">
        <v>834</v>
      </c>
      <c r="H83" s="183" t="s">
        <v>835</v>
      </c>
      <c r="I83" s="183">
        <v>3</v>
      </c>
      <c r="J83" s="183" t="s">
        <v>473</v>
      </c>
      <c r="K83" s="183">
        <f>SUMIF(CF.1!$D:$D,'CFS(2개월)'!G83,CF.1!$U:$U)</f>
        <v>0</v>
      </c>
      <c r="L83" s="183">
        <f>SUMIF('CF.1_2개월(단순차감)'!D:D,'CFS(2개월)'!G83,'CF.1_2개월(단순차감)'!AB:AB)</f>
        <v>0</v>
      </c>
      <c r="M83" s="186">
        <f t="shared" si="2"/>
        <v>0</v>
      </c>
      <c r="O83" s="191"/>
      <c r="P83" s="183">
        <f t="shared" si="3"/>
        <v>0</v>
      </c>
      <c r="Q83" s="184"/>
    </row>
    <row r="84" spans="4:17" ht="18" customHeight="1">
      <c r="D84" s="185">
        <v>2020</v>
      </c>
      <c r="E84" s="183">
        <v>12</v>
      </c>
      <c r="F84" s="183" t="s">
        <v>632</v>
      </c>
      <c r="G84" s="183" t="s">
        <v>836</v>
      </c>
      <c r="H84" s="183" t="s">
        <v>679</v>
      </c>
      <c r="I84" s="183">
        <v>3</v>
      </c>
      <c r="J84" s="183" t="s">
        <v>473</v>
      </c>
      <c r="K84" s="183">
        <f>SUMIF(CF.1!$D:$D,'CFS(2개월)'!G84,CF.1!$U:$U)</f>
        <v>0</v>
      </c>
      <c r="L84" s="183">
        <f>SUMIF('CF.1_2개월(단순차감)'!D:D,'CFS(2개월)'!G84,'CF.1_2개월(단순차감)'!AB:AB)</f>
        <v>0</v>
      </c>
      <c r="M84" s="186">
        <f t="shared" si="2"/>
        <v>0</v>
      </c>
      <c r="O84" s="191"/>
      <c r="P84" s="183">
        <f t="shared" si="3"/>
        <v>0</v>
      </c>
      <c r="Q84" s="184"/>
    </row>
    <row r="85" spans="4:17" ht="18" customHeight="1">
      <c r="D85" s="185">
        <v>2020</v>
      </c>
      <c r="E85" s="183">
        <v>12</v>
      </c>
      <c r="F85" s="183" t="s">
        <v>632</v>
      </c>
      <c r="G85" s="183" t="s">
        <v>837</v>
      </c>
      <c r="H85" s="183" t="s">
        <v>838</v>
      </c>
      <c r="I85" s="183">
        <v>3</v>
      </c>
      <c r="J85" s="183" t="s">
        <v>473</v>
      </c>
      <c r="K85" s="183">
        <f>SUMIF(CF.1!$D:$D,'CFS(2개월)'!G85,CF.1!$U:$U)</f>
        <v>0</v>
      </c>
      <c r="L85" s="183">
        <f>SUMIF('CF.1_2개월(단순차감)'!D:D,'CFS(2개월)'!G85,'CF.1_2개월(단순차감)'!AB:AB)</f>
        <v>0</v>
      </c>
      <c r="M85" s="186">
        <f t="shared" si="2"/>
        <v>0</v>
      </c>
      <c r="O85" s="191"/>
      <c r="P85" s="183">
        <f t="shared" si="3"/>
        <v>0</v>
      </c>
      <c r="Q85" s="184"/>
    </row>
    <row r="86" spans="4:17" ht="18" customHeight="1">
      <c r="D86" s="185">
        <v>2020</v>
      </c>
      <c r="E86" s="183">
        <v>12</v>
      </c>
      <c r="F86" s="183" t="s">
        <v>632</v>
      </c>
      <c r="G86" s="183" t="s">
        <v>839</v>
      </c>
      <c r="H86" s="183" t="s">
        <v>840</v>
      </c>
      <c r="I86" s="183">
        <v>3</v>
      </c>
      <c r="J86" s="183" t="s">
        <v>473</v>
      </c>
      <c r="K86" s="183">
        <f>SUMIF(CF.1!$D:$D,'CFS(2개월)'!G86,CF.1!$U:$U)</f>
        <v>-175168445</v>
      </c>
      <c r="L86" s="183">
        <f>SUMIF('CF.1_2개월(단순차감)'!D:D,'CFS(2개월)'!G86,'CF.1_2개월(단순차감)'!AB:AB)</f>
        <v>-594384997</v>
      </c>
      <c r="M86" s="186">
        <f t="shared" si="2"/>
        <v>-419216552</v>
      </c>
      <c r="O86" s="191"/>
      <c r="P86" s="183">
        <f t="shared" si="3"/>
        <v>594384997</v>
      </c>
      <c r="Q86" s="184"/>
    </row>
    <row r="87" spans="4:17" ht="18" customHeight="1">
      <c r="D87" s="185">
        <v>2020</v>
      </c>
      <c r="E87" s="183">
        <v>12</v>
      </c>
      <c r="F87" s="183" t="s">
        <v>632</v>
      </c>
      <c r="G87" s="183" t="s">
        <v>841</v>
      </c>
      <c r="H87" s="183" t="s">
        <v>842</v>
      </c>
      <c r="I87" s="183">
        <v>3</v>
      </c>
      <c r="J87" s="183" t="s">
        <v>473</v>
      </c>
      <c r="K87" s="183">
        <f>SUMIF(CF.1!$D:$D,'CFS(2개월)'!G87,CF.1!$U:$U)</f>
        <v>0</v>
      </c>
      <c r="L87" s="183">
        <f>SUMIF('CF.1_2개월(단순차감)'!D:D,'CFS(2개월)'!G87,'CF.1_2개월(단순차감)'!AB:AB)</f>
        <v>0</v>
      </c>
      <c r="M87" s="186">
        <f t="shared" si="2"/>
        <v>0</v>
      </c>
      <c r="O87" s="191"/>
      <c r="P87" s="183">
        <f t="shared" si="3"/>
        <v>0</v>
      </c>
      <c r="Q87" s="184"/>
    </row>
    <row r="88" spans="4:17" ht="18" customHeight="1">
      <c r="D88" s="185">
        <v>2020</v>
      </c>
      <c r="E88" s="183">
        <v>12</v>
      </c>
      <c r="F88" s="183" t="s">
        <v>632</v>
      </c>
      <c r="G88" s="183" t="s">
        <v>843</v>
      </c>
      <c r="H88" s="183" t="s">
        <v>844</v>
      </c>
      <c r="I88" s="183">
        <v>3</v>
      </c>
      <c r="J88" s="183" t="s">
        <v>473</v>
      </c>
      <c r="K88" s="183">
        <f>SUMIF(CF.1!$D:$D,'CFS(2개월)'!G88,CF.1!$U:$U)</f>
        <v>-816498671</v>
      </c>
      <c r="L88" s="183">
        <f>SUMIF('CF.1_2개월(단순차감)'!D:D,'CFS(2개월)'!G88,'CF.1_2개월(단순차감)'!AB:AB)</f>
        <v>0</v>
      </c>
      <c r="M88" s="186">
        <f t="shared" si="2"/>
        <v>816498671</v>
      </c>
      <c r="O88" s="191"/>
      <c r="P88" s="183">
        <f t="shared" si="3"/>
        <v>0</v>
      </c>
      <c r="Q88" s="184"/>
    </row>
    <row r="89" spans="4:17" ht="18" customHeight="1">
      <c r="D89" s="185">
        <v>2020</v>
      </c>
      <c r="E89" s="183">
        <v>12</v>
      </c>
      <c r="F89" s="183" t="s">
        <v>632</v>
      </c>
      <c r="G89" s="183" t="s">
        <v>845</v>
      </c>
      <c r="H89" s="183" t="s">
        <v>846</v>
      </c>
      <c r="I89" s="183">
        <v>3</v>
      </c>
      <c r="J89" s="183" t="s">
        <v>473</v>
      </c>
      <c r="K89" s="183">
        <f>SUMIF(CF.1!$D:$D,'CFS(2개월)'!G89,CF.1!$U:$U)</f>
        <v>0</v>
      </c>
      <c r="L89" s="183">
        <f>SUMIF('CF.1_2개월(단순차감)'!D:D,'CFS(2개월)'!G89,'CF.1_2개월(단순차감)'!AB:AB)</f>
        <v>0</v>
      </c>
      <c r="M89" s="186">
        <f t="shared" si="2"/>
        <v>0</v>
      </c>
      <c r="O89" s="191"/>
      <c r="P89" s="183">
        <f t="shared" si="3"/>
        <v>0</v>
      </c>
      <c r="Q89" s="184"/>
    </row>
    <row r="90" spans="4:17" ht="18" customHeight="1">
      <c r="D90" s="185">
        <v>2020</v>
      </c>
      <c r="E90" s="183">
        <v>12</v>
      </c>
      <c r="F90" s="183" t="s">
        <v>632</v>
      </c>
      <c r="G90" s="183" t="s">
        <v>847</v>
      </c>
      <c r="H90" s="183" t="s">
        <v>848</v>
      </c>
      <c r="I90" s="183">
        <v>3</v>
      </c>
      <c r="J90" s="183" t="s">
        <v>473</v>
      </c>
      <c r="K90" s="183">
        <f>SUMIF(CF.1!$D:$D,'CFS(2개월)'!G90,CF.1!$U:$U)</f>
        <v>0</v>
      </c>
      <c r="L90" s="183">
        <f>SUMIF('CF.1_2개월(단순차감)'!D:D,'CFS(2개월)'!G90,'CF.1_2개월(단순차감)'!AB:AB)</f>
        <v>0</v>
      </c>
      <c r="M90" s="186">
        <f t="shared" si="2"/>
        <v>0</v>
      </c>
      <c r="O90" s="191"/>
      <c r="P90" s="183">
        <f t="shared" si="3"/>
        <v>0</v>
      </c>
      <c r="Q90" s="184"/>
    </row>
    <row r="91" spans="4:17" ht="18" customHeight="1">
      <c r="D91" s="185">
        <v>2020</v>
      </c>
      <c r="E91" s="183">
        <v>12</v>
      </c>
      <c r="F91" s="183" t="s">
        <v>632</v>
      </c>
      <c r="G91" s="183" t="s">
        <v>849</v>
      </c>
      <c r="H91" s="183" t="s">
        <v>850</v>
      </c>
      <c r="I91" s="183">
        <v>3</v>
      </c>
      <c r="J91" s="183" t="s">
        <v>473</v>
      </c>
      <c r="K91" s="183">
        <f>SUMIF(CF.1!$D:$D,'CFS(2개월)'!G91,CF.1!$U:$U)</f>
        <v>0</v>
      </c>
      <c r="L91" s="183">
        <f>SUMIF('CF.1_2개월(단순차감)'!D:D,'CFS(2개월)'!G91,'CF.1_2개월(단순차감)'!AB:AB)</f>
        <v>0</v>
      </c>
      <c r="M91" s="186">
        <f t="shared" si="2"/>
        <v>0</v>
      </c>
      <c r="O91" s="191"/>
      <c r="P91" s="183">
        <f t="shared" si="3"/>
        <v>0</v>
      </c>
      <c r="Q91" s="184"/>
    </row>
    <row r="92" spans="4:17" ht="18" customHeight="1">
      <c r="D92" s="185">
        <v>2020</v>
      </c>
      <c r="E92" s="183">
        <v>12</v>
      </c>
      <c r="F92" s="183" t="s">
        <v>632</v>
      </c>
      <c r="G92" s="183" t="s">
        <v>851</v>
      </c>
      <c r="H92" s="183" t="s">
        <v>852</v>
      </c>
      <c r="I92" s="183">
        <v>3</v>
      </c>
      <c r="J92" s="183" t="s">
        <v>473</v>
      </c>
      <c r="K92" s="183">
        <f>SUMIF(CF.1!$D:$D,'CFS(2개월)'!G92,CF.1!$U:$U)</f>
        <v>0</v>
      </c>
      <c r="L92" s="183">
        <f>SUMIF('CF.1_2개월(단순차감)'!D:D,'CFS(2개월)'!G92,'CF.1_2개월(단순차감)'!AB:AB)</f>
        <v>0</v>
      </c>
      <c r="M92" s="186">
        <f t="shared" si="2"/>
        <v>0</v>
      </c>
      <c r="O92" s="191"/>
      <c r="P92" s="183">
        <f t="shared" si="3"/>
        <v>0</v>
      </c>
      <c r="Q92" s="184"/>
    </row>
    <row r="93" spans="4:17" ht="18" customHeight="1">
      <c r="D93" s="185">
        <v>2020</v>
      </c>
      <c r="E93" s="183">
        <v>12</v>
      </c>
      <c r="F93" s="183" t="s">
        <v>632</v>
      </c>
      <c r="G93" s="183" t="s">
        <v>853</v>
      </c>
      <c r="H93" s="183" t="s">
        <v>854</v>
      </c>
      <c r="I93" s="183">
        <v>3</v>
      </c>
      <c r="J93" s="183" t="s">
        <v>473</v>
      </c>
      <c r="K93" s="183">
        <f>SUMIF(CF.1!$D:$D,'CFS(2개월)'!G93,CF.1!$U:$U)</f>
        <v>0</v>
      </c>
      <c r="L93" s="183">
        <f>SUMIF('CF.1_2개월(단순차감)'!D:D,'CFS(2개월)'!G93,'CF.1_2개월(단순차감)'!AB:AB)</f>
        <v>0</v>
      </c>
      <c r="M93" s="186">
        <f t="shared" si="2"/>
        <v>0</v>
      </c>
      <c r="O93" s="191"/>
      <c r="P93" s="183">
        <f t="shared" si="3"/>
        <v>0</v>
      </c>
      <c r="Q93" s="184"/>
    </row>
    <row r="94" spans="4:17" ht="18" customHeight="1">
      <c r="D94" s="185">
        <v>2020</v>
      </c>
      <c r="E94" s="183">
        <v>12</v>
      </c>
      <c r="F94" s="183" t="s">
        <v>632</v>
      </c>
      <c r="G94" s="183" t="s">
        <v>855</v>
      </c>
      <c r="H94" s="183" t="s">
        <v>856</v>
      </c>
      <c r="I94" s="183">
        <v>3</v>
      </c>
      <c r="J94" s="183" t="s">
        <v>473</v>
      </c>
      <c r="K94" s="183">
        <f>SUMIF(CF.1!$D:$D,'CFS(2개월)'!G94,CF.1!$U:$U)</f>
        <v>0</v>
      </c>
      <c r="L94" s="183">
        <f>SUMIF('CF.1_2개월(단순차감)'!D:D,'CFS(2개월)'!G94,'CF.1_2개월(단순차감)'!AB:AB)</f>
        <v>0</v>
      </c>
      <c r="M94" s="186">
        <f t="shared" si="2"/>
        <v>0</v>
      </c>
      <c r="O94" s="191"/>
      <c r="P94" s="183">
        <f t="shared" si="3"/>
        <v>0</v>
      </c>
      <c r="Q94" s="184"/>
    </row>
    <row r="95" spans="4:17" ht="18" customHeight="1">
      <c r="D95" s="185">
        <v>2020</v>
      </c>
      <c r="E95" s="183">
        <v>12</v>
      </c>
      <c r="F95" s="183" t="s">
        <v>632</v>
      </c>
      <c r="G95" s="183" t="s">
        <v>857</v>
      </c>
      <c r="H95" s="183" t="s">
        <v>858</v>
      </c>
      <c r="I95" s="183">
        <v>3</v>
      </c>
      <c r="J95" s="183" t="s">
        <v>473</v>
      </c>
      <c r="K95" s="183">
        <f>SUMIF(CF.1!$D:$D,'CFS(2개월)'!G95,CF.1!$U:$U)</f>
        <v>0</v>
      </c>
      <c r="L95" s="183">
        <f>SUMIF('CF.1_2개월(단순차감)'!D:D,'CFS(2개월)'!G95,'CF.1_2개월(단순차감)'!AB:AB)</f>
        <v>0</v>
      </c>
      <c r="M95" s="186">
        <f t="shared" si="2"/>
        <v>0</v>
      </c>
      <c r="O95" s="191"/>
      <c r="P95" s="183">
        <f t="shared" si="3"/>
        <v>0</v>
      </c>
      <c r="Q95" s="184"/>
    </row>
    <row r="96" spans="4:17" ht="18" customHeight="1">
      <c r="D96" s="185">
        <v>2020</v>
      </c>
      <c r="E96" s="183">
        <v>12</v>
      </c>
      <c r="F96" s="183" t="s">
        <v>632</v>
      </c>
      <c r="G96" s="183" t="s">
        <v>859</v>
      </c>
      <c r="H96" s="183" t="s">
        <v>860</v>
      </c>
      <c r="I96" s="183">
        <v>3</v>
      </c>
      <c r="J96" s="183" t="s">
        <v>473</v>
      </c>
      <c r="K96" s="183">
        <f>SUMIF(CF.1!$D:$D,'CFS(2개월)'!G96,CF.1!$U:$U)</f>
        <v>0</v>
      </c>
      <c r="L96" s="183">
        <f>SUMIF('CF.1_2개월(단순차감)'!D:D,'CFS(2개월)'!G96,'CF.1_2개월(단순차감)'!AB:AB)</f>
        <v>0</v>
      </c>
      <c r="M96" s="186">
        <f t="shared" si="2"/>
        <v>0</v>
      </c>
      <c r="O96" s="191"/>
      <c r="P96" s="183">
        <f t="shared" si="3"/>
        <v>0</v>
      </c>
      <c r="Q96" s="184"/>
    </row>
    <row r="97" spans="4:17" ht="18" customHeight="1">
      <c r="D97" s="185">
        <v>2020</v>
      </c>
      <c r="E97" s="183">
        <v>12</v>
      </c>
      <c r="F97" s="183" t="s">
        <v>632</v>
      </c>
      <c r="G97" s="183" t="s">
        <v>861</v>
      </c>
      <c r="H97" s="183" t="s">
        <v>862</v>
      </c>
      <c r="I97" s="183">
        <v>3</v>
      </c>
      <c r="J97" s="183" t="s">
        <v>473</v>
      </c>
      <c r="K97" s="183">
        <f>SUMIF(CF.1!$D:$D,'CFS(2개월)'!G97,CF.1!$U:$U)</f>
        <v>0</v>
      </c>
      <c r="L97" s="183">
        <f>SUMIF('CF.1_2개월(단순차감)'!D:D,'CFS(2개월)'!G97,'CF.1_2개월(단순차감)'!AB:AB)</f>
        <v>0</v>
      </c>
      <c r="M97" s="186">
        <f t="shared" si="2"/>
        <v>0</v>
      </c>
      <c r="O97" s="191"/>
      <c r="P97" s="183">
        <f t="shared" si="3"/>
        <v>0</v>
      </c>
      <c r="Q97" s="184"/>
    </row>
    <row r="98" spans="4:17" ht="18" customHeight="1">
      <c r="D98" s="185">
        <v>2020</v>
      </c>
      <c r="E98" s="183">
        <v>12</v>
      </c>
      <c r="F98" s="183" t="s">
        <v>632</v>
      </c>
      <c r="G98" s="183" t="s">
        <v>863</v>
      </c>
      <c r="H98" s="183" t="s">
        <v>864</v>
      </c>
      <c r="I98" s="183">
        <v>3</v>
      </c>
      <c r="J98" s="183" t="s">
        <v>473</v>
      </c>
      <c r="K98" s="183">
        <f>SUMIF(CF.1!$D:$D,'CFS(2개월)'!G98,CF.1!$U:$U)</f>
        <v>0</v>
      </c>
      <c r="L98" s="183">
        <f>SUMIF('CF.1_2개월(단순차감)'!D:D,'CFS(2개월)'!G98,'CF.1_2개월(단순차감)'!AB:AB)</f>
        <v>0</v>
      </c>
      <c r="M98" s="186">
        <f t="shared" si="2"/>
        <v>0</v>
      </c>
      <c r="O98" s="191"/>
      <c r="P98" s="183">
        <f t="shared" si="3"/>
        <v>0</v>
      </c>
      <c r="Q98" s="184"/>
    </row>
    <row r="99" spans="4:17" ht="18" customHeight="1">
      <c r="D99" s="185">
        <v>2020</v>
      </c>
      <c r="E99" s="183">
        <v>12</v>
      </c>
      <c r="F99" s="183" t="s">
        <v>632</v>
      </c>
      <c r="G99" s="183" t="s">
        <v>865</v>
      </c>
      <c r="H99" s="183" t="s">
        <v>866</v>
      </c>
      <c r="I99" s="183">
        <v>3</v>
      </c>
      <c r="J99" s="183" t="s">
        <v>473</v>
      </c>
      <c r="K99" s="183">
        <f>SUMIF(CF.1!$D:$D,'CFS(2개월)'!G99,CF.1!$U:$U)</f>
        <v>0</v>
      </c>
      <c r="L99" s="183">
        <f>SUMIF('CF.1_2개월(단순차감)'!D:D,'CFS(2개월)'!G99,'CF.1_2개월(단순차감)'!AB:AB)</f>
        <v>0</v>
      </c>
      <c r="M99" s="186">
        <f t="shared" si="2"/>
        <v>0</v>
      </c>
      <c r="O99" s="191"/>
      <c r="P99" s="183">
        <f t="shared" si="3"/>
        <v>0</v>
      </c>
      <c r="Q99" s="184"/>
    </row>
    <row r="100" spans="4:17" ht="18" customHeight="1">
      <c r="D100" s="185">
        <v>2020</v>
      </c>
      <c r="E100" s="183">
        <v>12</v>
      </c>
      <c r="F100" s="183" t="s">
        <v>632</v>
      </c>
      <c r="G100" s="183" t="s">
        <v>867</v>
      </c>
      <c r="H100" s="183" t="s">
        <v>868</v>
      </c>
      <c r="I100" s="183">
        <v>3</v>
      </c>
      <c r="J100" s="183" t="s">
        <v>473</v>
      </c>
      <c r="K100" s="183">
        <f>SUMIF(CF.1!$D:$D,'CFS(2개월)'!G100,CF.1!$U:$U)</f>
        <v>0</v>
      </c>
      <c r="L100" s="183">
        <f>SUMIF('CF.1_2개월(단순차감)'!D:D,'CFS(2개월)'!G100,'CF.1_2개월(단순차감)'!AB:AB)</f>
        <v>0</v>
      </c>
      <c r="M100" s="186">
        <f t="shared" si="2"/>
        <v>0</v>
      </c>
      <c r="O100" s="191"/>
      <c r="P100" s="183">
        <f t="shared" si="3"/>
        <v>0</v>
      </c>
      <c r="Q100" s="184"/>
    </row>
    <row r="101" spans="4:17" ht="18" customHeight="1">
      <c r="D101" s="185">
        <v>2020</v>
      </c>
      <c r="E101" s="183">
        <v>12</v>
      </c>
      <c r="F101" s="183" t="s">
        <v>632</v>
      </c>
      <c r="G101" s="183" t="s">
        <v>869</v>
      </c>
      <c r="H101" s="183" t="s">
        <v>870</v>
      </c>
      <c r="I101" s="183">
        <v>3</v>
      </c>
      <c r="J101" s="183" t="s">
        <v>473</v>
      </c>
      <c r="K101" s="183">
        <f>SUMIF(CF.1!$D:$D,'CFS(2개월)'!G101,CF.1!$U:$U)</f>
        <v>0</v>
      </c>
      <c r="L101" s="183">
        <f>SUMIF('CF.1_2개월(단순차감)'!D:D,'CFS(2개월)'!G101,'CF.1_2개월(단순차감)'!AB:AB)</f>
        <v>0</v>
      </c>
      <c r="M101" s="186">
        <f t="shared" si="2"/>
        <v>0</v>
      </c>
      <c r="O101" s="191"/>
      <c r="P101" s="183">
        <f t="shared" si="3"/>
        <v>0</v>
      </c>
      <c r="Q101" s="184"/>
    </row>
    <row r="102" spans="4:17" ht="18" customHeight="1">
      <c r="D102" s="185">
        <v>2020</v>
      </c>
      <c r="E102" s="183">
        <v>12</v>
      </c>
      <c r="F102" s="183" t="s">
        <v>632</v>
      </c>
      <c r="G102" s="183" t="s">
        <v>871</v>
      </c>
      <c r="H102" s="183" t="s">
        <v>872</v>
      </c>
      <c r="I102" s="183">
        <v>3</v>
      </c>
      <c r="J102" s="183" t="s">
        <v>473</v>
      </c>
      <c r="K102" s="183">
        <f>SUMIF(CF.1!$D:$D,'CFS(2개월)'!G102,CF.1!$U:$U)</f>
        <v>0</v>
      </c>
      <c r="L102" s="183">
        <f>SUMIF('CF.1_2개월(단순차감)'!D:D,'CFS(2개월)'!G102,'CF.1_2개월(단순차감)'!AB:AB)</f>
        <v>0</v>
      </c>
      <c r="M102" s="186">
        <f t="shared" si="2"/>
        <v>0</v>
      </c>
      <c r="O102" s="191"/>
      <c r="P102" s="183">
        <f t="shared" si="3"/>
        <v>0</v>
      </c>
      <c r="Q102" s="184"/>
    </row>
    <row r="103" spans="4:17" ht="18" customHeight="1">
      <c r="D103" s="185">
        <v>2020</v>
      </c>
      <c r="E103" s="183">
        <v>12</v>
      </c>
      <c r="F103" s="183" t="s">
        <v>632</v>
      </c>
      <c r="G103" s="183" t="s">
        <v>873</v>
      </c>
      <c r="H103" s="183" t="s">
        <v>673</v>
      </c>
      <c r="I103" s="183">
        <v>3</v>
      </c>
      <c r="J103" s="183" t="s">
        <v>473</v>
      </c>
      <c r="K103" s="183">
        <f>SUMIF(CF.1!$D:$D,'CFS(2개월)'!G103,CF.1!$U:$U)</f>
        <v>-1666986895</v>
      </c>
      <c r="L103" s="183">
        <f>SUMIF('CF.1_2개월(단순차감)'!D:D,'CFS(2개월)'!G103,'CF.1_2개월(단순차감)'!AB:AB)</f>
        <v>-249663688</v>
      </c>
      <c r="M103" s="186">
        <f t="shared" si="2"/>
        <v>1417323207</v>
      </c>
      <c r="O103" s="191"/>
      <c r="P103" s="183">
        <f t="shared" si="3"/>
        <v>249663688</v>
      </c>
      <c r="Q103" s="184"/>
    </row>
    <row r="104" spans="4:17" ht="18" customHeight="1">
      <c r="D104" s="185">
        <v>2020</v>
      </c>
      <c r="E104" s="183">
        <v>12</v>
      </c>
      <c r="F104" s="183" t="s">
        <v>632</v>
      </c>
      <c r="G104" s="183" t="s">
        <v>1498</v>
      </c>
      <c r="H104" s="183" t="s">
        <v>1499</v>
      </c>
      <c r="I104" s="183">
        <v>3</v>
      </c>
      <c r="J104" s="183" t="s">
        <v>473</v>
      </c>
      <c r="K104" s="183">
        <f>SUMIF(CF.1!$D:$D,'CFS(2개월)'!G104,CF.1!$U:$U)</f>
        <v>0</v>
      </c>
      <c r="L104" s="183">
        <f>SUMIF('CF.1_2개월(단순차감)'!D:D,'CFS(2개월)'!G104,'CF.1_2개월(단순차감)'!AB:AB)</f>
        <v>0</v>
      </c>
      <c r="M104" s="186">
        <f t="shared" si="2"/>
        <v>0</v>
      </c>
      <c r="O104" s="191"/>
      <c r="P104" s="183">
        <f t="shared" si="3"/>
        <v>0</v>
      </c>
      <c r="Q104" s="184"/>
    </row>
    <row r="105" spans="4:17" ht="18" customHeight="1">
      <c r="D105" s="185">
        <v>2020</v>
      </c>
      <c r="E105" s="183">
        <v>12</v>
      </c>
      <c r="F105" s="183" t="s">
        <v>632</v>
      </c>
      <c r="G105" s="183" t="s">
        <v>1500</v>
      </c>
      <c r="H105" s="183" t="s">
        <v>877</v>
      </c>
      <c r="I105" s="183">
        <v>3</v>
      </c>
      <c r="J105" s="183" t="s">
        <v>473</v>
      </c>
      <c r="K105" s="183">
        <f>SUMIF(CF.1!$D:$D,'CFS(2개월)'!G105,CF.1!$U:$U)</f>
        <v>0</v>
      </c>
      <c r="L105" s="183">
        <f>SUMIF('CF.1_2개월(단순차감)'!D:D,'CFS(2개월)'!G105,'CF.1_2개월(단순차감)'!AB:AB)</f>
        <v>0</v>
      </c>
      <c r="M105" s="186">
        <f t="shared" si="2"/>
        <v>0</v>
      </c>
      <c r="O105" s="191"/>
      <c r="P105" s="183">
        <f t="shared" si="3"/>
        <v>0</v>
      </c>
      <c r="Q105" s="184"/>
    </row>
    <row r="106" spans="4:17" ht="18" customHeight="1">
      <c r="D106" s="185">
        <v>2020</v>
      </c>
      <c r="E106" s="183">
        <v>12</v>
      </c>
      <c r="F106" s="183" t="s">
        <v>632</v>
      </c>
      <c r="G106" s="183" t="s">
        <v>900</v>
      </c>
      <c r="H106" s="183" t="s">
        <v>1501</v>
      </c>
      <c r="I106" s="183">
        <v>3</v>
      </c>
      <c r="J106" s="183" t="s">
        <v>473</v>
      </c>
      <c r="K106" s="183">
        <f>SUMIF(CF.1!$D:$D,'CFS(2개월)'!G106,CF.1!$U:$U)</f>
        <v>-61773000</v>
      </c>
      <c r="L106" s="183">
        <f>SUMIF('CF.1_2개월(단순차감)'!D:D,'CFS(2개월)'!G106,'CF.1_2개월(단순차감)'!AB:AB)</f>
        <v>14588</v>
      </c>
      <c r="M106" s="186">
        <f t="shared" si="2"/>
        <v>61787588</v>
      </c>
      <c r="O106" s="191"/>
      <c r="P106" s="183">
        <f t="shared" si="3"/>
        <v>-14588</v>
      </c>
      <c r="Q106" s="184" t="s">
        <v>1882</v>
      </c>
    </row>
    <row r="107" spans="4:17" ht="18" customHeight="1">
      <c r="D107" s="179">
        <v>2020</v>
      </c>
      <c r="E107" s="180">
        <v>12</v>
      </c>
      <c r="F107" s="180" t="s">
        <v>632</v>
      </c>
      <c r="G107" s="180" t="s">
        <v>902</v>
      </c>
      <c r="H107" s="180" t="s">
        <v>1502</v>
      </c>
      <c r="I107" s="180">
        <v>2</v>
      </c>
      <c r="J107" s="180" t="s">
        <v>473</v>
      </c>
      <c r="K107" s="180">
        <f>SUM(K108:K149)</f>
        <v>2782387341</v>
      </c>
      <c r="L107" s="180">
        <f>SUM(L108:L149)</f>
        <v>10573926321</v>
      </c>
      <c r="M107" s="181">
        <f>SUM(M108:M148)</f>
        <v>5353626271</v>
      </c>
      <c r="O107" s="182"/>
      <c r="P107" s="183">
        <f t="shared" si="3"/>
        <v>-10573926321</v>
      </c>
      <c r="Q107" s="184"/>
    </row>
    <row r="108" spans="4:17" ht="18" customHeight="1">
      <c r="D108" s="185">
        <v>2020</v>
      </c>
      <c r="E108" s="183">
        <v>12</v>
      </c>
      <c r="F108" s="183" t="s">
        <v>632</v>
      </c>
      <c r="G108" s="183" t="s">
        <v>904</v>
      </c>
      <c r="H108" s="183" t="s">
        <v>905</v>
      </c>
      <c r="I108" s="183">
        <v>3</v>
      </c>
      <c r="J108" s="183" t="s">
        <v>473</v>
      </c>
      <c r="K108" s="183">
        <f>SUMIF(CF.1!$D:$D,'CFS(2개월)'!G108,CF.1!$U:$U)</f>
        <v>-4874284394</v>
      </c>
      <c r="L108" s="183">
        <f>SUMIF('CF.1_2개월(단순차감)'!D:D,'CFS(2개월)'!G108,'CF.1_2개월(단순차감)'!AB:AB)</f>
        <v>1670779312</v>
      </c>
      <c r="M108" s="186">
        <f t="shared" ref="M108:M148" si="4">L108-K108</f>
        <v>6545063706</v>
      </c>
      <c r="O108" s="182"/>
      <c r="P108" s="183">
        <f t="shared" si="3"/>
        <v>-1670779312</v>
      </c>
      <c r="Q108" s="184"/>
    </row>
    <row r="109" spans="4:17" ht="18" customHeight="1">
      <c r="D109" s="185">
        <v>2020</v>
      </c>
      <c r="E109" s="183">
        <v>12</v>
      </c>
      <c r="F109" s="183" t="s">
        <v>632</v>
      </c>
      <c r="G109" s="183" t="s">
        <v>906</v>
      </c>
      <c r="H109" s="183" t="s">
        <v>907</v>
      </c>
      <c r="I109" s="183">
        <v>3</v>
      </c>
      <c r="J109" s="183" t="s">
        <v>473</v>
      </c>
      <c r="K109" s="183">
        <f>SUMIF(CF.1!$D:$D,'CFS(2개월)'!G109,CF.1!$U:$U)</f>
        <v>1368660023</v>
      </c>
      <c r="L109" s="183">
        <f>SUMIF('CF.1_2개월(단순차감)'!D:D,'CFS(2개월)'!G109,'CF.1_2개월(단순차감)'!AB:AB)</f>
        <v>-1581841609</v>
      </c>
      <c r="M109" s="186">
        <f t="shared" si="4"/>
        <v>-2950501632</v>
      </c>
      <c r="O109" s="182"/>
      <c r="P109" s="183">
        <f t="shared" si="3"/>
        <v>1581841609</v>
      </c>
      <c r="Q109" s="184"/>
    </row>
    <row r="110" spans="4:17" ht="18" customHeight="1">
      <c r="D110" s="185">
        <v>2020</v>
      </c>
      <c r="E110" s="183">
        <v>12</v>
      </c>
      <c r="F110" s="183" t="s">
        <v>632</v>
      </c>
      <c r="G110" s="183" t="s">
        <v>908</v>
      </c>
      <c r="H110" s="183" t="s">
        <v>909</v>
      </c>
      <c r="I110" s="183">
        <v>3</v>
      </c>
      <c r="J110" s="183" t="s">
        <v>473</v>
      </c>
      <c r="K110" s="183">
        <f>SUMIF(CF.1!$D:$D,'CFS(2개월)'!G110,CF.1!$U:$U)</f>
        <v>-286577263</v>
      </c>
      <c r="L110" s="183">
        <f>SUMIF('CF.1_2개월(단순차감)'!D:D,'CFS(2개월)'!G110,'CF.1_2개월(단순차감)'!AB:AB)</f>
        <v>11531507</v>
      </c>
      <c r="M110" s="186">
        <f t="shared" si="4"/>
        <v>298108770</v>
      </c>
      <c r="O110" s="182"/>
      <c r="P110" s="183">
        <f t="shared" si="3"/>
        <v>-11531507</v>
      </c>
      <c r="Q110" s="184"/>
    </row>
    <row r="111" spans="4:17" ht="18" customHeight="1">
      <c r="D111" s="185">
        <v>2020</v>
      </c>
      <c r="E111" s="183">
        <v>12</v>
      </c>
      <c r="F111" s="183" t="s">
        <v>632</v>
      </c>
      <c r="G111" s="183" t="s">
        <v>910</v>
      </c>
      <c r="H111" s="183" t="s">
        <v>911</v>
      </c>
      <c r="I111" s="183">
        <v>3</v>
      </c>
      <c r="J111" s="183" t="s">
        <v>473</v>
      </c>
      <c r="K111" s="183">
        <f>SUMIF(CF.1!$D:$D,'CFS(2개월)'!G111,CF.1!$U:$U)</f>
        <v>7664228600</v>
      </c>
      <c r="L111" s="183">
        <f>SUMIF('CF.1_2개월(단순차감)'!D:D,'CFS(2개월)'!G111,'CF.1_2개월(단순차감)'!AB:AB)</f>
        <v>-853028556</v>
      </c>
      <c r="M111" s="186">
        <f t="shared" si="4"/>
        <v>-8517257156</v>
      </c>
      <c r="O111" s="182"/>
      <c r="P111" s="183">
        <f t="shared" si="3"/>
        <v>853028556</v>
      </c>
      <c r="Q111" s="184"/>
    </row>
    <row r="112" spans="4:17" ht="18" customHeight="1">
      <c r="D112" s="185">
        <v>2020</v>
      </c>
      <c r="E112" s="183">
        <v>12</v>
      </c>
      <c r="F112" s="183" t="s">
        <v>632</v>
      </c>
      <c r="G112" s="183" t="s">
        <v>912</v>
      </c>
      <c r="H112" s="183" t="s">
        <v>913</v>
      </c>
      <c r="I112" s="183">
        <v>3</v>
      </c>
      <c r="J112" s="183" t="s">
        <v>473</v>
      </c>
      <c r="K112" s="183">
        <f>SUMIF(CF.1!$D:$D,'CFS(2개월)'!G112,CF.1!$U:$U)</f>
        <v>0</v>
      </c>
      <c r="L112" s="183">
        <f>SUMIF('CF.1_2개월(단순차감)'!D:D,'CFS(2개월)'!G112,'CF.1_2개월(단순차감)'!AB:AB)</f>
        <v>0</v>
      </c>
      <c r="M112" s="186">
        <f t="shared" si="4"/>
        <v>0</v>
      </c>
      <c r="O112" s="182"/>
      <c r="P112" s="183">
        <f t="shared" si="3"/>
        <v>0</v>
      </c>
      <c r="Q112" s="184"/>
    </row>
    <row r="113" spans="4:17" ht="18" customHeight="1">
      <c r="D113" s="185">
        <v>2020</v>
      </c>
      <c r="E113" s="183">
        <v>12</v>
      </c>
      <c r="F113" s="183" t="s">
        <v>632</v>
      </c>
      <c r="G113" s="183" t="s">
        <v>914</v>
      </c>
      <c r="H113" s="183" t="s">
        <v>915</v>
      </c>
      <c r="I113" s="183">
        <v>3</v>
      </c>
      <c r="J113" s="183" t="s">
        <v>473</v>
      </c>
      <c r="K113" s="183">
        <f>SUMIF(CF.1!$D:$D,'CFS(2개월)'!G113,CF.1!$U:$U)</f>
        <v>371917777</v>
      </c>
      <c r="L113" s="183">
        <f>SUMIF('CF.1_2개월(단순차감)'!D:D,'CFS(2개월)'!G113,'CF.1_2개월(단순차감)'!AB:AB)</f>
        <v>289170326</v>
      </c>
      <c r="M113" s="186">
        <f t="shared" si="4"/>
        <v>-82747451</v>
      </c>
      <c r="O113" s="182"/>
      <c r="P113" s="183">
        <f t="shared" si="3"/>
        <v>-289170326</v>
      </c>
      <c r="Q113" s="184"/>
    </row>
    <row r="114" spans="4:17" s="190" customFormat="1" ht="18" customHeight="1">
      <c r="D114" s="187">
        <v>2020</v>
      </c>
      <c r="E114" s="188">
        <v>12</v>
      </c>
      <c r="F114" s="188" t="s">
        <v>632</v>
      </c>
      <c r="G114" s="188" t="s">
        <v>980</v>
      </c>
      <c r="H114" s="188" t="s">
        <v>981</v>
      </c>
      <c r="I114" s="188">
        <v>4</v>
      </c>
      <c r="J114" s="188" t="s">
        <v>473</v>
      </c>
      <c r="K114" s="188">
        <f>SUMIF(CF.1!$D:$D,'CFS(2개월)'!G114,CF.1!$U:$U)</f>
        <v>58123</v>
      </c>
      <c r="L114" s="188">
        <f>SUMIF('CF.1_2개월(단순차감)'!D:D,'CFS(2개월)'!G114,'CF.1_2개월(단순차감)'!AB:AB)</f>
        <v>-651388</v>
      </c>
      <c r="M114" s="189">
        <f t="shared" si="4"/>
        <v>-709511</v>
      </c>
      <c r="O114" s="191"/>
      <c r="P114" s="188">
        <f t="shared" si="3"/>
        <v>651388</v>
      </c>
      <c r="Q114" s="192"/>
    </row>
    <row r="115" spans="4:17" ht="18" customHeight="1">
      <c r="D115" s="185">
        <v>2020</v>
      </c>
      <c r="E115" s="183">
        <v>12</v>
      </c>
      <c r="F115" s="183" t="s">
        <v>632</v>
      </c>
      <c r="G115" s="183" t="s">
        <v>916</v>
      </c>
      <c r="H115" s="183" t="s">
        <v>917</v>
      </c>
      <c r="I115" s="183">
        <v>3</v>
      </c>
      <c r="J115" s="183" t="s">
        <v>473</v>
      </c>
      <c r="K115" s="183">
        <f>SUMIF(CF.1!$D:$D,'CFS(2개월)'!G115,CF.1!$U:$U)</f>
        <v>0</v>
      </c>
      <c r="L115" s="183">
        <f>SUMIF('CF.1_2개월(단순차감)'!D:D,'CFS(2개월)'!G115,'CF.1_2개월(단순차감)'!AB:AB)</f>
        <v>0</v>
      </c>
      <c r="M115" s="186">
        <f t="shared" si="4"/>
        <v>0</v>
      </c>
      <c r="O115" s="182"/>
      <c r="P115" s="183">
        <f t="shared" si="3"/>
        <v>0</v>
      </c>
      <c r="Q115" s="184"/>
    </row>
    <row r="116" spans="4:17" ht="18" customHeight="1">
      <c r="D116" s="185">
        <v>2020</v>
      </c>
      <c r="E116" s="183">
        <v>12</v>
      </c>
      <c r="F116" s="183" t="s">
        <v>632</v>
      </c>
      <c r="G116" s="183" t="s">
        <v>920</v>
      </c>
      <c r="H116" s="183" t="s">
        <v>921</v>
      </c>
      <c r="I116" s="183">
        <v>3</v>
      </c>
      <c r="J116" s="183" t="s">
        <v>473</v>
      </c>
      <c r="K116" s="183">
        <f>SUMIF(CF.1!$D:$D,'CFS(2개월)'!G116,CF.1!$U:$U)</f>
        <v>367641956</v>
      </c>
      <c r="L116" s="183">
        <f>SUMIF('CF.1_2개월(단순차감)'!D:D,'CFS(2개월)'!G116,'CF.1_2개월(단순차감)'!AB:AB)</f>
        <v>5655620</v>
      </c>
      <c r="M116" s="186">
        <f t="shared" si="4"/>
        <v>-361986336</v>
      </c>
      <c r="O116" s="182"/>
      <c r="P116" s="183">
        <f t="shared" si="3"/>
        <v>-5655620</v>
      </c>
      <c r="Q116" s="184"/>
    </row>
    <row r="117" spans="4:17" ht="18" customHeight="1">
      <c r="D117" s="185">
        <v>2020</v>
      </c>
      <c r="E117" s="183">
        <v>12</v>
      </c>
      <c r="F117" s="183" t="s">
        <v>632</v>
      </c>
      <c r="G117" s="183" t="s">
        <v>922</v>
      </c>
      <c r="H117" s="183" t="s">
        <v>923</v>
      </c>
      <c r="I117" s="183">
        <v>3</v>
      </c>
      <c r="J117" s="183" t="s">
        <v>473</v>
      </c>
      <c r="K117" s="183">
        <f>SUMIF(CF.1!$D:$D,'CFS(2개월)'!G117,CF.1!$U:$U)</f>
        <v>-6597389970</v>
      </c>
      <c r="L117" s="183">
        <f>SUMIF('CF.1_2개월(단순차감)'!D:D,'CFS(2개월)'!G117,'CF.1_2개월(단순차감)'!AB:AB)</f>
        <v>470415652</v>
      </c>
      <c r="M117" s="186">
        <f t="shared" si="4"/>
        <v>7067805622</v>
      </c>
      <c r="O117" s="182"/>
      <c r="P117" s="183">
        <f t="shared" si="3"/>
        <v>-470415652</v>
      </c>
      <c r="Q117" s="184"/>
    </row>
    <row r="118" spans="4:17" s="190" customFormat="1" ht="18" customHeight="1">
      <c r="D118" s="187">
        <v>2020</v>
      </c>
      <c r="E118" s="188">
        <v>12</v>
      </c>
      <c r="F118" s="188" t="s">
        <v>632</v>
      </c>
      <c r="G118" s="188" t="s">
        <v>994</v>
      </c>
      <c r="H118" s="188" t="s">
        <v>2190</v>
      </c>
      <c r="I118" s="188">
        <v>3</v>
      </c>
      <c r="J118" s="188" t="s">
        <v>473</v>
      </c>
      <c r="K118" s="188">
        <f>SUMIF(CF.1!$D:$D,'CFS(2개월)'!G118,CF.1!$U:$U)</f>
        <v>19882908</v>
      </c>
      <c r="L118" s="188">
        <f>SUMIF('CF.1_2개월(단순차감)'!D:D,'CFS(2개월)'!G118,'CF.1_2개월(단순차감)'!AB:AB)</f>
        <v>44122672</v>
      </c>
      <c r="M118" s="189">
        <f t="shared" si="4"/>
        <v>24239764</v>
      </c>
      <c r="O118" s="191"/>
      <c r="P118" s="188">
        <f t="shared" si="3"/>
        <v>-44122672</v>
      </c>
      <c r="Q118" s="192"/>
    </row>
    <row r="119" spans="4:17" ht="18" customHeight="1">
      <c r="D119" s="185">
        <v>2020</v>
      </c>
      <c r="E119" s="183">
        <v>12</v>
      </c>
      <c r="F119" s="183" t="s">
        <v>632</v>
      </c>
      <c r="G119" s="183" t="s">
        <v>924</v>
      </c>
      <c r="H119" s="183" t="s">
        <v>925</v>
      </c>
      <c r="I119" s="183">
        <v>3</v>
      </c>
      <c r="J119" s="183" t="s">
        <v>473</v>
      </c>
      <c r="K119" s="183">
        <f>SUMIF(CF.1!$D:$D,'CFS(2개월)'!G119,CF.1!$U:$U)</f>
        <v>0</v>
      </c>
      <c r="L119" s="183">
        <f>SUMIF('CF.1_2개월(단순차감)'!D:D,'CFS(2개월)'!G119,'CF.1_2개월(단순차감)'!AB:AB)</f>
        <v>0</v>
      </c>
      <c r="M119" s="186">
        <f t="shared" si="4"/>
        <v>0</v>
      </c>
      <c r="O119" s="182"/>
      <c r="P119" s="183">
        <f t="shared" si="3"/>
        <v>0</v>
      </c>
      <c r="Q119" s="184"/>
    </row>
    <row r="120" spans="4:17" ht="18" customHeight="1">
      <c r="D120" s="185">
        <v>2020</v>
      </c>
      <c r="E120" s="183">
        <v>12</v>
      </c>
      <c r="F120" s="183" t="s">
        <v>632</v>
      </c>
      <c r="G120" s="183" t="s">
        <v>932</v>
      </c>
      <c r="H120" s="183" t="s">
        <v>933</v>
      </c>
      <c r="I120" s="183">
        <v>3</v>
      </c>
      <c r="J120" s="183" t="s">
        <v>473</v>
      </c>
      <c r="K120" s="183">
        <f>SUMIF(CF.1!$D:$D,'CFS(2개월)'!G120,CF.1!$U:$U)</f>
        <v>0</v>
      </c>
      <c r="L120" s="183">
        <f>SUMIF('CF.1_2개월(단순차감)'!D:D,'CFS(2개월)'!G120,'CF.1_2개월(단순차감)'!AB:AB)</f>
        <v>0</v>
      </c>
      <c r="M120" s="186">
        <f t="shared" si="4"/>
        <v>0</v>
      </c>
      <c r="O120" s="182"/>
      <c r="P120" s="183">
        <f t="shared" si="3"/>
        <v>0</v>
      </c>
      <c r="Q120" s="184"/>
    </row>
    <row r="121" spans="4:17" ht="18" customHeight="1">
      <c r="D121" s="185">
        <v>2020</v>
      </c>
      <c r="E121" s="183">
        <v>12</v>
      </c>
      <c r="F121" s="183" t="s">
        <v>632</v>
      </c>
      <c r="G121" s="183" t="s">
        <v>934</v>
      </c>
      <c r="H121" s="183" t="s">
        <v>935</v>
      </c>
      <c r="I121" s="183">
        <v>3</v>
      </c>
      <c r="J121" s="183" t="s">
        <v>473</v>
      </c>
      <c r="K121" s="183">
        <f>SUMIF(CF.1!$D:$D,'CFS(2개월)'!G121,CF.1!$U:$U)</f>
        <v>0</v>
      </c>
      <c r="L121" s="183">
        <f>SUMIF('CF.1_2개월(단순차감)'!D:D,'CFS(2개월)'!G121,'CF.1_2개월(단순차감)'!AB:AB)</f>
        <v>0</v>
      </c>
      <c r="M121" s="186">
        <f t="shared" si="4"/>
        <v>0</v>
      </c>
      <c r="O121" s="182"/>
      <c r="P121" s="183">
        <f t="shared" si="3"/>
        <v>0</v>
      </c>
      <c r="Q121" s="184"/>
    </row>
    <row r="122" spans="4:17" ht="18" customHeight="1">
      <c r="D122" s="185">
        <v>2020</v>
      </c>
      <c r="E122" s="183">
        <v>12</v>
      </c>
      <c r="F122" s="183" t="s">
        <v>632</v>
      </c>
      <c r="G122" s="183" t="s">
        <v>936</v>
      </c>
      <c r="H122" s="183" t="s">
        <v>937</v>
      </c>
      <c r="I122" s="183">
        <v>3</v>
      </c>
      <c r="J122" s="183" t="s">
        <v>473</v>
      </c>
      <c r="K122" s="183">
        <f>SUMIF(CF.1!$D:$D,'CFS(2개월)'!G122,CF.1!$U:$U)</f>
        <v>0</v>
      </c>
      <c r="L122" s="183">
        <f>SUMIF('CF.1_2개월(단순차감)'!D:D,'CFS(2개월)'!G122,'CF.1_2개월(단순차감)'!AB:AB)</f>
        <v>0</v>
      </c>
      <c r="M122" s="186">
        <f t="shared" si="4"/>
        <v>0</v>
      </c>
      <c r="O122" s="182"/>
      <c r="P122" s="183">
        <f t="shared" si="3"/>
        <v>0</v>
      </c>
      <c r="Q122" s="184"/>
    </row>
    <row r="123" spans="4:17" ht="18" customHeight="1">
      <c r="D123" s="185">
        <v>2020</v>
      </c>
      <c r="E123" s="183">
        <v>12</v>
      </c>
      <c r="F123" s="183" t="s">
        <v>632</v>
      </c>
      <c r="G123" s="183" t="s">
        <v>938</v>
      </c>
      <c r="H123" s="183" t="s">
        <v>939</v>
      </c>
      <c r="I123" s="183">
        <v>3</v>
      </c>
      <c r="J123" s="183" t="s">
        <v>473</v>
      </c>
      <c r="K123" s="183">
        <f>SUMIF(CF.1!$D:$D,'CFS(2개월)'!G123,CF.1!$U:$U)</f>
        <v>0</v>
      </c>
      <c r="L123" s="183">
        <f>SUMIF('CF.1_2개월(단순차감)'!D:D,'CFS(2개월)'!G123,'CF.1_2개월(단순차감)'!AB:AB)</f>
        <v>0</v>
      </c>
      <c r="M123" s="186">
        <f t="shared" si="4"/>
        <v>0</v>
      </c>
      <c r="O123" s="182"/>
      <c r="P123" s="183">
        <f t="shared" si="3"/>
        <v>0</v>
      </c>
      <c r="Q123" s="184"/>
    </row>
    <row r="124" spans="4:17" ht="18" customHeight="1">
      <c r="D124" s="185">
        <v>2020</v>
      </c>
      <c r="E124" s="183">
        <v>12</v>
      </c>
      <c r="F124" s="183" t="s">
        <v>632</v>
      </c>
      <c r="G124" s="183" t="s">
        <v>940</v>
      </c>
      <c r="H124" s="183" t="s">
        <v>941</v>
      </c>
      <c r="I124" s="183">
        <v>3</v>
      </c>
      <c r="J124" s="183" t="s">
        <v>473</v>
      </c>
      <c r="K124" s="183">
        <f>SUMIF(CF.1!$D:$D,'CFS(2개월)'!G124,CF.1!$U:$U)</f>
        <v>4886265252</v>
      </c>
      <c r="L124" s="183">
        <f>SUMIF('CF.1_2개월(단순차감)'!D:D,'CFS(2개월)'!G124,'CF.1_2개월(단순차감)'!AB:AB)</f>
        <v>-202363772</v>
      </c>
      <c r="M124" s="186">
        <f t="shared" si="4"/>
        <v>-5088629024</v>
      </c>
      <c r="O124" s="182"/>
      <c r="P124" s="183">
        <f t="shared" si="3"/>
        <v>202363772</v>
      </c>
      <c r="Q124" s="184"/>
    </row>
    <row r="125" spans="4:17" s="190" customFormat="1" ht="18" customHeight="1">
      <c r="D125" s="187">
        <v>2020</v>
      </c>
      <c r="E125" s="188">
        <v>12</v>
      </c>
      <c r="F125" s="188" t="s">
        <v>632</v>
      </c>
      <c r="G125" s="188" t="s">
        <v>942</v>
      </c>
      <c r="H125" s="188" t="s">
        <v>943</v>
      </c>
      <c r="I125" s="188">
        <v>3</v>
      </c>
      <c r="J125" s="188" t="s">
        <v>473</v>
      </c>
      <c r="K125" s="188">
        <f>SUMIF(CF.1!$D:$D,'CFS(2개월)'!G125,CF.1!$U:$U)</f>
        <v>0</v>
      </c>
      <c r="L125" s="188">
        <f>SUMIF('CF.1_2개월(단순차감)'!D:D,'CFS(2개월)'!G125,'CF.1_2개월(단순차감)'!AB:AB)</f>
        <v>0</v>
      </c>
      <c r="M125" s="189">
        <f t="shared" si="4"/>
        <v>0</v>
      </c>
      <c r="O125" s="191"/>
      <c r="P125" s="188">
        <f t="shared" si="3"/>
        <v>0</v>
      </c>
      <c r="Q125" s="192" t="s">
        <v>1685</v>
      </c>
    </row>
    <row r="126" spans="4:17" ht="18" customHeight="1">
      <c r="D126" s="185">
        <v>2020</v>
      </c>
      <c r="E126" s="183">
        <v>12</v>
      </c>
      <c r="F126" s="183" t="s">
        <v>632</v>
      </c>
      <c r="G126" s="183" t="s">
        <v>944</v>
      </c>
      <c r="H126" s="183" t="s">
        <v>945</v>
      </c>
      <c r="I126" s="183">
        <v>3</v>
      </c>
      <c r="J126" s="183" t="s">
        <v>473</v>
      </c>
      <c r="K126" s="183">
        <f>SUMIF(CF.1!$D:$D,'CFS(2개월)'!G126,CF.1!$U:$U)</f>
        <v>-316678366</v>
      </c>
      <c r="L126" s="183">
        <f>SUMIF('CF.1_2개월(단순차감)'!D:D,'CFS(2개월)'!G126,'CF.1_2개월(단순차감)'!AB:AB)</f>
        <v>407304615</v>
      </c>
      <c r="M126" s="186">
        <f t="shared" si="4"/>
        <v>723982981</v>
      </c>
      <c r="O126" s="182"/>
      <c r="P126" s="183">
        <f t="shared" si="3"/>
        <v>-407304615</v>
      </c>
      <c r="Q126" s="184"/>
    </row>
    <row r="127" spans="4:17" s="190" customFormat="1" ht="18" customHeight="1">
      <c r="D127" s="187">
        <v>2020</v>
      </c>
      <c r="E127" s="188">
        <v>12</v>
      </c>
      <c r="F127" s="188" t="s">
        <v>632</v>
      </c>
      <c r="G127" s="188" t="s">
        <v>946</v>
      </c>
      <c r="H127" s="188" t="s">
        <v>947</v>
      </c>
      <c r="I127" s="188">
        <v>3</v>
      </c>
      <c r="J127" s="188" t="s">
        <v>473</v>
      </c>
      <c r="K127" s="188">
        <f>SUMIF(CF.1!$D:$D,'CFS(2개월)'!G127,CF.1!$U:$U)</f>
        <v>0</v>
      </c>
      <c r="L127" s="188">
        <f>SUMIF('CF.1_2개월(단순차감)'!D:D,'CFS(2개월)'!G127,'CF.1_2개월(단순차감)'!AB:AB)</f>
        <v>0</v>
      </c>
      <c r="M127" s="189">
        <f t="shared" si="4"/>
        <v>0</v>
      </c>
      <c r="O127" s="191"/>
      <c r="P127" s="188">
        <f t="shared" si="3"/>
        <v>0</v>
      </c>
      <c r="Q127" s="192" t="s">
        <v>1685</v>
      </c>
    </row>
    <row r="128" spans="4:17" ht="18" customHeight="1">
      <c r="D128" s="185">
        <v>2020</v>
      </c>
      <c r="E128" s="183">
        <v>12</v>
      </c>
      <c r="F128" s="183" t="s">
        <v>632</v>
      </c>
      <c r="G128" s="183" t="s">
        <v>948</v>
      </c>
      <c r="H128" s="183" t="s">
        <v>949</v>
      </c>
      <c r="I128" s="183">
        <v>3</v>
      </c>
      <c r="J128" s="183" t="s">
        <v>473</v>
      </c>
      <c r="K128" s="183">
        <f>SUMIF(CF.1!$D:$D,'CFS(2개월)'!G128,CF.1!$U:$U)</f>
        <v>4251768892</v>
      </c>
      <c r="L128" s="183">
        <f>SUMIF('CF.1_2개월(단순차감)'!D:D,'CFS(2개월)'!G128,'CF.1_2개월(단순차감)'!AB:AB)</f>
        <v>7516324533</v>
      </c>
      <c r="M128" s="186">
        <f t="shared" si="4"/>
        <v>3264555641</v>
      </c>
      <c r="O128" s="182"/>
      <c r="P128" s="183">
        <f t="shared" si="3"/>
        <v>-7516324533</v>
      </c>
      <c r="Q128" s="184"/>
    </row>
    <row r="129" spans="4:17" s="190" customFormat="1" ht="18" customHeight="1">
      <c r="D129" s="187">
        <v>2020</v>
      </c>
      <c r="E129" s="188">
        <v>12</v>
      </c>
      <c r="F129" s="188" t="s">
        <v>632</v>
      </c>
      <c r="G129" s="188" t="s">
        <v>950</v>
      </c>
      <c r="H129" s="188" t="s">
        <v>951</v>
      </c>
      <c r="I129" s="188">
        <v>3</v>
      </c>
      <c r="J129" s="188" t="s">
        <v>473</v>
      </c>
      <c r="K129" s="188">
        <f>SUMIF(CF.1!$D:$D,'CFS(2개월)'!G129,CF.1!$U:$U)</f>
        <v>-1895235072</v>
      </c>
      <c r="L129" s="183">
        <f>SUMIF('CF.1_2개월(단순차감)'!D:D,'CFS(2개월)'!G129,'CF.1_2개월(단순차감)'!AB:AB)</f>
        <v>2252978663</v>
      </c>
      <c r="M129" s="189">
        <f t="shared" si="4"/>
        <v>4148213735</v>
      </c>
      <c r="O129" s="191"/>
      <c r="P129" s="188">
        <f t="shared" si="3"/>
        <v>-2252978663</v>
      </c>
      <c r="Q129" s="192"/>
    </row>
    <row r="130" spans="4:17" ht="18" customHeight="1">
      <c r="D130" s="185">
        <v>2020</v>
      </c>
      <c r="E130" s="183">
        <v>12</v>
      </c>
      <c r="F130" s="183" t="s">
        <v>632</v>
      </c>
      <c r="G130" s="183" t="s">
        <v>952</v>
      </c>
      <c r="H130" s="183" t="s">
        <v>953</v>
      </c>
      <c r="I130" s="183">
        <v>3</v>
      </c>
      <c r="J130" s="183" t="s">
        <v>473</v>
      </c>
      <c r="K130" s="183">
        <f>SUMIF(CF.1!$D:$D,'CFS(2개월)'!G130,CF.1!$U:$U)</f>
        <v>-1625252051</v>
      </c>
      <c r="L130" s="183">
        <f>SUMIF('CF.1_2개월(단순차감)'!D:D,'CFS(2개월)'!G130,'CF.1_2개월(단순차감)'!AB:AB)</f>
        <v>1132962465</v>
      </c>
      <c r="M130" s="186">
        <f t="shared" si="4"/>
        <v>2758214516</v>
      </c>
      <c r="O130" s="182"/>
      <c r="P130" s="183">
        <f t="shared" si="3"/>
        <v>-1132962465</v>
      </c>
      <c r="Q130" s="184"/>
    </row>
    <row r="131" spans="4:17" ht="18" customHeight="1">
      <c r="D131" s="185">
        <v>2020</v>
      </c>
      <c r="E131" s="183">
        <v>12</v>
      </c>
      <c r="F131" s="183" t="s">
        <v>632</v>
      </c>
      <c r="G131" s="183" t="s">
        <v>956</v>
      </c>
      <c r="H131" s="183" t="s">
        <v>957</v>
      </c>
      <c r="I131" s="183">
        <v>3</v>
      </c>
      <c r="J131" s="183" t="s">
        <v>473</v>
      </c>
      <c r="K131" s="183">
        <f>SUMIF(CF.1!$D:$D,'CFS(2개월)'!G131,CF.1!$U:$U)</f>
        <v>0</v>
      </c>
      <c r="L131" s="183">
        <f>SUMIF('CF.1_2개월(단순차감)'!D:D,'CFS(2개월)'!G131,'CF.1_2개월(단순차감)'!AB:AB)</f>
        <v>0</v>
      </c>
      <c r="M131" s="186">
        <f t="shared" si="4"/>
        <v>0</v>
      </c>
      <c r="O131" s="182"/>
      <c r="P131" s="183">
        <f t="shared" si="3"/>
        <v>0</v>
      </c>
      <c r="Q131" s="184"/>
    </row>
    <row r="132" spans="4:17" ht="18" customHeight="1">
      <c r="D132" s="185">
        <v>2020</v>
      </c>
      <c r="E132" s="183">
        <v>12</v>
      </c>
      <c r="F132" s="183" t="s">
        <v>632</v>
      </c>
      <c r="G132" s="183" t="s">
        <v>958</v>
      </c>
      <c r="H132" s="183" t="s">
        <v>959</v>
      </c>
      <c r="I132" s="183">
        <v>3</v>
      </c>
      <c r="J132" s="183" t="s">
        <v>473</v>
      </c>
      <c r="K132" s="183">
        <f>SUMIF(CF.1!$D:$D,'CFS(2개월)'!G132,CF.1!$U:$U)</f>
        <v>0</v>
      </c>
      <c r="L132" s="183">
        <f>SUMIF('CF.1_2개월(단순차감)'!D:D,'CFS(2개월)'!G132,'CF.1_2개월(단순차감)'!AB:AB)</f>
        <v>0</v>
      </c>
      <c r="M132" s="186">
        <f t="shared" si="4"/>
        <v>0</v>
      </c>
      <c r="O132" s="182"/>
      <c r="P132" s="183">
        <f t="shared" si="3"/>
        <v>0</v>
      </c>
      <c r="Q132" s="184"/>
    </row>
    <row r="133" spans="4:17" ht="18" customHeight="1">
      <c r="D133" s="185">
        <v>2020</v>
      </c>
      <c r="E133" s="183">
        <v>12</v>
      </c>
      <c r="F133" s="183" t="s">
        <v>632</v>
      </c>
      <c r="G133" s="183" t="s">
        <v>960</v>
      </c>
      <c r="H133" s="183" t="s">
        <v>961</v>
      </c>
      <c r="I133" s="183">
        <v>3</v>
      </c>
      <c r="J133" s="183" t="s">
        <v>473</v>
      </c>
      <c r="K133" s="183">
        <f>SUMIF(CF.1!$D:$D,'CFS(2개월)'!G133,CF.1!$U:$U)</f>
        <v>0</v>
      </c>
      <c r="L133" s="183">
        <f>SUMIF('CF.1_2개월(단순차감)'!D:D,'CFS(2개월)'!G133,'CF.1_2개월(단순차감)'!AB:AB)</f>
        <v>0</v>
      </c>
      <c r="M133" s="186">
        <f t="shared" si="4"/>
        <v>0</v>
      </c>
      <c r="O133" s="182"/>
      <c r="P133" s="183">
        <f t="shared" si="3"/>
        <v>0</v>
      </c>
      <c r="Q133" s="184"/>
    </row>
    <row r="134" spans="4:17" ht="18" customHeight="1">
      <c r="D134" s="185">
        <v>2020</v>
      </c>
      <c r="E134" s="183">
        <v>12</v>
      </c>
      <c r="F134" s="183" t="s">
        <v>632</v>
      </c>
      <c r="G134" s="183" t="s">
        <v>962</v>
      </c>
      <c r="H134" s="183" t="s">
        <v>963</v>
      </c>
      <c r="I134" s="183">
        <v>3</v>
      </c>
      <c r="J134" s="183" t="s">
        <v>473</v>
      </c>
      <c r="K134" s="183">
        <f>SUMIF(CF.1!$D:$D,'CFS(2개월)'!G134,CF.1!$U:$U)</f>
        <v>0</v>
      </c>
      <c r="L134" s="183">
        <f>SUMIF('CF.1_2개월(단순차감)'!D:D,'CFS(2개월)'!G134,'CF.1_2개월(단순차감)'!AB:AB)</f>
        <v>0</v>
      </c>
      <c r="M134" s="186">
        <f t="shared" si="4"/>
        <v>0</v>
      </c>
      <c r="O134" s="182"/>
      <c r="P134" s="183">
        <f t="shared" si="3"/>
        <v>0</v>
      </c>
      <c r="Q134" s="184"/>
    </row>
    <row r="135" spans="4:17" ht="18" customHeight="1">
      <c r="D135" s="185">
        <v>2020</v>
      </c>
      <c r="E135" s="183">
        <v>12</v>
      </c>
      <c r="F135" s="183" t="s">
        <v>632</v>
      </c>
      <c r="G135" s="183" t="s">
        <v>964</v>
      </c>
      <c r="H135" s="183" t="s">
        <v>965</v>
      </c>
      <c r="I135" s="183">
        <v>3</v>
      </c>
      <c r="J135" s="183" t="s">
        <v>473</v>
      </c>
      <c r="K135" s="183">
        <f>SUMIF(CF.1!$D:$D,'CFS(2개월)'!G135,CF.1!$U:$U)</f>
        <v>784017738</v>
      </c>
      <c r="L135" s="183">
        <f>SUMIF('CF.1_2개월(단순차감)'!D:D,'CFS(2개월)'!G135,'CF.1_2개월(단순차감)'!AB:AB)</f>
        <v>-2015230062</v>
      </c>
      <c r="M135" s="186">
        <f t="shared" si="4"/>
        <v>-2799247800</v>
      </c>
      <c r="O135" s="182"/>
      <c r="P135" s="183">
        <f t="shared" si="3"/>
        <v>2015230062</v>
      </c>
      <c r="Q135" s="184"/>
    </row>
    <row r="136" spans="4:17" ht="18" customHeight="1">
      <c r="D136" s="185">
        <v>2020</v>
      </c>
      <c r="E136" s="183">
        <v>12</v>
      </c>
      <c r="F136" s="183" t="s">
        <v>632</v>
      </c>
      <c r="G136" s="183" t="s">
        <v>966</v>
      </c>
      <c r="H136" s="183" t="s">
        <v>967</v>
      </c>
      <c r="I136" s="183">
        <v>3</v>
      </c>
      <c r="J136" s="183" t="s">
        <v>473</v>
      </c>
      <c r="K136" s="183">
        <f>SUMIF(CF.1!$D:$D,'CFS(2개월)'!G136,CF.1!$U:$U)</f>
        <v>0</v>
      </c>
      <c r="L136" s="183">
        <f>SUMIF('CF.1_2개월(단순차감)'!D:D,'CFS(2개월)'!G136,'CF.1_2개월(단순차감)'!AB:AB)</f>
        <v>0</v>
      </c>
      <c r="M136" s="186">
        <f t="shared" si="4"/>
        <v>0</v>
      </c>
      <c r="O136" s="182"/>
      <c r="P136" s="183">
        <f t="shared" si="3"/>
        <v>0</v>
      </c>
      <c r="Q136" s="184"/>
    </row>
    <row r="137" spans="4:17" ht="18" customHeight="1">
      <c r="D137" s="185">
        <v>2020</v>
      </c>
      <c r="E137" s="183">
        <v>12</v>
      </c>
      <c r="F137" s="183" t="s">
        <v>632</v>
      </c>
      <c r="G137" s="183" t="s">
        <v>968</v>
      </c>
      <c r="H137" s="183" t="s">
        <v>969</v>
      </c>
      <c r="I137" s="183">
        <v>3</v>
      </c>
      <c r="J137" s="183" t="s">
        <v>473</v>
      </c>
      <c r="K137" s="183">
        <f>SUMIF(CF.1!$D:$D,'CFS(2개월)'!G137,CF.1!$U:$U)</f>
        <v>0</v>
      </c>
      <c r="L137" s="183">
        <f>SUMIF('CF.1_2개월(단순차감)'!D:D,'CFS(2개월)'!G137,'CF.1_2개월(단순차감)'!AB:AB)</f>
        <v>0</v>
      </c>
      <c r="M137" s="186">
        <f t="shared" si="4"/>
        <v>0</v>
      </c>
      <c r="O137" s="182"/>
      <c r="P137" s="183">
        <f t="shared" ref="P137:P200" si="5">O137-L137</f>
        <v>0</v>
      </c>
      <c r="Q137" s="184"/>
    </row>
    <row r="138" spans="4:17" ht="18" customHeight="1">
      <c r="D138" s="185">
        <v>2020</v>
      </c>
      <c r="E138" s="183">
        <v>12</v>
      </c>
      <c r="F138" s="183" t="s">
        <v>632</v>
      </c>
      <c r="G138" s="183" t="s">
        <v>970</v>
      </c>
      <c r="H138" s="183" t="s">
        <v>971</v>
      </c>
      <c r="I138" s="183">
        <v>3</v>
      </c>
      <c r="J138" s="183" t="s">
        <v>473</v>
      </c>
      <c r="K138" s="183">
        <f>SUMIF(CF.1!$D:$D,'CFS(2개월)'!G138,CF.1!$U:$U)</f>
        <v>526577000</v>
      </c>
      <c r="L138" s="183">
        <f>SUMIF('CF.1_2개월(단순차감)'!D:D,'CFS(2개월)'!G138,'CF.1_2개월(단순차감)'!AB:AB)</f>
        <v>171756000</v>
      </c>
      <c r="M138" s="186">
        <f t="shared" si="4"/>
        <v>-354821000</v>
      </c>
      <c r="O138" s="182"/>
      <c r="P138" s="183">
        <f t="shared" si="5"/>
        <v>-171756000</v>
      </c>
      <c r="Q138" s="184"/>
    </row>
    <row r="139" spans="4:17" ht="18" customHeight="1">
      <c r="D139" s="185">
        <v>2020</v>
      </c>
      <c r="E139" s="183">
        <v>12</v>
      </c>
      <c r="F139" s="183" t="s">
        <v>632</v>
      </c>
      <c r="G139" s="183" t="s">
        <v>972</v>
      </c>
      <c r="H139" s="183" t="s">
        <v>973</v>
      </c>
      <c r="I139" s="183">
        <v>3</v>
      </c>
      <c r="J139" s="183" t="s">
        <v>473</v>
      </c>
      <c r="K139" s="183">
        <f>SUMIF(CF.1!$D:$D,'CFS(2개월)'!G139,CF.1!$U:$U)</f>
        <v>0</v>
      </c>
      <c r="L139" s="183">
        <f>SUMIF('CF.1_2개월(단순차감)'!D:D,'CFS(2개월)'!G139,'CF.1_2개월(단순차감)'!AB:AB)</f>
        <v>38740390</v>
      </c>
      <c r="M139" s="186">
        <f t="shared" si="4"/>
        <v>38740390</v>
      </c>
      <c r="O139" s="182"/>
      <c r="P139" s="183">
        <f t="shared" si="5"/>
        <v>-38740390</v>
      </c>
      <c r="Q139" s="184"/>
    </row>
    <row r="140" spans="4:17" ht="18" customHeight="1">
      <c r="D140" s="185">
        <v>2020</v>
      </c>
      <c r="E140" s="183">
        <v>12</v>
      </c>
      <c r="F140" s="183" t="s">
        <v>632</v>
      </c>
      <c r="G140" s="183" t="s">
        <v>974</v>
      </c>
      <c r="H140" s="183" t="s">
        <v>975</v>
      </c>
      <c r="I140" s="183">
        <v>3</v>
      </c>
      <c r="J140" s="183" t="s">
        <v>473</v>
      </c>
      <c r="K140" s="183">
        <f>SUMIF(CF.1!$D:$D,'CFS(2개월)'!G140,CF.1!$U:$U)</f>
        <v>0</v>
      </c>
      <c r="L140" s="183">
        <f>SUMIF('CF.1_2개월(단순차감)'!D:D,'CFS(2개월)'!G140,'CF.1_2개월(단순차감)'!AB:AB)</f>
        <v>0</v>
      </c>
      <c r="M140" s="186">
        <f t="shared" si="4"/>
        <v>0</v>
      </c>
      <c r="O140" s="182"/>
      <c r="P140" s="183">
        <f t="shared" si="5"/>
        <v>0</v>
      </c>
      <c r="Q140" s="184"/>
    </row>
    <row r="141" spans="4:17" ht="18" customHeight="1">
      <c r="D141" s="185">
        <v>2020</v>
      </c>
      <c r="E141" s="183">
        <v>12</v>
      </c>
      <c r="F141" s="183" t="s">
        <v>632</v>
      </c>
      <c r="G141" s="183" t="s">
        <v>976</v>
      </c>
      <c r="H141" s="183" t="s">
        <v>977</v>
      </c>
      <c r="I141" s="183">
        <v>3</v>
      </c>
      <c r="J141" s="183" t="s">
        <v>473</v>
      </c>
      <c r="K141" s="183">
        <f>SUMIF(CF.1!$D:$D,'CFS(2개월)'!G141,CF.1!$U:$U)</f>
        <v>-866111443</v>
      </c>
      <c r="L141" s="183">
        <f>SUMIF('CF.1_2개월(단순차감)'!D:D,'CFS(2개월)'!G141,'CF.1_2개월(단순차감)'!AB:AB)</f>
        <v>-198360375</v>
      </c>
      <c r="M141" s="186">
        <f t="shared" si="4"/>
        <v>667751068</v>
      </c>
      <c r="O141" s="182"/>
      <c r="P141" s="183">
        <f t="shared" si="5"/>
        <v>198360375</v>
      </c>
      <c r="Q141" s="184"/>
    </row>
    <row r="142" spans="4:17" ht="18" customHeight="1">
      <c r="D142" s="185">
        <v>2020</v>
      </c>
      <c r="E142" s="183">
        <v>12</v>
      </c>
      <c r="F142" s="183" t="s">
        <v>632</v>
      </c>
      <c r="G142" s="183" t="s">
        <v>2051</v>
      </c>
      <c r="H142" s="183" t="s">
        <v>979</v>
      </c>
      <c r="I142" s="183">
        <v>3</v>
      </c>
      <c r="J142" s="183" t="s">
        <v>473</v>
      </c>
      <c r="K142" s="183">
        <f>SUMIF(CF.1!$D:$D,'CFS(2개월)'!G142,CF.1!$U:$U)</f>
        <v>0</v>
      </c>
      <c r="L142" s="183">
        <f>SUMIF('CF.1_2개월(단순차감)'!D:D,'CFS(2개월)'!G142,'CF.1_2개월(단순차감)'!AB:AB)</f>
        <v>0</v>
      </c>
      <c r="M142" s="186">
        <v>0</v>
      </c>
      <c r="O142" s="182"/>
      <c r="P142" s="183">
        <f t="shared" si="5"/>
        <v>0</v>
      </c>
      <c r="Q142" s="184"/>
    </row>
    <row r="143" spans="4:17" ht="18" customHeight="1">
      <c r="D143" s="185">
        <v>2020</v>
      </c>
      <c r="E143" s="183">
        <v>12</v>
      </c>
      <c r="F143" s="183" t="s">
        <v>632</v>
      </c>
      <c r="G143" s="183" t="s">
        <v>982</v>
      </c>
      <c r="H143" s="183" t="s">
        <v>983</v>
      </c>
      <c r="I143" s="183">
        <v>3</v>
      </c>
      <c r="J143" s="183" t="s">
        <v>473</v>
      </c>
      <c r="K143" s="183">
        <f>SUMIF(CF.1!$D:$D,'CFS(2개월)'!G143,CF.1!$U:$U)</f>
        <v>0</v>
      </c>
      <c r="L143" s="183">
        <f>SUMIF('CF.1_2개월(단순차감)'!D:D,'CFS(2개월)'!G143,'CF.1_2개월(단순차감)'!AB:AB)</f>
        <v>0</v>
      </c>
      <c r="M143" s="186">
        <f t="shared" si="4"/>
        <v>0</v>
      </c>
      <c r="O143" s="182"/>
      <c r="P143" s="183">
        <f t="shared" si="5"/>
        <v>0</v>
      </c>
      <c r="Q143" s="184"/>
    </row>
    <row r="144" spans="4:17" ht="18" customHeight="1">
      <c r="D144" s="185">
        <v>2020</v>
      </c>
      <c r="E144" s="183">
        <v>12</v>
      </c>
      <c r="F144" s="183" t="s">
        <v>632</v>
      </c>
      <c r="G144" s="183" t="s">
        <v>984</v>
      </c>
      <c r="H144" s="183" t="s">
        <v>1503</v>
      </c>
      <c r="I144" s="183">
        <v>3</v>
      </c>
      <c r="J144" s="183" t="s">
        <v>473</v>
      </c>
      <c r="K144" s="183">
        <f>SUMIF(CF.1!$D:$D,'CFS(2개월)'!G144,CF.1!$U:$U)</f>
        <v>0</v>
      </c>
      <c r="L144" s="183">
        <f>SUMIF('CF.1_2개월(단순차감)'!D:D,'CFS(2개월)'!G144,'CF.1_2개월(단순차감)'!AB:AB)</f>
        <v>0</v>
      </c>
      <c r="M144" s="186">
        <f t="shared" si="4"/>
        <v>0</v>
      </c>
      <c r="O144" s="182"/>
      <c r="P144" s="183">
        <f t="shared" si="5"/>
        <v>0</v>
      </c>
      <c r="Q144" s="184"/>
    </row>
    <row r="145" spans="4:17" ht="18" customHeight="1">
      <c r="D145" s="185">
        <v>2020</v>
      </c>
      <c r="E145" s="183">
        <v>12</v>
      </c>
      <c r="F145" s="183" t="s">
        <v>632</v>
      </c>
      <c r="G145" s="183" t="s">
        <v>1504</v>
      </c>
      <c r="H145" s="183" t="s">
        <v>1505</v>
      </c>
      <c r="I145" s="183">
        <v>3</v>
      </c>
      <c r="J145" s="183" t="s">
        <v>473</v>
      </c>
      <c r="K145" s="183">
        <f>SUMIF(CF.1!$D:$D,'CFS(2개월)'!G145,CF.1!$U:$U)</f>
        <v>0</v>
      </c>
      <c r="L145" s="183">
        <f>SUMIF('CF.1_2개월(단순차감)'!D:D,'CFS(2개월)'!G145,'CF.1_2개월(단순차감)'!AB:AB)</f>
        <v>0</v>
      </c>
      <c r="M145" s="186">
        <f t="shared" si="4"/>
        <v>0</v>
      </c>
      <c r="O145" s="182"/>
      <c r="P145" s="183">
        <f t="shared" si="5"/>
        <v>0</v>
      </c>
      <c r="Q145" s="184"/>
    </row>
    <row r="146" spans="4:17" ht="18" customHeight="1">
      <c r="D146" s="185">
        <v>2020</v>
      </c>
      <c r="E146" s="183">
        <v>12</v>
      </c>
      <c r="F146" s="183" t="s">
        <v>632</v>
      </c>
      <c r="G146" s="183" t="s">
        <v>1506</v>
      </c>
      <c r="H146" s="183" t="s">
        <v>1507</v>
      </c>
      <c r="I146" s="183">
        <v>3</v>
      </c>
      <c r="J146" s="183" t="s">
        <v>473</v>
      </c>
      <c r="K146" s="183">
        <f>SUMIF(CF.1!$D:$D,'CFS(2개월)'!G146,CF.1!$U:$U)</f>
        <v>0</v>
      </c>
      <c r="L146" s="183">
        <f>SUMIF('CF.1_2개월(단순차감)'!D:D,'CFS(2개월)'!G146,'CF.1_2개월(단순차감)'!AB:AB)</f>
        <v>0</v>
      </c>
      <c r="M146" s="186">
        <f t="shared" si="4"/>
        <v>0</v>
      </c>
      <c r="O146" s="182"/>
      <c r="P146" s="183">
        <f t="shared" si="5"/>
        <v>0</v>
      </c>
      <c r="Q146" s="184"/>
    </row>
    <row r="147" spans="4:17" ht="18" customHeight="1">
      <c r="D147" s="185">
        <v>2020</v>
      </c>
      <c r="E147" s="183">
        <v>12</v>
      </c>
      <c r="F147" s="183" t="s">
        <v>632</v>
      </c>
      <c r="G147" s="183" t="s">
        <v>1508</v>
      </c>
      <c r="H147" s="183" t="s">
        <v>1509</v>
      </c>
      <c r="I147" s="183">
        <v>3</v>
      </c>
      <c r="J147" s="183" t="s">
        <v>473</v>
      </c>
      <c r="K147" s="183">
        <f>SUMIF(CF.1!$D:$D,'CFS(2개월)'!G147,CF.1!$U:$U)</f>
        <v>0</v>
      </c>
      <c r="L147" s="183">
        <f>SUMIF('CF.1_2개월(단순차감)'!D:D,'CFS(2개월)'!G147,'CF.1_2개월(단순차감)'!AB:AB)</f>
        <v>0</v>
      </c>
      <c r="M147" s="186">
        <f t="shared" si="4"/>
        <v>0</v>
      </c>
      <c r="O147" s="182"/>
      <c r="P147" s="183">
        <f t="shared" si="5"/>
        <v>0</v>
      </c>
      <c r="Q147" s="184"/>
    </row>
    <row r="148" spans="4:17" ht="18" customHeight="1">
      <c r="D148" s="185">
        <v>2020</v>
      </c>
      <c r="E148" s="183">
        <v>12</v>
      </c>
      <c r="F148" s="183" t="s">
        <v>632</v>
      </c>
      <c r="G148" s="183" t="s">
        <v>992</v>
      </c>
      <c r="H148" s="183" t="s">
        <v>993</v>
      </c>
      <c r="I148" s="183">
        <v>3</v>
      </c>
      <c r="J148" s="183" t="s">
        <v>473</v>
      </c>
      <c r="K148" s="183">
        <f>SUMIF(CF.1!$D:$D,'CFS(2개월)'!G148,CF.1!$U:$U)</f>
        <v>-37371383</v>
      </c>
      <c r="L148" s="183">
        <f>SUMIF('CF.1_2개월(단순차감)'!D:D,'CFS(2개월)'!G148,'CF.1_2개월(단순차감)'!AB:AB)</f>
        <v>-64521395</v>
      </c>
      <c r="M148" s="186">
        <f t="shared" si="4"/>
        <v>-27150012</v>
      </c>
      <c r="O148" s="182"/>
      <c r="P148" s="183">
        <f t="shared" si="5"/>
        <v>64521395</v>
      </c>
      <c r="Q148" s="184"/>
    </row>
    <row r="149" spans="4:17" ht="18" customHeight="1">
      <c r="D149" s="185">
        <v>2020</v>
      </c>
      <c r="E149" s="183">
        <v>12</v>
      </c>
      <c r="F149" s="183" t="s">
        <v>632</v>
      </c>
      <c r="G149" s="183" t="s">
        <v>998</v>
      </c>
      <c r="H149" s="183" t="s">
        <v>999</v>
      </c>
      <c r="I149" s="183">
        <v>3</v>
      </c>
      <c r="J149" s="183" t="s">
        <v>473</v>
      </c>
      <c r="K149" s="183">
        <f>SUMIF(CF.1!$D:$D,'CFS(2개월)'!G149,CF.1!$U:$U)</f>
        <v>-959730986</v>
      </c>
      <c r="L149" s="183">
        <f>SUMIF('CF.1_2개월(단순차감)'!D:D,'CFS(2개월)'!G149,'CF.1_2개월(단순차감)'!AB:AB)</f>
        <v>1478181723</v>
      </c>
      <c r="M149" s="186"/>
      <c r="O149" s="182"/>
      <c r="P149" s="183">
        <f t="shared" si="5"/>
        <v>-1478181723</v>
      </c>
      <c r="Q149" s="184"/>
    </row>
    <row r="150" spans="4:17" ht="18" customHeight="1">
      <c r="D150" s="179">
        <v>2020</v>
      </c>
      <c r="E150" s="180">
        <v>12</v>
      </c>
      <c r="F150" s="180" t="s">
        <v>632</v>
      </c>
      <c r="G150" s="180" t="s">
        <v>1002</v>
      </c>
      <c r="H150" s="180" t="s">
        <v>1003</v>
      </c>
      <c r="I150" s="180">
        <v>2</v>
      </c>
      <c r="J150" s="180" t="s">
        <v>473</v>
      </c>
      <c r="K150" s="180">
        <f>SUM(K151:K155)</f>
        <v>934575225</v>
      </c>
      <c r="L150" s="180">
        <f>SUM(L151:L155)</f>
        <v>116938653</v>
      </c>
      <c r="M150" s="181">
        <f>SUM(M151:M155)</f>
        <v>-817636572</v>
      </c>
      <c r="O150" s="182"/>
      <c r="P150" s="183">
        <f t="shared" si="5"/>
        <v>-116938653</v>
      </c>
      <c r="Q150" s="184"/>
    </row>
    <row r="151" spans="4:17" ht="18" customHeight="1">
      <c r="D151" s="185">
        <v>2020</v>
      </c>
      <c r="E151" s="183">
        <v>12</v>
      </c>
      <c r="F151" s="183" t="s">
        <v>632</v>
      </c>
      <c r="G151" s="183" t="s">
        <v>1004</v>
      </c>
      <c r="H151" s="183" t="s">
        <v>1005</v>
      </c>
      <c r="I151" s="183">
        <v>3</v>
      </c>
      <c r="J151" s="183" t="s">
        <v>473</v>
      </c>
      <c r="K151" s="183">
        <f>SUMIF(CF.1!$D:$D,'CFS(2개월)'!G151,CF.1!$U:$U)</f>
        <v>0</v>
      </c>
      <c r="L151" s="183">
        <f>SUMIF('CF.1_2개월(단순차감)'!D:D,'CFS(2개월)'!G151,'CF.1_2개월(단순차감)'!AB:AB)</f>
        <v>0</v>
      </c>
      <c r="M151" s="186">
        <f>L151-K151</f>
        <v>0</v>
      </c>
      <c r="O151" s="182"/>
      <c r="P151" s="183">
        <f t="shared" si="5"/>
        <v>0</v>
      </c>
      <c r="Q151" s="184"/>
    </row>
    <row r="152" spans="4:17" ht="18" customHeight="1">
      <c r="D152" s="185">
        <v>2020</v>
      </c>
      <c r="E152" s="183">
        <v>12</v>
      </c>
      <c r="F152" s="183" t="s">
        <v>632</v>
      </c>
      <c r="G152" s="183" t="s">
        <v>1006</v>
      </c>
      <c r="H152" s="183" t="s">
        <v>1007</v>
      </c>
      <c r="I152" s="183">
        <v>3</v>
      </c>
      <c r="J152" s="183" t="s">
        <v>473</v>
      </c>
      <c r="K152" s="183">
        <f>SUMIF(CF.1!$D:$D,'CFS(2개월)'!G152,CF.1!$U:$U)</f>
        <v>1485778734</v>
      </c>
      <c r="L152" s="183">
        <f>SUMIF('CF.1_2개월(단순차감)'!D:D,'CFS(2개월)'!G152,'CF.1_2개월(단순차감)'!AB:AB)</f>
        <v>193102626</v>
      </c>
      <c r="M152" s="186">
        <f>L152-K152</f>
        <v>-1292676108</v>
      </c>
      <c r="O152" s="182"/>
      <c r="P152" s="183">
        <f t="shared" si="5"/>
        <v>-193102626</v>
      </c>
      <c r="Q152" s="184"/>
    </row>
    <row r="153" spans="4:17" ht="18" customHeight="1">
      <c r="D153" s="185">
        <v>2020</v>
      </c>
      <c r="E153" s="183">
        <v>12</v>
      </c>
      <c r="F153" s="183" t="s">
        <v>632</v>
      </c>
      <c r="G153" s="183" t="s">
        <v>1008</v>
      </c>
      <c r="H153" s="183" t="s">
        <v>1009</v>
      </c>
      <c r="I153" s="183">
        <v>3</v>
      </c>
      <c r="J153" s="183" t="s">
        <v>473</v>
      </c>
      <c r="K153" s="183">
        <f>SUMIF(CF.1!$D:$D,'CFS(2개월)'!G153,CF.1!$U:$U)</f>
        <v>-169215977</v>
      </c>
      <c r="L153" s="183">
        <f>SUMIF('CF.1_2개월(단순차감)'!D:D,'CFS(2개월)'!G153,'CF.1_2개월(단순차감)'!AB:AB)</f>
        <v>-46277452</v>
      </c>
      <c r="M153" s="186">
        <f>L153-K153</f>
        <v>122938525</v>
      </c>
      <c r="O153" s="182"/>
      <c r="P153" s="183">
        <f t="shared" si="5"/>
        <v>46277452</v>
      </c>
      <c r="Q153" s="184"/>
    </row>
    <row r="154" spans="4:17" ht="18" customHeight="1">
      <c r="D154" s="185">
        <v>2020</v>
      </c>
      <c r="E154" s="183">
        <v>12</v>
      </c>
      <c r="F154" s="183" t="s">
        <v>632</v>
      </c>
      <c r="G154" s="183" t="s">
        <v>1010</v>
      </c>
      <c r="H154" s="183" t="s">
        <v>1011</v>
      </c>
      <c r="I154" s="183">
        <v>3</v>
      </c>
      <c r="J154" s="183" t="s">
        <v>473</v>
      </c>
      <c r="K154" s="183">
        <f>SUMIF(CF.1!$D:$D,'CFS(2개월)'!G154,CF.1!$U:$U)</f>
        <v>-381987532</v>
      </c>
      <c r="L154" s="183">
        <f>SUMIF('CF.1_2개월(단순차감)'!D:D,'CFS(2개월)'!G154,'CF.1_2개월(단순차감)'!AB:AB)</f>
        <v>-29886521</v>
      </c>
      <c r="M154" s="186">
        <f>L154-K154</f>
        <v>352101011</v>
      </c>
      <c r="O154" s="182"/>
      <c r="P154" s="183">
        <f t="shared" si="5"/>
        <v>29886521</v>
      </c>
      <c r="Q154" s="184"/>
    </row>
    <row r="155" spans="4:17" ht="18" customHeight="1">
      <c r="D155" s="185">
        <v>2020</v>
      </c>
      <c r="E155" s="183">
        <v>12</v>
      </c>
      <c r="F155" s="183" t="s">
        <v>632</v>
      </c>
      <c r="G155" s="183" t="s">
        <v>1012</v>
      </c>
      <c r="H155" s="183" t="s">
        <v>1013</v>
      </c>
      <c r="I155" s="183">
        <v>3</v>
      </c>
      <c r="J155" s="183" t="s">
        <v>473</v>
      </c>
      <c r="K155" s="183">
        <f>SUMIF(CF.1!$D:$D,'CFS(2개월)'!G155,CF.1!$U:$U)</f>
        <v>0</v>
      </c>
      <c r="L155" s="183">
        <f>SUMIF('CF.1_2개월(단순차감)'!D:D,'CFS(2개월)'!G155,'CF.1_2개월(단순차감)'!AB:AB)</f>
        <v>0</v>
      </c>
      <c r="M155" s="186">
        <f>L155-K155</f>
        <v>0</v>
      </c>
      <c r="O155" s="182"/>
      <c r="P155" s="183">
        <f t="shared" si="5"/>
        <v>0</v>
      </c>
      <c r="Q155" s="184"/>
    </row>
    <row r="156" spans="4:17" ht="18" customHeight="1">
      <c r="D156" s="179">
        <v>2020</v>
      </c>
      <c r="E156" s="180">
        <v>12</v>
      </c>
      <c r="F156" s="180" t="s">
        <v>632</v>
      </c>
      <c r="G156" s="180" t="s">
        <v>1014</v>
      </c>
      <c r="H156" s="180" t="s">
        <v>1015</v>
      </c>
      <c r="I156" s="180">
        <v>1</v>
      </c>
      <c r="J156" s="180" t="s">
        <v>473</v>
      </c>
      <c r="K156" s="180">
        <f>SUM(K157,K208)</f>
        <v>-5963230164</v>
      </c>
      <c r="L156" s="180">
        <f>SUM(L157,L208)</f>
        <v>-11496984570</v>
      </c>
      <c r="M156" s="181">
        <f>SUM(M157,M208)</f>
        <v>-5533754406</v>
      </c>
      <c r="O156" s="182"/>
      <c r="P156" s="183">
        <f t="shared" si="5"/>
        <v>11496984570</v>
      </c>
      <c r="Q156" s="184"/>
    </row>
    <row r="157" spans="4:17" ht="18" customHeight="1">
      <c r="D157" s="179">
        <v>2020</v>
      </c>
      <c r="E157" s="180">
        <v>12</v>
      </c>
      <c r="F157" s="180" t="s">
        <v>632</v>
      </c>
      <c r="G157" s="180" t="s">
        <v>1016</v>
      </c>
      <c r="H157" s="180" t="s">
        <v>1017</v>
      </c>
      <c r="I157" s="180">
        <v>2</v>
      </c>
      <c r="J157" s="180" t="s">
        <v>473</v>
      </c>
      <c r="K157" s="180">
        <f>SUM(K158:K207)</f>
        <v>560942363</v>
      </c>
      <c r="L157" s="180">
        <f>SUM(L158:L207)</f>
        <v>0</v>
      </c>
      <c r="M157" s="181">
        <f>SUM(M158:M207)</f>
        <v>-560942363</v>
      </c>
      <c r="O157" s="182"/>
      <c r="P157" s="183">
        <f t="shared" si="5"/>
        <v>0</v>
      </c>
      <c r="Q157" s="184"/>
    </row>
    <row r="158" spans="4:17" ht="18" customHeight="1">
      <c r="D158" s="185">
        <v>2020</v>
      </c>
      <c r="E158" s="183">
        <v>12</v>
      </c>
      <c r="F158" s="183" t="s">
        <v>632</v>
      </c>
      <c r="G158" s="183" t="s">
        <v>1018</v>
      </c>
      <c r="H158" s="183" t="s">
        <v>1019</v>
      </c>
      <c r="I158" s="183">
        <v>3</v>
      </c>
      <c r="J158" s="183" t="s">
        <v>473</v>
      </c>
      <c r="K158" s="183">
        <f>SUMIF(CF.1!$D:$D,'CFS(2개월)'!G158,CF.1!$U:$U)</f>
        <v>0</v>
      </c>
      <c r="L158" s="183">
        <f>SUMIF('CF.1_2개월(단순차감)'!D:D,'CFS(2개월)'!G158,'CF.1_2개월(단순차감)'!AB:AB)</f>
        <v>0</v>
      </c>
      <c r="M158" s="186">
        <f t="shared" ref="M158:M207" si="6">L158-K158</f>
        <v>0</v>
      </c>
      <c r="O158" s="182"/>
      <c r="P158" s="183">
        <f t="shared" si="5"/>
        <v>0</v>
      </c>
      <c r="Q158" s="184"/>
    </row>
    <row r="159" spans="4:17" ht="18" customHeight="1">
      <c r="D159" s="185">
        <v>2020</v>
      </c>
      <c r="E159" s="183">
        <v>12</v>
      </c>
      <c r="F159" s="183" t="s">
        <v>632</v>
      </c>
      <c r="G159" s="183" t="s">
        <v>1020</v>
      </c>
      <c r="H159" s="183" t="s">
        <v>1021</v>
      </c>
      <c r="I159" s="183">
        <v>3</v>
      </c>
      <c r="J159" s="183" t="s">
        <v>473</v>
      </c>
      <c r="K159" s="183">
        <f>SUMIF(CF.1!$D:$D,'CFS(2개월)'!G159,CF.1!$U:$U)</f>
        <v>297306000</v>
      </c>
      <c r="L159" s="183">
        <f>SUMIF('CF.1_2개월(단순차감)'!D:D,'CFS(2개월)'!G159,'CF.1_2개월(단순차감)'!AB:AB)</f>
        <v>0</v>
      </c>
      <c r="M159" s="186">
        <f t="shared" si="6"/>
        <v>-297306000</v>
      </c>
      <c r="O159" s="182"/>
      <c r="P159" s="183">
        <f t="shared" si="5"/>
        <v>0</v>
      </c>
      <c r="Q159" s="184"/>
    </row>
    <row r="160" spans="4:17" ht="18" customHeight="1">
      <c r="D160" s="185">
        <v>2020</v>
      </c>
      <c r="E160" s="183">
        <v>12</v>
      </c>
      <c r="F160" s="183" t="s">
        <v>632</v>
      </c>
      <c r="G160" s="183" t="s">
        <v>1022</v>
      </c>
      <c r="H160" s="183" t="s">
        <v>1023</v>
      </c>
      <c r="I160" s="183">
        <v>3</v>
      </c>
      <c r="J160" s="183" t="s">
        <v>473</v>
      </c>
      <c r="K160" s="183">
        <f>SUMIF(CF.1!$D:$D,'CFS(2개월)'!G160,CF.1!$U:$U)</f>
        <v>0</v>
      </c>
      <c r="L160" s="183">
        <f>SUMIF('CF.1_2개월(단순차감)'!D:D,'CFS(2개월)'!G160,'CF.1_2개월(단순차감)'!AB:AB)</f>
        <v>0</v>
      </c>
      <c r="M160" s="186">
        <f t="shared" si="6"/>
        <v>0</v>
      </c>
      <c r="O160" s="182"/>
      <c r="P160" s="183">
        <f t="shared" si="5"/>
        <v>0</v>
      </c>
      <c r="Q160" s="184"/>
    </row>
    <row r="161" spans="4:17" ht="18" customHeight="1">
      <c r="D161" s="185">
        <v>2020</v>
      </c>
      <c r="E161" s="183">
        <v>12</v>
      </c>
      <c r="F161" s="183" t="s">
        <v>632</v>
      </c>
      <c r="G161" s="183" t="s">
        <v>1024</v>
      </c>
      <c r="H161" s="183" t="s">
        <v>1025</v>
      </c>
      <c r="I161" s="183">
        <v>3</v>
      </c>
      <c r="J161" s="183" t="s">
        <v>473</v>
      </c>
      <c r="K161" s="183">
        <f>SUMIF(CF.1!$D:$D,'CFS(2개월)'!G161,CF.1!$U:$U)</f>
        <v>0</v>
      </c>
      <c r="L161" s="183">
        <f>SUMIF('CF.1_2개월(단순차감)'!D:D,'CFS(2개월)'!G161,'CF.1_2개월(단순차감)'!AB:AB)</f>
        <v>0</v>
      </c>
      <c r="M161" s="186">
        <f t="shared" si="6"/>
        <v>0</v>
      </c>
      <c r="O161" s="182"/>
      <c r="P161" s="183">
        <f t="shared" si="5"/>
        <v>0</v>
      </c>
      <c r="Q161" s="184"/>
    </row>
    <row r="162" spans="4:17" ht="18" customHeight="1">
      <c r="D162" s="185">
        <v>2020</v>
      </c>
      <c r="E162" s="183">
        <v>12</v>
      </c>
      <c r="F162" s="183" t="s">
        <v>632</v>
      </c>
      <c r="G162" s="183" t="s">
        <v>1026</v>
      </c>
      <c r="H162" s="183" t="s">
        <v>1027</v>
      </c>
      <c r="I162" s="183">
        <v>3</v>
      </c>
      <c r="J162" s="183" t="s">
        <v>473</v>
      </c>
      <c r="K162" s="183">
        <f>SUMIF(CF.1!$D:$D,'CFS(2개월)'!G162,CF.1!$U:$U)</f>
        <v>0</v>
      </c>
      <c r="L162" s="183">
        <f>SUMIF('CF.1_2개월(단순차감)'!D:D,'CFS(2개월)'!G162,'CF.1_2개월(단순차감)'!AB:AB)</f>
        <v>0</v>
      </c>
      <c r="M162" s="186">
        <f t="shared" si="6"/>
        <v>0</v>
      </c>
      <c r="O162" s="182"/>
      <c r="P162" s="183">
        <f t="shared" si="5"/>
        <v>0</v>
      </c>
      <c r="Q162" s="184"/>
    </row>
    <row r="163" spans="4:17" ht="18" customHeight="1">
      <c r="D163" s="185">
        <v>2020</v>
      </c>
      <c r="E163" s="183">
        <v>12</v>
      </c>
      <c r="F163" s="183" t="s">
        <v>632</v>
      </c>
      <c r="G163" s="183" t="s">
        <v>1028</v>
      </c>
      <c r="H163" s="183" t="s">
        <v>1029</v>
      </c>
      <c r="I163" s="183">
        <v>3</v>
      </c>
      <c r="J163" s="183" t="s">
        <v>473</v>
      </c>
      <c r="K163" s="183">
        <f>SUMIF(CF.1!$D:$D,'CFS(2개월)'!G163,CF.1!$U:$U)</f>
        <v>0</v>
      </c>
      <c r="L163" s="183">
        <f>SUMIF('CF.1_2개월(단순차감)'!D:D,'CFS(2개월)'!G163,'CF.1_2개월(단순차감)'!AB:AB)</f>
        <v>0</v>
      </c>
      <c r="M163" s="186">
        <f t="shared" si="6"/>
        <v>0</v>
      </c>
      <c r="O163" s="182"/>
      <c r="P163" s="183">
        <f t="shared" si="5"/>
        <v>0</v>
      </c>
      <c r="Q163" s="184"/>
    </row>
    <row r="164" spans="4:17" ht="18" customHeight="1">
      <c r="D164" s="185">
        <v>2020</v>
      </c>
      <c r="E164" s="183">
        <v>12</v>
      </c>
      <c r="F164" s="183" t="s">
        <v>632</v>
      </c>
      <c r="G164" s="183" t="s">
        <v>1030</v>
      </c>
      <c r="H164" s="183" t="s">
        <v>1031</v>
      </c>
      <c r="I164" s="183">
        <v>3</v>
      </c>
      <c r="J164" s="183" t="s">
        <v>473</v>
      </c>
      <c r="K164" s="183">
        <f>SUMIF(CF.1!$D:$D,'CFS(2개월)'!G164,CF.1!$U:$U)</f>
        <v>0</v>
      </c>
      <c r="L164" s="183">
        <f>SUMIF('CF.1_2개월(단순차감)'!D:D,'CFS(2개월)'!G164,'CF.1_2개월(단순차감)'!AB:AB)</f>
        <v>0</v>
      </c>
      <c r="M164" s="186">
        <f t="shared" si="6"/>
        <v>0</v>
      </c>
      <c r="O164" s="182"/>
      <c r="P164" s="183">
        <f t="shared" si="5"/>
        <v>0</v>
      </c>
      <c r="Q164" s="184"/>
    </row>
    <row r="165" spans="4:17" ht="18" customHeight="1">
      <c r="D165" s="185">
        <v>2020</v>
      </c>
      <c r="E165" s="183">
        <v>12</v>
      </c>
      <c r="F165" s="183" t="s">
        <v>632</v>
      </c>
      <c r="G165" s="183" t="s">
        <v>1032</v>
      </c>
      <c r="H165" s="183" t="s">
        <v>1033</v>
      </c>
      <c r="I165" s="183">
        <v>3</v>
      </c>
      <c r="J165" s="183" t="s">
        <v>473</v>
      </c>
      <c r="K165" s="183">
        <f>SUMIF(CF.1!$D:$D,'CFS(2개월)'!G165,CF.1!$U:$U)</f>
        <v>200000000</v>
      </c>
      <c r="L165" s="183">
        <f>SUMIF('CF.1_2개월(단순차감)'!D:D,'CFS(2개월)'!G165,'CF.1_2개월(단순차감)'!AB:AB)</f>
        <v>0</v>
      </c>
      <c r="M165" s="186">
        <f t="shared" si="6"/>
        <v>-200000000</v>
      </c>
      <c r="O165" s="182"/>
      <c r="P165" s="183">
        <f t="shared" si="5"/>
        <v>0</v>
      </c>
      <c r="Q165" s="184"/>
    </row>
    <row r="166" spans="4:17" ht="18" customHeight="1">
      <c r="D166" s="185">
        <v>2020</v>
      </c>
      <c r="E166" s="183">
        <v>12</v>
      </c>
      <c r="F166" s="183" t="s">
        <v>632</v>
      </c>
      <c r="G166" s="183" t="s">
        <v>1034</v>
      </c>
      <c r="H166" s="183" t="s">
        <v>1035</v>
      </c>
      <c r="I166" s="183">
        <v>3</v>
      </c>
      <c r="J166" s="183" t="s">
        <v>473</v>
      </c>
      <c r="K166" s="183">
        <f>SUMIF(CF.1!$D:$D,'CFS(2개월)'!G166,CF.1!$U:$U)</f>
        <v>0</v>
      </c>
      <c r="L166" s="183">
        <f>SUMIF('CF.1_2개월(단순차감)'!D:D,'CFS(2개월)'!G166,'CF.1_2개월(단순차감)'!AB:AB)</f>
        <v>0</v>
      </c>
      <c r="M166" s="186">
        <f t="shared" si="6"/>
        <v>0</v>
      </c>
      <c r="O166" s="182"/>
      <c r="P166" s="183">
        <f t="shared" si="5"/>
        <v>0</v>
      </c>
      <c r="Q166" s="184"/>
    </row>
    <row r="167" spans="4:17" ht="18" customHeight="1">
      <c r="D167" s="185">
        <v>2020</v>
      </c>
      <c r="E167" s="183">
        <v>12</v>
      </c>
      <c r="F167" s="183" t="s">
        <v>632</v>
      </c>
      <c r="G167" s="183" t="s">
        <v>1036</v>
      </c>
      <c r="H167" s="183" t="s">
        <v>1037</v>
      </c>
      <c r="I167" s="183">
        <v>3</v>
      </c>
      <c r="J167" s="183" t="s">
        <v>473</v>
      </c>
      <c r="K167" s="183">
        <f>SUMIF(CF.1!$D:$D,'CFS(2개월)'!G167,CF.1!$U:$U)</f>
        <v>0</v>
      </c>
      <c r="L167" s="183">
        <f>SUMIF('CF.1_2개월(단순차감)'!D:D,'CFS(2개월)'!G167,'CF.1_2개월(단순차감)'!AB:AB)</f>
        <v>0</v>
      </c>
      <c r="M167" s="186">
        <f t="shared" si="6"/>
        <v>0</v>
      </c>
      <c r="O167" s="182"/>
      <c r="P167" s="183">
        <f t="shared" si="5"/>
        <v>0</v>
      </c>
      <c r="Q167" s="184"/>
    </row>
    <row r="168" spans="4:17" ht="18" customHeight="1">
      <c r="D168" s="185">
        <v>2020</v>
      </c>
      <c r="E168" s="183">
        <v>12</v>
      </c>
      <c r="F168" s="183" t="s">
        <v>632</v>
      </c>
      <c r="G168" s="183" t="s">
        <v>1038</v>
      </c>
      <c r="H168" s="183" t="s">
        <v>1039</v>
      </c>
      <c r="I168" s="183">
        <v>3</v>
      </c>
      <c r="J168" s="183" t="s">
        <v>473</v>
      </c>
      <c r="K168" s="183">
        <f>SUMIF(CF.1!$D:$D,'CFS(2개월)'!G168,CF.1!$U:$U)</f>
        <v>0</v>
      </c>
      <c r="L168" s="183">
        <f>SUMIF('CF.1_2개월(단순차감)'!D:D,'CFS(2개월)'!G168,'CF.1_2개월(단순차감)'!AB:AB)</f>
        <v>0</v>
      </c>
      <c r="M168" s="186">
        <f t="shared" si="6"/>
        <v>0</v>
      </c>
      <c r="O168" s="182"/>
      <c r="P168" s="183">
        <f t="shared" si="5"/>
        <v>0</v>
      </c>
      <c r="Q168" s="184"/>
    </row>
    <row r="169" spans="4:17" ht="18" customHeight="1">
      <c r="D169" s="185">
        <v>2020</v>
      </c>
      <c r="E169" s="183">
        <v>12</v>
      </c>
      <c r="F169" s="183" t="s">
        <v>632</v>
      </c>
      <c r="G169" s="183" t="s">
        <v>1510</v>
      </c>
      <c r="H169" s="183" t="s">
        <v>1041</v>
      </c>
      <c r="I169" s="183">
        <v>3</v>
      </c>
      <c r="J169" s="183" t="s">
        <v>473</v>
      </c>
      <c r="K169" s="183">
        <f>SUMIF(CF.1!$D:$D,'CFS(2개월)'!G169,CF.1!$U:$U)</f>
        <v>0</v>
      </c>
      <c r="L169" s="183">
        <f>SUMIF('CF.1_2개월(단순차감)'!D:D,'CFS(2개월)'!G169,'CF.1_2개월(단순차감)'!AB:AB)</f>
        <v>0</v>
      </c>
      <c r="M169" s="186">
        <f t="shared" si="6"/>
        <v>0</v>
      </c>
      <c r="O169" s="182"/>
      <c r="P169" s="183">
        <f t="shared" si="5"/>
        <v>0</v>
      </c>
      <c r="Q169" s="184"/>
    </row>
    <row r="170" spans="4:17" ht="18" customHeight="1">
      <c r="D170" s="185">
        <v>2020</v>
      </c>
      <c r="E170" s="183">
        <v>12</v>
      </c>
      <c r="F170" s="183" t="s">
        <v>632</v>
      </c>
      <c r="G170" s="183" t="s">
        <v>1511</v>
      </c>
      <c r="H170" s="183" t="s">
        <v>1512</v>
      </c>
      <c r="I170" s="183">
        <v>3</v>
      </c>
      <c r="J170" s="183" t="s">
        <v>473</v>
      </c>
      <c r="K170" s="183">
        <f>SUMIF(CF.1!$D:$D,'CFS(2개월)'!G170,CF.1!$U:$U)</f>
        <v>0</v>
      </c>
      <c r="L170" s="183">
        <f>SUMIF('CF.1_2개월(단순차감)'!D:D,'CFS(2개월)'!G170,'CF.1_2개월(단순차감)'!AB:AB)</f>
        <v>0</v>
      </c>
      <c r="M170" s="186">
        <f t="shared" si="6"/>
        <v>0</v>
      </c>
      <c r="O170" s="182"/>
      <c r="P170" s="183">
        <f t="shared" si="5"/>
        <v>0</v>
      </c>
      <c r="Q170" s="184"/>
    </row>
    <row r="171" spans="4:17" ht="18" customHeight="1">
      <c r="D171" s="185">
        <v>2020</v>
      </c>
      <c r="E171" s="183">
        <v>12</v>
      </c>
      <c r="F171" s="183" t="s">
        <v>632</v>
      </c>
      <c r="G171" s="183" t="s">
        <v>1042</v>
      </c>
      <c r="H171" s="183" t="s">
        <v>1043</v>
      </c>
      <c r="I171" s="183">
        <v>3</v>
      </c>
      <c r="J171" s="183" t="s">
        <v>473</v>
      </c>
      <c r="K171" s="183">
        <f>SUMIF(CF.1!$D:$D,'CFS(2개월)'!G171,CF.1!$U:$U)</f>
        <v>0</v>
      </c>
      <c r="L171" s="183">
        <f>SUMIF('CF.1_2개월(단순차감)'!D:D,'CFS(2개월)'!G171,'CF.1_2개월(단순차감)'!AB:AB)</f>
        <v>0</v>
      </c>
      <c r="M171" s="186">
        <f t="shared" si="6"/>
        <v>0</v>
      </c>
      <c r="O171" s="182"/>
      <c r="P171" s="183">
        <f t="shared" si="5"/>
        <v>0</v>
      </c>
      <c r="Q171" s="184"/>
    </row>
    <row r="172" spans="4:17" ht="18" customHeight="1">
      <c r="D172" s="185">
        <v>2020</v>
      </c>
      <c r="E172" s="183">
        <v>12</v>
      </c>
      <c r="F172" s="183" t="s">
        <v>632</v>
      </c>
      <c r="G172" s="183" t="s">
        <v>1044</v>
      </c>
      <c r="H172" s="183" t="s">
        <v>1513</v>
      </c>
      <c r="I172" s="183">
        <v>3</v>
      </c>
      <c r="J172" s="183" t="s">
        <v>473</v>
      </c>
      <c r="K172" s="183">
        <f>SUMIF(CF.1!$D:$D,'CFS(2개월)'!G172,CF.1!$U:$U)</f>
        <v>0</v>
      </c>
      <c r="L172" s="183">
        <f>SUMIF('CF.1_2개월(단순차감)'!D:D,'CFS(2개월)'!G172,'CF.1_2개월(단순차감)'!AB:AB)</f>
        <v>0</v>
      </c>
      <c r="M172" s="186">
        <f t="shared" si="6"/>
        <v>0</v>
      </c>
      <c r="O172" s="182"/>
      <c r="P172" s="183">
        <f t="shared" si="5"/>
        <v>0</v>
      </c>
      <c r="Q172" s="184"/>
    </row>
    <row r="173" spans="4:17" ht="18" customHeight="1">
      <c r="D173" s="185">
        <v>2020</v>
      </c>
      <c r="E173" s="183">
        <v>12</v>
      </c>
      <c r="F173" s="183" t="s">
        <v>632</v>
      </c>
      <c r="G173" s="183" t="s">
        <v>1046</v>
      </c>
      <c r="H173" s="183" t="s">
        <v>1047</v>
      </c>
      <c r="I173" s="183">
        <v>3</v>
      </c>
      <c r="J173" s="183" t="s">
        <v>473</v>
      </c>
      <c r="K173" s="183">
        <f>SUMIF(CF.1!$D:$D,'CFS(2개월)'!G173,CF.1!$U:$U)</f>
        <v>0</v>
      </c>
      <c r="L173" s="183">
        <f>SUMIF('CF.1_2개월(단순차감)'!D:D,'CFS(2개월)'!G173,'CF.1_2개월(단순차감)'!AB:AB)</f>
        <v>0</v>
      </c>
      <c r="M173" s="186">
        <f t="shared" si="6"/>
        <v>0</v>
      </c>
      <c r="O173" s="182"/>
      <c r="P173" s="183">
        <f t="shared" si="5"/>
        <v>0</v>
      </c>
      <c r="Q173" s="184"/>
    </row>
    <row r="174" spans="4:17" ht="18" customHeight="1">
      <c r="D174" s="185">
        <v>2020</v>
      </c>
      <c r="E174" s="183">
        <v>12</v>
      </c>
      <c r="F174" s="183" t="s">
        <v>632</v>
      </c>
      <c r="G174" s="183" t="s">
        <v>1048</v>
      </c>
      <c r="H174" s="183" t="s">
        <v>1049</v>
      </c>
      <c r="I174" s="183">
        <v>3</v>
      </c>
      <c r="J174" s="183" t="s">
        <v>473</v>
      </c>
      <c r="K174" s="183">
        <f>SUMIF(CF.1!$D:$D,'CFS(2개월)'!G174,CF.1!$U:$U)</f>
        <v>0</v>
      </c>
      <c r="L174" s="183">
        <f>SUMIF('CF.1_2개월(단순차감)'!D:D,'CFS(2개월)'!G174,'CF.1_2개월(단순차감)'!AB:AB)</f>
        <v>0</v>
      </c>
      <c r="M174" s="186">
        <f t="shared" si="6"/>
        <v>0</v>
      </c>
      <c r="O174" s="182"/>
      <c r="P174" s="183">
        <f t="shared" si="5"/>
        <v>0</v>
      </c>
      <c r="Q174" s="184"/>
    </row>
    <row r="175" spans="4:17" ht="18" customHeight="1">
      <c r="D175" s="185">
        <v>2020</v>
      </c>
      <c r="E175" s="183">
        <v>12</v>
      </c>
      <c r="F175" s="183" t="s">
        <v>632</v>
      </c>
      <c r="G175" s="183" t="s">
        <v>1050</v>
      </c>
      <c r="H175" s="183" t="s">
        <v>1051</v>
      </c>
      <c r="I175" s="183">
        <v>3</v>
      </c>
      <c r="J175" s="183" t="s">
        <v>473</v>
      </c>
      <c r="K175" s="183">
        <f>SUMIF(CF.1!$D:$D,'CFS(2개월)'!G175,CF.1!$U:$U)</f>
        <v>0</v>
      </c>
      <c r="L175" s="183">
        <f>SUMIF('CF.1_2개월(단순차감)'!D:D,'CFS(2개월)'!G175,'CF.1_2개월(단순차감)'!AB:AB)</f>
        <v>0</v>
      </c>
      <c r="M175" s="186">
        <f t="shared" si="6"/>
        <v>0</v>
      </c>
      <c r="O175" s="182"/>
      <c r="P175" s="183">
        <f t="shared" si="5"/>
        <v>0</v>
      </c>
      <c r="Q175" s="184"/>
    </row>
    <row r="176" spans="4:17" ht="18" customHeight="1">
      <c r="D176" s="185">
        <v>2020</v>
      </c>
      <c r="E176" s="183">
        <v>12</v>
      </c>
      <c r="F176" s="183" t="s">
        <v>632</v>
      </c>
      <c r="G176" s="183" t="s">
        <v>1052</v>
      </c>
      <c r="H176" s="183" t="s">
        <v>1053</v>
      </c>
      <c r="I176" s="183">
        <v>3</v>
      </c>
      <c r="J176" s="183" t="s">
        <v>473</v>
      </c>
      <c r="K176" s="183">
        <f>SUMIF(CF.1!$D:$D,'CFS(2개월)'!G176,CF.1!$U:$U)</f>
        <v>0</v>
      </c>
      <c r="L176" s="183">
        <f>SUMIF('CF.1_2개월(단순차감)'!D:D,'CFS(2개월)'!G176,'CF.1_2개월(단순차감)'!AB:AB)</f>
        <v>0</v>
      </c>
      <c r="M176" s="186">
        <f t="shared" si="6"/>
        <v>0</v>
      </c>
      <c r="O176" s="182"/>
      <c r="P176" s="183">
        <f t="shared" si="5"/>
        <v>0</v>
      </c>
      <c r="Q176" s="184"/>
    </row>
    <row r="177" spans="4:17" ht="18" customHeight="1">
      <c r="D177" s="185">
        <v>2020</v>
      </c>
      <c r="E177" s="183">
        <v>12</v>
      </c>
      <c r="F177" s="183" t="s">
        <v>632</v>
      </c>
      <c r="G177" s="183" t="s">
        <v>1054</v>
      </c>
      <c r="H177" s="183" t="s">
        <v>1055</v>
      </c>
      <c r="I177" s="183">
        <v>3</v>
      </c>
      <c r="J177" s="183" t="s">
        <v>473</v>
      </c>
      <c r="K177" s="183">
        <f>SUMIF(CF.1!$D:$D,'CFS(2개월)'!G177,CF.1!$U:$U)</f>
        <v>0</v>
      </c>
      <c r="L177" s="183">
        <f>SUMIF('CF.1_2개월(단순차감)'!D:D,'CFS(2개월)'!G177,'CF.1_2개월(단순차감)'!AB:AB)</f>
        <v>0</v>
      </c>
      <c r="M177" s="186">
        <f t="shared" si="6"/>
        <v>0</v>
      </c>
      <c r="O177" s="182"/>
      <c r="P177" s="183">
        <f t="shared" si="5"/>
        <v>0</v>
      </c>
      <c r="Q177" s="184"/>
    </row>
    <row r="178" spans="4:17" ht="18" customHeight="1">
      <c r="D178" s="185">
        <v>2020</v>
      </c>
      <c r="E178" s="183">
        <v>12</v>
      </c>
      <c r="F178" s="183" t="s">
        <v>632</v>
      </c>
      <c r="G178" s="183" t="s">
        <v>1056</v>
      </c>
      <c r="H178" s="183" t="s">
        <v>1057</v>
      </c>
      <c r="I178" s="183">
        <v>3</v>
      </c>
      <c r="J178" s="183" t="s">
        <v>473</v>
      </c>
      <c r="K178" s="183">
        <f>SUMIF(CF.1!$D:$D,'CFS(2개월)'!G178,CF.1!$U:$U)</f>
        <v>0</v>
      </c>
      <c r="L178" s="183">
        <f>SUMIF('CF.1_2개월(단순차감)'!D:D,'CFS(2개월)'!G178,'CF.1_2개월(단순차감)'!AB:AB)</f>
        <v>0</v>
      </c>
      <c r="M178" s="186">
        <f t="shared" si="6"/>
        <v>0</v>
      </c>
      <c r="O178" s="182"/>
      <c r="P178" s="183">
        <f t="shared" si="5"/>
        <v>0</v>
      </c>
      <c r="Q178" s="184"/>
    </row>
    <row r="179" spans="4:17" ht="18" customHeight="1">
      <c r="D179" s="185">
        <v>2020</v>
      </c>
      <c r="E179" s="183">
        <v>12</v>
      </c>
      <c r="F179" s="183" t="s">
        <v>632</v>
      </c>
      <c r="G179" s="183" t="s">
        <v>1058</v>
      </c>
      <c r="H179" s="183" t="s">
        <v>1059</v>
      </c>
      <c r="I179" s="183">
        <v>3</v>
      </c>
      <c r="J179" s="183" t="s">
        <v>473</v>
      </c>
      <c r="K179" s="183">
        <f>SUMIF(CF.1!$D:$D,'CFS(2개월)'!G179,CF.1!$U:$U)</f>
        <v>0</v>
      </c>
      <c r="L179" s="183">
        <f>SUMIF('CF.1_2개월(단순차감)'!D:D,'CFS(2개월)'!G179,'CF.1_2개월(단순차감)'!AB:AB)</f>
        <v>0</v>
      </c>
      <c r="M179" s="186">
        <f t="shared" si="6"/>
        <v>0</v>
      </c>
      <c r="O179" s="182"/>
      <c r="P179" s="183">
        <f t="shared" si="5"/>
        <v>0</v>
      </c>
      <c r="Q179" s="184"/>
    </row>
    <row r="180" spans="4:17" ht="18" customHeight="1">
      <c r="D180" s="185">
        <v>2020</v>
      </c>
      <c r="E180" s="183">
        <v>12</v>
      </c>
      <c r="F180" s="183" t="s">
        <v>632</v>
      </c>
      <c r="G180" s="183" t="s">
        <v>1060</v>
      </c>
      <c r="H180" s="183" t="s">
        <v>1061</v>
      </c>
      <c r="I180" s="183">
        <v>3</v>
      </c>
      <c r="J180" s="183" t="s">
        <v>473</v>
      </c>
      <c r="K180" s="183">
        <f>SUMIF(CF.1!$D:$D,'CFS(2개월)'!G180,CF.1!$U:$U)</f>
        <v>0</v>
      </c>
      <c r="L180" s="183">
        <f>SUMIF('CF.1_2개월(단순차감)'!D:D,'CFS(2개월)'!G180,'CF.1_2개월(단순차감)'!AB:AB)</f>
        <v>0</v>
      </c>
      <c r="M180" s="186">
        <f t="shared" si="6"/>
        <v>0</v>
      </c>
      <c r="O180" s="182"/>
      <c r="P180" s="183">
        <f t="shared" si="5"/>
        <v>0</v>
      </c>
      <c r="Q180" s="184"/>
    </row>
    <row r="181" spans="4:17" ht="18" customHeight="1">
      <c r="D181" s="185">
        <v>2020</v>
      </c>
      <c r="E181" s="183">
        <v>12</v>
      </c>
      <c r="F181" s="183" t="s">
        <v>632</v>
      </c>
      <c r="G181" s="183" t="s">
        <v>1062</v>
      </c>
      <c r="H181" s="183" t="s">
        <v>1063</v>
      </c>
      <c r="I181" s="183">
        <v>3</v>
      </c>
      <c r="J181" s="183" t="s">
        <v>473</v>
      </c>
      <c r="K181" s="183">
        <f>SUMIF(CF.1!$D:$D,'CFS(2개월)'!G181,CF.1!$U:$U)</f>
        <v>0</v>
      </c>
      <c r="L181" s="183">
        <f>SUMIF('CF.1_2개월(단순차감)'!D:D,'CFS(2개월)'!G181,'CF.1_2개월(단순차감)'!AB:AB)</f>
        <v>0</v>
      </c>
      <c r="M181" s="186">
        <f t="shared" si="6"/>
        <v>0</v>
      </c>
      <c r="O181" s="182"/>
      <c r="P181" s="183">
        <f t="shared" si="5"/>
        <v>0</v>
      </c>
      <c r="Q181" s="184"/>
    </row>
    <row r="182" spans="4:17" ht="18" customHeight="1">
      <c r="D182" s="185">
        <v>2020</v>
      </c>
      <c r="E182" s="183">
        <v>12</v>
      </c>
      <c r="F182" s="183" t="s">
        <v>632</v>
      </c>
      <c r="G182" s="183" t="s">
        <v>1064</v>
      </c>
      <c r="H182" s="183" t="s">
        <v>1065</v>
      </c>
      <c r="I182" s="183">
        <v>3</v>
      </c>
      <c r="J182" s="183" t="s">
        <v>473</v>
      </c>
      <c r="K182" s="183">
        <f>SUMIF(CF.1!$D:$D,'CFS(2개월)'!G182,CF.1!$U:$U)</f>
        <v>0</v>
      </c>
      <c r="L182" s="183">
        <f>SUMIF('CF.1_2개월(단순차감)'!D:D,'CFS(2개월)'!G182,'CF.1_2개월(단순차감)'!AB:AB)</f>
        <v>0</v>
      </c>
      <c r="M182" s="186">
        <f t="shared" si="6"/>
        <v>0</v>
      </c>
      <c r="O182" s="182"/>
      <c r="P182" s="183">
        <f t="shared" si="5"/>
        <v>0</v>
      </c>
      <c r="Q182" s="184"/>
    </row>
    <row r="183" spans="4:17" ht="18" customHeight="1">
      <c r="D183" s="185">
        <v>2020</v>
      </c>
      <c r="E183" s="183">
        <v>12</v>
      </c>
      <c r="F183" s="183" t="s">
        <v>632</v>
      </c>
      <c r="G183" s="183" t="s">
        <v>1066</v>
      </c>
      <c r="H183" s="183" t="s">
        <v>1067</v>
      </c>
      <c r="I183" s="183">
        <v>3</v>
      </c>
      <c r="J183" s="183" t="s">
        <v>473</v>
      </c>
      <c r="K183" s="183">
        <f>SUMIF(CF.1!$D:$D,'CFS(2개월)'!G183,CF.1!$U:$U)</f>
        <v>0</v>
      </c>
      <c r="L183" s="183">
        <f>SUMIF('CF.1_2개월(단순차감)'!D:D,'CFS(2개월)'!G183,'CF.1_2개월(단순차감)'!AB:AB)</f>
        <v>0</v>
      </c>
      <c r="M183" s="186">
        <f t="shared" si="6"/>
        <v>0</v>
      </c>
      <c r="O183" s="182"/>
      <c r="P183" s="183">
        <f t="shared" si="5"/>
        <v>0</v>
      </c>
      <c r="Q183" s="184"/>
    </row>
    <row r="184" spans="4:17" ht="18" customHeight="1">
      <c r="D184" s="185">
        <v>2020</v>
      </c>
      <c r="E184" s="183">
        <v>12</v>
      </c>
      <c r="F184" s="183" t="s">
        <v>632</v>
      </c>
      <c r="G184" s="183" t="s">
        <v>1068</v>
      </c>
      <c r="H184" s="183" t="s">
        <v>1069</v>
      </c>
      <c r="I184" s="183">
        <v>3</v>
      </c>
      <c r="J184" s="183" t="s">
        <v>473</v>
      </c>
      <c r="K184" s="183">
        <f>SUMIF(CF.1!$D:$D,'CFS(2개월)'!G184,CF.1!$U:$U)</f>
        <v>0</v>
      </c>
      <c r="L184" s="183">
        <f>SUMIF('CF.1_2개월(단순차감)'!D:D,'CFS(2개월)'!G184,'CF.1_2개월(단순차감)'!AB:AB)</f>
        <v>0</v>
      </c>
      <c r="M184" s="186">
        <f t="shared" si="6"/>
        <v>0</v>
      </c>
      <c r="O184" s="182"/>
      <c r="P184" s="183">
        <f t="shared" si="5"/>
        <v>0</v>
      </c>
      <c r="Q184" s="184"/>
    </row>
    <row r="185" spans="4:17" ht="18" customHeight="1">
      <c r="D185" s="185">
        <v>2020</v>
      </c>
      <c r="E185" s="183">
        <v>12</v>
      </c>
      <c r="F185" s="183" t="s">
        <v>632</v>
      </c>
      <c r="G185" s="183" t="s">
        <v>1070</v>
      </c>
      <c r="H185" s="183" t="s">
        <v>1071</v>
      </c>
      <c r="I185" s="183">
        <v>3</v>
      </c>
      <c r="J185" s="183" t="s">
        <v>473</v>
      </c>
      <c r="K185" s="183">
        <f>SUMIF(CF.1!$D:$D,'CFS(2개월)'!G185,CF.1!$U:$U)</f>
        <v>0</v>
      </c>
      <c r="L185" s="183">
        <f>SUMIF('CF.1_2개월(단순차감)'!D:D,'CFS(2개월)'!G185,'CF.1_2개월(단순차감)'!AB:AB)</f>
        <v>0</v>
      </c>
      <c r="M185" s="186">
        <f t="shared" si="6"/>
        <v>0</v>
      </c>
      <c r="O185" s="182"/>
      <c r="P185" s="183">
        <f t="shared" si="5"/>
        <v>0</v>
      </c>
      <c r="Q185" s="184"/>
    </row>
    <row r="186" spans="4:17" ht="18" customHeight="1">
      <c r="D186" s="185">
        <v>2020</v>
      </c>
      <c r="E186" s="183">
        <v>12</v>
      </c>
      <c r="F186" s="183" t="s">
        <v>632</v>
      </c>
      <c r="G186" s="183" t="s">
        <v>1072</v>
      </c>
      <c r="H186" s="183" t="s">
        <v>1073</v>
      </c>
      <c r="I186" s="183">
        <v>3</v>
      </c>
      <c r="J186" s="183" t="s">
        <v>473</v>
      </c>
      <c r="K186" s="183">
        <f>SUMIF(CF.1!$D:$D,'CFS(2개월)'!G186,CF.1!$U:$U)</f>
        <v>0</v>
      </c>
      <c r="L186" s="183">
        <f>SUMIF('CF.1_2개월(단순차감)'!D:D,'CFS(2개월)'!G186,'CF.1_2개월(단순차감)'!AB:AB)</f>
        <v>0</v>
      </c>
      <c r="M186" s="186">
        <f t="shared" si="6"/>
        <v>0</v>
      </c>
      <c r="O186" s="182"/>
      <c r="P186" s="183">
        <f t="shared" si="5"/>
        <v>0</v>
      </c>
      <c r="Q186" s="184"/>
    </row>
    <row r="187" spans="4:17" ht="18" customHeight="1">
      <c r="D187" s="185">
        <v>2020</v>
      </c>
      <c r="E187" s="183">
        <v>12</v>
      </c>
      <c r="F187" s="183" t="s">
        <v>632</v>
      </c>
      <c r="G187" s="183" t="s">
        <v>1074</v>
      </c>
      <c r="H187" s="183" t="s">
        <v>1514</v>
      </c>
      <c r="I187" s="183">
        <v>3</v>
      </c>
      <c r="J187" s="183" t="s">
        <v>473</v>
      </c>
      <c r="K187" s="183">
        <f>SUMIF(CF.1!$D:$D,'CFS(2개월)'!G187,CF.1!$U:$U)</f>
        <v>63636363</v>
      </c>
      <c r="L187" s="183">
        <f>SUMIF('CF.1_2개월(단순차감)'!D:D,'CFS(2개월)'!G187,'CF.1_2개월(단순차감)'!AB:AB)</f>
        <v>0</v>
      </c>
      <c r="M187" s="186">
        <f t="shared" si="6"/>
        <v>-63636363</v>
      </c>
      <c r="O187" s="182"/>
      <c r="P187" s="183">
        <f t="shared" si="5"/>
        <v>0</v>
      </c>
      <c r="Q187" s="184"/>
    </row>
    <row r="188" spans="4:17" ht="18" customHeight="1">
      <c r="D188" s="185">
        <v>2020</v>
      </c>
      <c r="E188" s="183">
        <v>12</v>
      </c>
      <c r="F188" s="183" t="s">
        <v>632</v>
      </c>
      <c r="G188" s="183" t="s">
        <v>1075</v>
      </c>
      <c r="H188" s="183" t="s">
        <v>1076</v>
      </c>
      <c r="I188" s="183">
        <v>3</v>
      </c>
      <c r="J188" s="183" t="s">
        <v>473</v>
      </c>
      <c r="K188" s="183">
        <f>SUMIF(CF.1!$D:$D,'CFS(2개월)'!G188,CF.1!$U:$U)</f>
        <v>0</v>
      </c>
      <c r="L188" s="183">
        <f>SUMIF('CF.1_2개월(단순차감)'!D:D,'CFS(2개월)'!G188,'CF.1_2개월(단순차감)'!AB:AB)</f>
        <v>0</v>
      </c>
      <c r="M188" s="186">
        <f t="shared" si="6"/>
        <v>0</v>
      </c>
      <c r="O188" s="182"/>
      <c r="P188" s="183">
        <f t="shared" si="5"/>
        <v>0</v>
      </c>
      <c r="Q188" s="184"/>
    </row>
    <row r="189" spans="4:17" ht="18" customHeight="1">
      <c r="D189" s="185">
        <v>2020</v>
      </c>
      <c r="E189" s="183">
        <v>12</v>
      </c>
      <c r="F189" s="183" t="s">
        <v>632</v>
      </c>
      <c r="G189" s="183" t="s">
        <v>1077</v>
      </c>
      <c r="H189" s="183" t="s">
        <v>1078</v>
      </c>
      <c r="I189" s="183">
        <v>3</v>
      </c>
      <c r="J189" s="183" t="s">
        <v>473</v>
      </c>
      <c r="K189" s="183">
        <f>SUMIF(CF.1!$D:$D,'CFS(2개월)'!G189,CF.1!$U:$U)</f>
        <v>0</v>
      </c>
      <c r="L189" s="183">
        <f>SUMIF('CF.1_2개월(단순차감)'!D:D,'CFS(2개월)'!G189,'CF.1_2개월(단순차감)'!AB:AB)</f>
        <v>0</v>
      </c>
      <c r="M189" s="186">
        <f t="shared" si="6"/>
        <v>0</v>
      </c>
      <c r="O189" s="182"/>
      <c r="P189" s="183">
        <f t="shared" si="5"/>
        <v>0</v>
      </c>
      <c r="Q189" s="184"/>
    </row>
    <row r="190" spans="4:17" ht="18" customHeight="1">
      <c r="D190" s="185">
        <v>2020</v>
      </c>
      <c r="E190" s="183">
        <v>12</v>
      </c>
      <c r="F190" s="183" t="s">
        <v>632</v>
      </c>
      <c r="G190" s="183" t="s">
        <v>1079</v>
      </c>
      <c r="H190" s="183" t="s">
        <v>1080</v>
      </c>
      <c r="I190" s="183">
        <v>3</v>
      </c>
      <c r="J190" s="183" t="s">
        <v>473</v>
      </c>
      <c r="K190" s="183">
        <f>SUMIF(CF.1!$D:$D,'CFS(2개월)'!G190,CF.1!$U:$U)</f>
        <v>0</v>
      </c>
      <c r="L190" s="183">
        <f>SUMIF('CF.1_2개월(단순차감)'!D:D,'CFS(2개월)'!G190,'CF.1_2개월(단순차감)'!AB:AB)</f>
        <v>0</v>
      </c>
      <c r="M190" s="186">
        <f t="shared" si="6"/>
        <v>0</v>
      </c>
      <c r="O190" s="182"/>
      <c r="P190" s="183">
        <f t="shared" si="5"/>
        <v>0</v>
      </c>
      <c r="Q190" s="184"/>
    </row>
    <row r="191" spans="4:17" ht="18" customHeight="1">
      <c r="D191" s="185">
        <v>2020</v>
      </c>
      <c r="E191" s="183">
        <v>12</v>
      </c>
      <c r="F191" s="183" t="s">
        <v>632</v>
      </c>
      <c r="G191" s="183" t="s">
        <v>1081</v>
      </c>
      <c r="H191" s="183" t="s">
        <v>1082</v>
      </c>
      <c r="I191" s="183">
        <v>3</v>
      </c>
      <c r="J191" s="183" t="s">
        <v>473</v>
      </c>
      <c r="K191" s="183">
        <f>SUMIF(CF.1!$D:$D,'CFS(2개월)'!G191,CF.1!$U:$U)</f>
        <v>0</v>
      </c>
      <c r="L191" s="183">
        <f>SUMIF('CF.1_2개월(단순차감)'!D:D,'CFS(2개월)'!G191,'CF.1_2개월(단순차감)'!AB:AB)</f>
        <v>0</v>
      </c>
      <c r="M191" s="186">
        <f t="shared" si="6"/>
        <v>0</v>
      </c>
      <c r="O191" s="182"/>
      <c r="P191" s="183">
        <f t="shared" si="5"/>
        <v>0</v>
      </c>
      <c r="Q191" s="184"/>
    </row>
    <row r="192" spans="4:17" ht="18" customHeight="1">
      <c r="D192" s="185">
        <v>2020</v>
      </c>
      <c r="E192" s="183">
        <v>12</v>
      </c>
      <c r="F192" s="183" t="s">
        <v>632</v>
      </c>
      <c r="G192" s="183" t="s">
        <v>1083</v>
      </c>
      <c r="H192" s="183" t="s">
        <v>1084</v>
      </c>
      <c r="I192" s="183">
        <v>3</v>
      </c>
      <c r="J192" s="183" t="s">
        <v>473</v>
      </c>
      <c r="K192" s="183">
        <f>SUMIF(CF.1!$D:$D,'CFS(2개월)'!G192,CF.1!$U:$U)</f>
        <v>0</v>
      </c>
      <c r="L192" s="183">
        <f>SUMIF('CF.1_2개월(단순차감)'!D:D,'CFS(2개월)'!G192,'CF.1_2개월(단순차감)'!AB:AB)</f>
        <v>0</v>
      </c>
      <c r="M192" s="186">
        <f t="shared" si="6"/>
        <v>0</v>
      </c>
      <c r="O192" s="182"/>
      <c r="P192" s="183">
        <f t="shared" si="5"/>
        <v>0</v>
      </c>
      <c r="Q192" s="184"/>
    </row>
    <row r="193" spans="4:17" ht="18" customHeight="1">
      <c r="D193" s="185">
        <v>2020</v>
      </c>
      <c r="E193" s="183">
        <v>12</v>
      </c>
      <c r="F193" s="183" t="s">
        <v>632</v>
      </c>
      <c r="G193" s="183" t="s">
        <v>1085</v>
      </c>
      <c r="H193" s="183" t="s">
        <v>1086</v>
      </c>
      <c r="I193" s="183">
        <v>3</v>
      </c>
      <c r="J193" s="183" t="s">
        <v>473</v>
      </c>
      <c r="K193" s="183">
        <f>SUMIF(CF.1!$D:$D,'CFS(2개월)'!G193,CF.1!$U:$U)</f>
        <v>0</v>
      </c>
      <c r="L193" s="183">
        <f>SUMIF('CF.1_2개월(단순차감)'!D:D,'CFS(2개월)'!G193,'CF.1_2개월(단순차감)'!AB:AB)</f>
        <v>0</v>
      </c>
      <c r="M193" s="186">
        <f t="shared" si="6"/>
        <v>0</v>
      </c>
      <c r="O193" s="182"/>
      <c r="P193" s="183">
        <f t="shared" si="5"/>
        <v>0</v>
      </c>
      <c r="Q193" s="184"/>
    </row>
    <row r="194" spans="4:17" ht="18" customHeight="1">
      <c r="D194" s="185">
        <v>2020</v>
      </c>
      <c r="E194" s="183">
        <v>12</v>
      </c>
      <c r="F194" s="183" t="s">
        <v>632</v>
      </c>
      <c r="G194" s="183" t="s">
        <v>1087</v>
      </c>
      <c r="H194" s="183" t="s">
        <v>1088</v>
      </c>
      <c r="I194" s="183">
        <v>3</v>
      </c>
      <c r="J194" s="183" t="s">
        <v>473</v>
      </c>
      <c r="K194" s="183">
        <f>SUMIF(CF.1!$D:$D,'CFS(2개월)'!G194,CF.1!$U:$U)</f>
        <v>0</v>
      </c>
      <c r="L194" s="183">
        <f>SUMIF('CF.1_2개월(단순차감)'!D:D,'CFS(2개월)'!G194,'CF.1_2개월(단순차감)'!AB:AB)</f>
        <v>0</v>
      </c>
      <c r="M194" s="186">
        <f t="shared" si="6"/>
        <v>0</v>
      </c>
      <c r="O194" s="182"/>
      <c r="P194" s="183">
        <f t="shared" si="5"/>
        <v>0</v>
      </c>
      <c r="Q194" s="184"/>
    </row>
    <row r="195" spans="4:17" ht="18" customHeight="1">
      <c r="D195" s="185">
        <v>2020</v>
      </c>
      <c r="E195" s="183">
        <v>12</v>
      </c>
      <c r="F195" s="183" t="s">
        <v>632</v>
      </c>
      <c r="G195" s="183" t="s">
        <v>1089</v>
      </c>
      <c r="H195" s="183" t="s">
        <v>1090</v>
      </c>
      <c r="I195" s="183">
        <v>3</v>
      </c>
      <c r="J195" s="183" t="s">
        <v>473</v>
      </c>
      <c r="K195" s="183">
        <f>SUMIF(CF.1!$D:$D,'CFS(2개월)'!G195,CF.1!$U:$U)</f>
        <v>0</v>
      </c>
      <c r="L195" s="183">
        <f>SUMIF('CF.1_2개월(단순차감)'!D:D,'CFS(2개월)'!G195,'CF.1_2개월(단순차감)'!AB:AB)</f>
        <v>0</v>
      </c>
      <c r="M195" s="186">
        <f t="shared" si="6"/>
        <v>0</v>
      </c>
      <c r="O195" s="182"/>
      <c r="P195" s="183">
        <f t="shared" si="5"/>
        <v>0</v>
      </c>
      <c r="Q195" s="184"/>
    </row>
    <row r="196" spans="4:17" ht="18" customHeight="1">
      <c r="D196" s="185">
        <v>2020</v>
      </c>
      <c r="E196" s="183">
        <v>12</v>
      </c>
      <c r="F196" s="183" t="s">
        <v>632</v>
      </c>
      <c r="G196" s="183" t="s">
        <v>1091</v>
      </c>
      <c r="H196" s="183" t="s">
        <v>1092</v>
      </c>
      <c r="I196" s="183">
        <v>3</v>
      </c>
      <c r="J196" s="183" t="s">
        <v>473</v>
      </c>
      <c r="K196" s="183">
        <f>SUMIF(CF.1!$D:$D,'CFS(2개월)'!G196,CF.1!$U:$U)</f>
        <v>0</v>
      </c>
      <c r="L196" s="183">
        <f>SUMIF('CF.1_2개월(단순차감)'!D:D,'CFS(2개월)'!G196,'CF.1_2개월(단순차감)'!AB:AB)</f>
        <v>0</v>
      </c>
      <c r="M196" s="186">
        <f t="shared" si="6"/>
        <v>0</v>
      </c>
      <c r="O196" s="182"/>
      <c r="P196" s="183">
        <f t="shared" si="5"/>
        <v>0</v>
      </c>
      <c r="Q196" s="184"/>
    </row>
    <row r="197" spans="4:17" ht="18" customHeight="1">
      <c r="D197" s="185">
        <v>2020</v>
      </c>
      <c r="E197" s="183">
        <v>12</v>
      </c>
      <c r="F197" s="183" t="s">
        <v>632</v>
      </c>
      <c r="G197" s="183" t="s">
        <v>1093</v>
      </c>
      <c r="H197" s="183" t="s">
        <v>1094</v>
      </c>
      <c r="I197" s="183">
        <v>3</v>
      </c>
      <c r="J197" s="183" t="s">
        <v>473</v>
      </c>
      <c r="K197" s="183">
        <f>SUMIF(CF.1!$D:$D,'CFS(2개월)'!G197,CF.1!$U:$U)</f>
        <v>0</v>
      </c>
      <c r="L197" s="183">
        <f>SUMIF('CF.1_2개월(단순차감)'!D:D,'CFS(2개월)'!G197,'CF.1_2개월(단순차감)'!AB:AB)</f>
        <v>0</v>
      </c>
      <c r="M197" s="186">
        <f t="shared" si="6"/>
        <v>0</v>
      </c>
      <c r="O197" s="182"/>
      <c r="P197" s="183">
        <f t="shared" si="5"/>
        <v>0</v>
      </c>
      <c r="Q197" s="184"/>
    </row>
    <row r="198" spans="4:17" ht="18" customHeight="1">
      <c r="D198" s="185">
        <v>2020</v>
      </c>
      <c r="E198" s="183">
        <v>12</v>
      </c>
      <c r="F198" s="183" t="s">
        <v>632</v>
      </c>
      <c r="G198" s="183" t="s">
        <v>1095</v>
      </c>
      <c r="H198" s="183" t="s">
        <v>1096</v>
      </c>
      <c r="I198" s="183">
        <v>3</v>
      </c>
      <c r="J198" s="183" t="s">
        <v>473</v>
      </c>
      <c r="K198" s="183">
        <f>SUMIF(CF.1!$D:$D,'CFS(2개월)'!G198,CF.1!$U:$U)</f>
        <v>0</v>
      </c>
      <c r="L198" s="183">
        <f>SUMIF('CF.1_2개월(단순차감)'!D:D,'CFS(2개월)'!G198,'CF.1_2개월(단순차감)'!AB:AB)</f>
        <v>0</v>
      </c>
      <c r="M198" s="186">
        <f t="shared" si="6"/>
        <v>0</v>
      </c>
      <c r="O198" s="182"/>
      <c r="P198" s="183">
        <f t="shared" si="5"/>
        <v>0</v>
      </c>
      <c r="Q198" s="184"/>
    </row>
    <row r="199" spans="4:17" ht="18" customHeight="1">
      <c r="D199" s="185">
        <v>2020</v>
      </c>
      <c r="E199" s="183">
        <v>12</v>
      </c>
      <c r="F199" s="183" t="s">
        <v>632</v>
      </c>
      <c r="G199" s="183" t="s">
        <v>1097</v>
      </c>
      <c r="H199" s="183" t="s">
        <v>1098</v>
      </c>
      <c r="I199" s="183">
        <v>3</v>
      </c>
      <c r="J199" s="183" t="s">
        <v>473</v>
      </c>
      <c r="K199" s="183">
        <f>SUMIF(CF.1!$D:$D,'CFS(2개월)'!G199,CF.1!$U:$U)</f>
        <v>0</v>
      </c>
      <c r="L199" s="183">
        <f>SUMIF('CF.1_2개월(단순차감)'!D:D,'CFS(2개월)'!G199,'CF.1_2개월(단순차감)'!AB:AB)</f>
        <v>0</v>
      </c>
      <c r="M199" s="186">
        <f t="shared" si="6"/>
        <v>0</v>
      </c>
      <c r="O199" s="182"/>
      <c r="P199" s="183">
        <f t="shared" si="5"/>
        <v>0</v>
      </c>
      <c r="Q199" s="184"/>
    </row>
    <row r="200" spans="4:17" ht="18" customHeight="1">
      <c r="D200" s="185">
        <v>2020</v>
      </c>
      <c r="E200" s="183">
        <v>12</v>
      </c>
      <c r="F200" s="183" t="s">
        <v>632</v>
      </c>
      <c r="G200" s="183" t="s">
        <v>1099</v>
      </c>
      <c r="H200" s="183" t="s">
        <v>1100</v>
      </c>
      <c r="I200" s="183">
        <v>3</v>
      </c>
      <c r="J200" s="183" t="s">
        <v>473</v>
      </c>
      <c r="K200" s="183">
        <f>SUMIF(CF.1!$D:$D,'CFS(2개월)'!G200,CF.1!$U:$U)</f>
        <v>0</v>
      </c>
      <c r="L200" s="183">
        <f>SUMIF('CF.1_2개월(단순차감)'!D:D,'CFS(2개월)'!G200,'CF.1_2개월(단순차감)'!AB:AB)</f>
        <v>0</v>
      </c>
      <c r="M200" s="186">
        <f t="shared" si="6"/>
        <v>0</v>
      </c>
      <c r="O200" s="182"/>
      <c r="P200" s="183">
        <f t="shared" si="5"/>
        <v>0</v>
      </c>
      <c r="Q200" s="184"/>
    </row>
    <row r="201" spans="4:17" ht="18" customHeight="1">
      <c r="D201" s="185">
        <v>2020</v>
      </c>
      <c r="E201" s="183">
        <v>12</v>
      </c>
      <c r="F201" s="183" t="s">
        <v>632</v>
      </c>
      <c r="G201" s="183" t="s">
        <v>1103</v>
      </c>
      <c r="H201" s="183" t="s">
        <v>1104</v>
      </c>
      <c r="I201" s="183">
        <v>3</v>
      </c>
      <c r="J201" s="183" t="s">
        <v>473</v>
      </c>
      <c r="K201" s="183">
        <f>SUMIF(CF.1!$D:$D,'CFS(2개월)'!G201,CF.1!$U:$U)</f>
        <v>0</v>
      </c>
      <c r="L201" s="183">
        <f>SUMIF('CF.1_2개월(단순차감)'!D:D,'CFS(2개월)'!G201,'CF.1_2개월(단순차감)'!AB:AB)</f>
        <v>0</v>
      </c>
      <c r="M201" s="186">
        <f t="shared" si="6"/>
        <v>0</v>
      </c>
      <c r="O201" s="182"/>
      <c r="P201" s="183">
        <f t="shared" ref="P201:P264" si="7">O201-L201</f>
        <v>0</v>
      </c>
      <c r="Q201" s="184"/>
    </row>
    <row r="202" spans="4:17" ht="18" customHeight="1">
      <c r="D202" s="185">
        <v>2020</v>
      </c>
      <c r="E202" s="183">
        <v>12</v>
      </c>
      <c r="F202" s="183" t="s">
        <v>632</v>
      </c>
      <c r="G202" s="183" t="s">
        <v>1105</v>
      </c>
      <c r="H202" s="183" t="s">
        <v>1106</v>
      </c>
      <c r="I202" s="183">
        <v>3</v>
      </c>
      <c r="J202" s="183" t="s">
        <v>473</v>
      </c>
      <c r="K202" s="183">
        <f>SUMIF(CF.1!$D:$D,'CFS(2개월)'!G202,CF.1!$U:$U)</f>
        <v>0</v>
      </c>
      <c r="L202" s="183">
        <f>SUMIF('CF.1_2개월(단순차감)'!D:D,'CFS(2개월)'!G202,'CF.1_2개월(단순차감)'!AB:AB)</f>
        <v>0</v>
      </c>
      <c r="M202" s="186">
        <f t="shared" si="6"/>
        <v>0</v>
      </c>
      <c r="O202" s="182"/>
      <c r="P202" s="183">
        <f t="shared" si="7"/>
        <v>0</v>
      </c>
      <c r="Q202" s="184"/>
    </row>
    <row r="203" spans="4:17" ht="18" customHeight="1">
      <c r="D203" s="185">
        <v>2020</v>
      </c>
      <c r="E203" s="183">
        <v>12</v>
      </c>
      <c r="F203" s="183" t="s">
        <v>632</v>
      </c>
      <c r="G203" s="183" t="s">
        <v>1107</v>
      </c>
      <c r="H203" s="183" t="s">
        <v>1108</v>
      </c>
      <c r="I203" s="183">
        <v>3</v>
      </c>
      <c r="J203" s="183" t="s">
        <v>473</v>
      </c>
      <c r="K203" s="183">
        <f>SUMIF(CF.1!$D:$D,'CFS(2개월)'!G203,CF.1!$U:$U)</f>
        <v>0</v>
      </c>
      <c r="L203" s="183">
        <f>SUMIF('CF.1_2개월(단순차감)'!D:D,'CFS(2개월)'!G203,'CF.1_2개월(단순차감)'!AB:AB)</f>
        <v>0</v>
      </c>
      <c r="M203" s="186">
        <f t="shared" si="6"/>
        <v>0</v>
      </c>
      <c r="O203" s="182"/>
      <c r="P203" s="183">
        <f t="shared" si="7"/>
        <v>0</v>
      </c>
      <c r="Q203" s="184"/>
    </row>
    <row r="204" spans="4:17" ht="18" customHeight="1">
      <c r="D204" s="185">
        <v>2020</v>
      </c>
      <c r="E204" s="183">
        <v>12</v>
      </c>
      <c r="F204" s="183" t="s">
        <v>632</v>
      </c>
      <c r="G204" s="183" t="s">
        <v>1109</v>
      </c>
      <c r="H204" s="183" t="s">
        <v>1110</v>
      </c>
      <c r="I204" s="183">
        <v>3</v>
      </c>
      <c r="J204" s="183" t="s">
        <v>473</v>
      </c>
      <c r="K204" s="183">
        <f>SUMIF(CF.1!$D:$D,'CFS(2개월)'!G204,CF.1!$U:$U)</f>
        <v>0</v>
      </c>
      <c r="L204" s="183">
        <f>SUMIF('CF.1_2개월(단순차감)'!D:D,'CFS(2개월)'!G204,'CF.1_2개월(단순차감)'!AB:AB)</f>
        <v>0</v>
      </c>
      <c r="M204" s="186">
        <f t="shared" si="6"/>
        <v>0</v>
      </c>
      <c r="O204" s="182"/>
      <c r="P204" s="183">
        <f t="shared" si="7"/>
        <v>0</v>
      </c>
      <c r="Q204" s="184"/>
    </row>
    <row r="205" spans="4:17" ht="18" customHeight="1">
      <c r="D205" s="185">
        <v>2020</v>
      </c>
      <c r="E205" s="183">
        <v>12</v>
      </c>
      <c r="F205" s="183" t="s">
        <v>632</v>
      </c>
      <c r="G205" s="183" t="s">
        <v>1111</v>
      </c>
      <c r="H205" s="183" t="s">
        <v>1112</v>
      </c>
      <c r="I205" s="183">
        <v>3</v>
      </c>
      <c r="J205" s="183" t="s">
        <v>473</v>
      </c>
      <c r="K205" s="183">
        <f>SUMIF(CF.1!$D:$D,'CFS(2개월)'!G205,CF.1!$U:$U)</f>
        <v>0</v>
      </c>
      <c r="L205" s="183">
        <f>SUMIF('CF.1_2개월(단순차감)'!D:D,'CFS(2개월)'!G205,'CF.1_2개월(단순차감)'!AB:AB)</f>
        <v>0</v>
      </c>
      <c r="M205" s="186">
        <f t="shared" si="6"/>
        <v>0</v>
      </c>
      <c r="O205" s="182"/>
      <c r="P205" s="183">
        <f t="shared" si="7"/>
        <v>0</v>
      </c>
      <c r="Q205" s="184"/>
    </row>
    <row r="206" spans="4:17" ht="18" customHeight="1">
      <c r="D206" s="185">
        <v>2020</v>
      </c>
      <c r="E206" s="183">
        <v>12</v>
      </c>
      <c r="F206" s="183" t="s">
        <v>632</v>
      </c>
      <c r="G206" s="183" t="s">
        <v>1113</v>
      </c>
      <c r="H206" s="183" t="s">
        <v>1114</v>
      </c>
      <c r="I206" s="183">
        <v>3</v>
      </c>
      <c r="J206" s="183" t="s">
        <v>473</v>
      </c>
      <c r="K206" s="183">
        <f>SUMIF(CF.1!$D:$D,'CFS(2개월)'!G206,CF.1!$U:$U)</f>
        <v>0</v>
      </c>
      <c r="L206" s="183">
        <f>SUMIF('CF.1_2개월(단순차감)'!D:D,'CFS(2개월)'!G206,'CF.1_2개월(단순차감)'!AB:AB)</f>
        <v>0</v>
      </c>
      <c r="M206" s="186">
        <f t="shared" si="6"/>
        <v>0</v>
      </c>
      <c r="O206" s="182"/>
      <c r="P206" s="183">
        <f t="shared" si="7"/>
        <v>0</v>
      </c>
      <c r="Q206" s="184"/>
    </row>
    <row r="207" spans="4:17" ht="18" customHeight="1">
      <c r="D207" s="185">
        <v>2020</v>
      </c>
      <c r="E207" s="183">
        <v>12</v>
      </c>
      <c r="F207" s="183" t="s">
        <v>632</v>
      </c>
      <c r="G207" s="183" t="s">
        <v>1123</v>
      </c>
      <c r="H207" s="183" t="s">
        <v>1124</v>
      </c>
      <c r="I207" s="183">
        <v>3</v>
      </c>
      <c r="J207" s="183" t="s">
        <v>473</v>
      </c>
      <c r="K207" s="183">
        <f>SUMIF(CF.1!$D:$D,'CFS(2개월)'!G207,CF.1!$U:$U)</f>
        <v>0</v>
      </c>
      <c r="L207" s="183">
        <f>SUMIF('CF.1_2개월(단순차감)'!D:D,'CFS(2개월)'!G207,'CF.1_2개월(단순차감)'!AB:AB)</f>
        <v>0</v>
      </c>
      <c r="M207" s="186">
        <f t="shared" si="6"/>
        <v>0</v>
      </c>
      <c r="O207" s="182"/>
      <c r="P207" s="183">
        <f t="shared" si="7"/>
        <v>0</v>
      </c>
      <c r="Q207" s="184"/>
    </row>
    <row r="208" spans="4:17" ht="18" customHeight="1">
      <c r="D208" s="179">
        <v>2020</v>
      </c>
      <c r="E208" s="180">
        <v>12</v>
      </c>
      <c r="F208" s="180" t="s">
        <v>632</v>
      </c>
      <c r="G208" s="180" t="s">
        <v>1125</v>
      </c>
      <c r="H208" s="180" t="s">
        <v>1126</v>
      </c>
      <c r="I208" s="180">
        <v>2</v>
      </c>
      <c r="J208" s="180" t="s">
        <v>473</v>
      </c>
      <c r="K208" s="180">
        <f>SUM(K209:K259)</f>
        <v>-6524172527</v>
      </c>
      <c r="L208" s="180">
        <f>SUM(L209:L259)</f>
        <v>-11496984570</v>
      </c>
      <c r="M208" s="181">
        <f>SUM(M209:M259)</f>
        <v>-4972812043</v>
      </c>
      <c r="O208" s="182"/>
      <c r="P208" s="183">
        <f t="shared" si="7"/>
        <v>11496984570</v>
      </c>
      <c r="Q208" s="184"/>
    </row>
    <row r="209" spans="4:17" ht="18" customHeight="1">
      <c r="D209" s="185">
        <v>2020</v>
      </c>
      <c r="E209" s="183">
        <v>12</v>
      </c>
      <c r="F209" s="183" t="s">
        <v>632</v>
      </c>
      <c r="G209" s="183" t="s">
        <v>1127</v>
      </c>
      <c r="H209" s="183" t="s">
        <v>1128</v>
      </c>
      <c r="I209" s="183">
        <v>3</v>
      </c>
      <c r="J209" s="183" t="s">
        <v>473</v>
      </c>
      <c r="K209" s="183">
        <f>SUMIF(CF.1!$D:$D,'CFS(2개월)'!G209,CF.1!$U:$U)</f>
        <v>0</v>
      </c>
      <c r="L209" s="183">
        <f>SUMIF('CF.1_2개월(단순차감)'!D:D,'CFS(2개월)'!G209,'CF.1_2개월(단순차감)'!AB:AB)</f>
        <v>0</v>
      </c>
      <c r="M209" s="186">
        <f t="shared" ref="M209:M259" si="8">L209-K209</f>
        <v>0</v>
      </c>
      <c r="O209" s="182"/>
      <c r="P209" s="183">
        <f t="shared" si="7"/>
        <v>0</v>
      </c>
      <c r="Q209" s="184"/>
    </row>
    <row r="210" spans="4:17" ht="18" customHeight="1">
      <c r="D210" s="185">
        <v>2020</v>
      </c>
      <c r="E210" s="183">
        <v>12</v>
      </c>
      <c r="F210" s="183" t="s">
        <v>632</v>
      </c>
      <c r="G210" s="183" t="s">
        <v>1129</v>
      </c>
      <c r="H210" s="183" t="s">
        <v>1130</v>
      </c>
      <c r="I210" s="183">
        <v>3</v>
      </c>
      <c r="J210" s="183" t="s">
        <v>473</v>
      </c>
      <c r="K210" s="183">
        <f>SUMIF(CF.1!$D:$D,'CFS(2개월)'!G210,CF.1!$U:$U)</f>
        <v>0</v>
      </c>
      <c r="L210" s="183">
        <f>SUMIF('CF.1_2개월(단순차감)'!D:D,'CFS(2개월)'!G210,'CF.1_2개월(단순차감)'!AB:AB)</f>
        <v>-312435000</v>
      </c>
      <c r="M210" s="186">
        <f t="shared" si="8"/>
        <v>-312435000</v>
      </c>
      <c r="O210" s="182"/>
      <c r="P210" s="183">
        <f t="shared" si="7"/>
        <v>312435000</v>
      </c>
      <c r="Q210" s="184"/>
    </row>
    <row r="211" spans="4:17" ht="18" customHeight="1">
      <c r="D211" s="185">
        <v>2020</v>
      </c>
      <c r="E211" s="183">
        <v>12</v>
      </c>
      <c r="F211" s="183" t="s">
        <v>632</v>
      </c>
      <c r="G211" s="183" t="s">
        <v>1131</v>
      </c>
      <c r="H211" s="183" t="s">
        <v>1132</v>
      </c>
      <c r="I211" s="183">
        <v>3</v>
      </c>
      <c r="J211" s="183" t="s">
        <v>473</v>
      </c>
      <c r="K211" s="183">
        <f>SUMIF(CF.1!$D:$D,'CFS(2개월)'!G211,CF.1!$U:$U)</f>
        <v>0</v>
      </c>
      <c r="L211" s="183">
        <f>SUMIF('CF.1_2개월(단순차감)'!D:D,'CFS(2개월)'!G211,'CF.1_2개월(단순차감)'!AB:AB)</f>
        <v>0</v>
      </c>
      <c r="M211" s="186">
        <f t="shared" si="8"/>
        <v>0</v>
      </c>
      <c r="O211" s="182"/>
      <c r="P211" s="183">
        <f t="shared" si="7"/>
        <v>0</v>
      </c>
      <c r="Q211" s="184"/>
    </row>
    <row r="212" spans="4:17" ht="18" customHeight="1">
      <c r="D212" s="185">
        <v>2020</v>
      </c>
      <c r="E212" s="183">
        <v>12</v>
      </c>
      <c r="F212" s="183" t="s">
        <v>632</v>
      </c>
      <c r="G212" s="183" t="s">
        <v>1133</v>
      </c>
      <c r="H212" s="183" t="s">
        <v>1134</v>
      </c>
      <c r="I212" s="183">
        <v>3</v>
      </c>
      <c r="J212" s="183" t="s">
        <v>473</v>
      </c>
      <c r="K212" s="183">
        <f>SUMIF(CF.1!$D:$D,'CFS(2개월)'!G212,CF.1!$U:$U)</f>
        <v>0</v>
      </c>
      <c r="L212" s="183">
        <f>SUMIF('CF.1_2개월(단순차감)'!D:D,'CFS(2개월)'!G212,'CF.1_2개월(단순차감)'!AB:AB)</f>
        <v>0</v>
      </c>
      <c r="M212" s="186">
        <f t="shared" si="8"/>
        <v>0</v>
      </c>
      <c r="O212" s="182"/>
      <c r="P212" s="183">
        <f t="shared" si="7"/>
        <v>0</v>
      </c>
      <c r="Q212" s="184"/>
    </row>
    <row r="213" spans="4:17" ht="18" customHeight="1">
      <c r="D213" s="185">
        <v>2020</v>
      </c>
      <c r="E213" s="183">
        <v>12</v>
      </c>
      <c r="F213" s="183" t="s">
        <v>632</v>
      </c>
      <c r="G213" s="183" t="s">
        <v>1135</v>
      </c>
      <c r="H213" s="183" t="s">
        <v>1136</v>
      </c>
      <c r="I213" s="183">
        <v>3</v>
      </c>
      <c r="J213" s="183" t="s">
        <v>473</v>
      </c>
      <c r="K213" s="183">
        <f>SUMIF(CF.1!$D:$D,'CFS(2개월)'!G213,CF.1!$U:$U)</f>
        <v>0</v>
      </c>
      <c r="L213" s="183">
        <f>SUMIF('CF.1_2개월(단순차감)'!D:D,'CFS(2개월)'!G213,'CF.1_2개월(단순차감)'!AB:AB)</f>
        <v>0</v>
      </c>
      <c r="M213" s="186">
        <f t="shared" si="8"/>
        <v>0</v>
      </c>
      <c r="O213" s="182"/>
      <c r="P213" s="183">
        <f t="shared" si="7"/>
        <v>0</v>
      </c>
      <c r="Q213" s="184"/>
    </row>
    <row r="214" spans="4:17" ht="18" customHeight="1">
      <c r="D214" s="185">
        <v>2020</v>
      </c>
      <c r="E214" s="183">
        <v>12</v>
      </c>
      <c r="F214" s="183" t="s">
        <v>632</v>
      </c>
      <c r="G214" s="183" t="s">
        <v>1137</v>
      </c>
      <c r="H214" s="183" t="s">
        <v>1138</v>
      </c>
      <c r="I214" s="183">
        <v>3</v>
      </c>
      <c r="J214" s="183" t="s">
        <v>473</v>
      </c>
      <c r="K214" s="183">
        <f>SUMIF(CF.1!$D:$D,'CFS(2개월)'!G214,CF.1!$U:$U)</f>
        <v>0</v>
      </c>
      <c r="L214" s="183">
        <f>SUMIF('CF.1_2개월(단순차감)'!D:D,'CFS(2개월)'!G214,'CF.1_2개월(단순차감)'!AB:AB)</f>
        <v>0</v>
      </c>
      <c r="M214" s="186">
        <f t="shared" si="8"/>
        <v>0</v>
      </c>
      <c r="O214" s="182"/>
      <c r="P214" s="183">
        <f t="shared" si="7"/>
        <v>0</v>
      </c>
      <c r="Q214" s="184"/>
    </row>
    <row r="215" spans="4:17" ht="18" customHeight="1">
      <c r="D215" s="185">
        <v>2020</v>
      </c>
      <c r="E215" s="183">
        <v>12</v>
      </c>
      <c r="F215" s="183" t="s">
        <v>632</v>
      </c>
      <c r="G215" s="183" t="s">
        <v>1139</v>
      </c>
      <c r="H215" s="183" t="s">
        <v>1140</v>
      </c>
      <c r="I215" s="183">
        <v>3</v>
      </c>
      <c r="J215" s="183" t="s">
        <v>473</v>
      </c>
      <c r="K215" s="183">
        <f>SUMIF(CF.1!$D:$D,'CFS(2개월)'!G215,CF.1!$U:$U)</f>
        <v>0</v>
      </c>
      <c r="L215" s="183">
        <f>SUMIF('CF.1_2개월(단순차감)'!D:D,'CFS(2개월)'!G215,'CF.1_2개월(단순차감)'!AB:AB)</f>
        <v>0</v>
      </c>
      <c r="M215" s="186">
        <f t="shared" si="8"/>
        <v>0</v>
      </c>
      <c r="O215" s="182"/>
      <c r="P215" s="183">
        <f t="shared" si="7"/>
        <v>0</v>
      </c>
      <c r="Q215" s="184"/>
    </row>
    <row r="216" spans="4:17" ht="18" customHeight="1">
      <c r="D216" s="185">
        <v>2020</v>
      </c>
      <c r="E216" s="183">
        <v>12</v>
      </c>
      <c r="F216" s="183" t="s">
        <v>632</v>
      </c>
      <c r="G216" s="183" t="s">
        <v>1141</v>
      </c>
      <c r="H216" s="183" t="s">
        <v>1142</v>
      </c>
      <c r="I216" s="183">
        <v>3</v>
      </c>
      <c r="J216" s="183" t="s">
        <v>473</v>
      </c>
      <c r="K216" s="183">
        <f>SUMIF(CF.1!$D:$D,'CFS(2개월)'!G216,CF.1!$U:$U)</f>
        <v>-609716486</v>
      </c>
      <c r="L216" s="183">
        <f>SUMIF('CF.1_2개월(단순차감)'!D:D,'CFS(2개월)'!G216,'CF.1_2개월(단순차감)'!AB:AB)</f>
        <v>-16210816</v>
      </c>
      <c r="M216" s="186">
        <f t="shared" si="8"/>
        <v>593505670</v>
      </c>
      <c r="O216" s="182"/>
      <c r="P216" s="183">
        <f t="shared" si="7"/>
        <v>16210816</v>
      </c>
      <c r="Q216" s="184"/>
    </row>
    <row r="217" spans="4:17" ht="18" customHeight="1">
      <c r="D217" s="185">
        <v>2020</v>
      </c>
      <c r="E217" s="183">
        <v>12</v>
      </c>
      <c r="F217" s="183" t="s">
        <v>632</v>
      </c>
      <c r="G217" s="183" t="s">
        <v>1143</v>
      </c>
      <c r="H217" s="183" t="s">
        <v>1144</v>
      </c>
      <c r="I217" s="183">
        <v>3</v>
      </c>
      <c r="J217" s="183" t="s">
        <v>473</v>
      </c>
      <c r="K217" s="183">
        <f>SUMIF(CF.1!$D:$D,'CFS(2개월)'!G217,CF.1!$U:$U)</f>
        <v>0</v>
      </c>
      <c r="L217" s="183">
        <f>SUMIF('CF.1_2개월(단순차감)'!D:D,'CFS(2개월)'!G217,'CF.1_2개월(단순차감)'!AB:AB)</f>
        <v>0</v>
      </c>
      <c r="M217" s="186">
        <f t="shared" si="8"/>
        <v>0</v>
      </c>
      <c r="O217" s="182"/>
      <c r="P217" s="183">
        <f t="shared" si="7"/>
        <v>0</v>
      </c>
      <c r="Q217" s="184"/>
    </row>
    <row r="218" spans="4:17" ht="18" customHeight="1">
      <c r="D218" s="185">
        <v>2020</v>
      </c>
      <c r="E218" s="183">
        <v>12</v>
      </c>
      <c r="F218" s="183" t="s">
        <v>632</v>
      </c>
      <c r="G218" s="183" t="s">
        <v>1145</v>
      </c>
      <c r="H218" s="183" t="s">
        <v>1146</v>
      </c>
      <c r="I218" s="183">
        <v>3</v>
      </c>
      <c r="J218" s="183" t="s">
        <v>473</v>
      </c>
      <c r="K218" s="183">
        <f>SUMIF(CF.1!$D:$D,'CFS(2개월)'!G218,CF.1!$U:$U)</f>
        <v>0</v>
      </c>
      <c r="L218" s="183">
        <f>SUMIF('CF.1_2개월(단순차감)'!D:D,'CFS(2개월)'!G218,'CF.1_2개월(단순차감)'!AB:AB)</f>
        <v>0</v>
      </c>
      <c r="M218" s="186">
        <f t="shared" si="8"/>
        <v>0</v>
      </c>
      <c r="O218" s="182"/>
      <c r="P218" s="183">
        <f t="shared" si="7"/>
        <v>0</v>
      </c>
      <c r="Q218" s="184"/>
    </row>
    <row r="219" spans="4:17" ht="18" customHeight="1">
      <c r="D219" s="185">
        <v>2020</v>
      </c>
      <c r="E219" s="183">
        <v>12</v>
      </c>
      <c r="F219" s="183" t="s">
        <v>632</v>
      </c>
      <c r="G219" s="183" t="s">
        <v>1147</v>
      </c>
      <c r="H219" s="183" t="s">
        <v>1148</v>
      </c>
      <c r="I219" s="183">
        <v>3</v>
      </c>
      <c r="J219" s="183" t="s">
        <v>473</v>
      </c>
      <c r="K219" s="183">
        <f>SUMIF(CF.1!$D:$D,'CFS(2개월)'!G219,CF.1!$U:$U)</f>
        <v>0</v>
      </c>
      <c r="L219" s="183">
        <f>SUMIF('CF.1_2개월(단순차감)'!D:D,'CFS(2개월)'!G219,'CF.1_2개월(단순차감)'!AB:AB)</f>
        <v>0</v>
      </c>
      <c r="M219" s="186">
        <f t="shared" si="8"/>
        <v>0</v>
      </c>
      <c r="O219" s="182"/>
      <c r="P219" s="183">
        <f t="shared" si="7"/>
        <v>0</v>
      </c>
      <c r="Q219" s="184"/>
    </row>
    <row r="220" spans="4:17" ht="18" customHeight="1">
      <c r="D220" s="185">
        <v>2020</v>
      </c>
      <c r="E220" s="183">
        <v>12</v>
      </c>
      <c r="F220" s="183" t="s">
        <v>632</v>
      </c>
      <c r="G220" s="183" t="s">
        <v>1515</v>
      </c>
      <c r="H220" s="183" t="s">
        <v>1150</v>
      </c>
      <c r="I220" s="183">
        <v>3</v>
      </c>
      <c r="J220" s="183" t="s">
        <v>473</v>
      </c>
      <c r="K220" s="183">
        <f>SUMIF(CF.1!$D:$D,'CFS(2개월)'!G220,CF.1!$U:$U)</f>
        <v>0</v>
      </c>
      <c r="L220" s="183">
        <f>SUMIF('CF.1_2개월(단순차감)'!D:D,'CFS(2개월)'!G220,'CF.1_2개월(단순차감)'!AB:AB)</f>
        <v>-10000238186</v>
      </c>
      <c r="M220" s="186">
        <f t="shared" si="8"/>
        <v>-10000238186</v>
      </c>
      <c r="O220" s="182"/>
      <c r="P220" s="183">
        <f t="shared" si="7"/>
        <v>10000238186</v>
      </c>
      <c r="Q220" s="184"/>
    </row>
    <row r="221" spans="4:17" ht="18" customHeight="1">
      <c r="D221" s="185">
        <v>2020</v>
      </c>
      <c r="E221" s="183">
        <v>12</v>
      </c>
      <c r="F221" s="183" t="s">
        <v>632</v>
      </c>
      <c r="G221" s="183" t="s">
        <v>1516</v>
      </c>
      <c r="H221" s="183" t="s">
        <v>1517</v>
      </c>
      <c r="I221" s="183">
        <v>3</v>
      </c>
      <c r="J221" s="183" t="s">
        <v>473</v>
      </c>
      <c r="K221" s="183">
        <f>SUMIF(CF.1!$D:$D,'CFS(2개월)'!G221,CF.1!$U:$U)</f>
        <v>0</v>
      </c>
      <c r="L221" s="183">
        <f>SUMIF('CF.1_2개월(단순차감)'!D:D,'CFS(2개월)'!G221,'CF.1_2개월(단순차감)'!AB:AB)</f>
        <v>0</v>
      </c>
      <c r="M221" s="186">
        <f t="shared" si="8"/>
        <v>0</v>
      </c>
      <c r="O221" s="182"/>
      <c r="P221" s="183">
        <f t="shared" si="7"/>
        <v>0</v>
      </c>
      <c r="Q221" s="184"/>
    </row>
    <row r="222" spans="4:17" ht="18" customHeight="1">
      <c r="D222" s="185">
        <v>2020</v>
      </c>
      <c r="E222" s="183">
        <v>12</v>
      </c>
      <c r="F222" s="183" t="s">
        <v>632</v>
      </c>
      <c r="G222" s="183" t="s">
        <v>1151</v>
      </c>
      <c r="H222" s="183" t="s">
        <v>1152</v>
      </c>
      <c r="I222" s="183">
        <v>3</v>
      </c>
      <c r="J222" s="183" t="s">
        <v>473</v>
      </c>
      <c r="K222" s="183">
        <f>SUMIF(CF.1!$D:$D,'CFS(2개월)'!G222,CF.1!$U:$U)</f>
        <v>0</v>
      </c>
      <c r="L222" s="183">
        <f>SUMIF('CF.1_2개월(단순차감)'!D:D,'CFS(2개월)'!G222,'CF.1_2개월(단순차감)'!AB:AB)</f>
        <v>0</v>
      </c>
      <c r="M222" s="186">
        <f t="shared" si="8"/>
        <v>0</v>
      </c>
      <c r="O222" s="182"/>
      <c r="P222" s="183">
        <f t="shared" si="7"/>
        <v>0</v>
      </c>
      <c r="Q222" s="184"/>
    </row>
    <row r="223" spans="4:17" ht="18" customHeight="1">
      <c r="D223" s="185">
        <v>2020</v>
      </c>
      <c r="E223" s="183">
        <v>12</v>
      </c>
      <c r="F223" s="183" t="s">
        <v>632</v>
      </c>
      <c r="G223" s="183" t="s">
        <v>1153</v>
      </c>
      <c r="H223" s="183" t="s">
        <v>1518</v>
      </c>
      <c r="I223" s="183">
        <v>3</v>
      </c>
      <c r="J223" s="183" t="s">
        <v>473</v>
      </c>
      <c r="K223" s="183">
        <f>SUMIF(CF.1!$D:$D,'CFS(2개월)'!G223,CF.1!$U:$U)</f>
        <v>-3011475000</v>
      </c>
      <c r="L223" s="183">
        <f>SUMIF('CF.1_2개월(단순차감)'!D:D,'CFS(2개월)'!G223,'CF.1_2개월(단순차감)'!AB:AB)</f>
        <v>0</v>
      </c>
      <c r="M223" s="186">
        <f t="shared" si="8"/>
        <v>3011475000</v>
      </c>
      <c r="O223" s="182"/>
      <c r="P223" s="183">
        <f t="shared" si="7"/>
        <v>0</v>
      </c>
      <c r="Q223" s="184"/>
    </row>
    <row r="224" spans="4:17" ht="18" customHeight="1">
      <c r="D224" s="185">
        <v>2020</v>
      </c>
      <c r="E224" s="183">
        <v>12</v>
      </c>
      <c r="F224" s="183" t="s">
        <v>632</v>
      </c>
      <c r="G224" s="183" t="s">
        <v>1155</v>
      </c>
      <c r="H224" s="183" t="s">
        <v>1156</v>
      </c>
      <c r="I224" s="183">
        <v>3</v>
      </c>
      <c r="J224" s="183" t="s">
        <v>473</v>
      </c>
      <c r="K224" s="183">
        <f>SUMIF(CF.1!$D:$D,'CFS(2개월)'!G224,CF.1!$U:$U)</f>
        <v>0</v>
      </c>
      <c r="L224" s="183">
        <f>SUMIF('CF.1_2개월(단순차감)'!D:D,'CFS(2개월)'!G224,'CF.1_2개월(단순차감)'!AB:AB)</f>
        <v>0</v>
      </c>
      <c r="M224" s="186">
        <f t="shared" si="8"/>
        <v>0</v>
      </c>
      <c r="O224" s="182"/>
      <c r="P224" s="183">
        <f t="shared" si="7"/>
        <v>0</v>
      </c>
      <c r="Q224" s="184"/>
    </row>
    <row r="225" spans="4:17" ht="18" customHeight="1">
      <c r="D225" s="185">
        <v>2020</v>
      </c>
      <c r="E225" s="183">
        <v>12</v>
      </c>
      <c r="F225" s="183" t="s">
        <v>632</v>
      </c>
      <c r="G225" s="183" t="s">
        <v>1157</v>
      </c>
      <c r="H225" s="183" t="s">
        <v>1158</v>
      </c>
      <c r="I225" s="183">
        <v>3</v>
      </c>
      <c r="J225" s="183" t="s">
        <v>473</v>
      </c>
      <c r="K225" s="183">
        <f>SUMIF(CF.1!$D:$D,'CFS(2개월)'!G225,CF.1!$U:$U)</f>
        <v>0</v>
      </c>
      <c r="L225" s="183">
        <f>SUMIF('CF.1_2개월(단순차감)'!D:D,'CFS(2개월)'!G225,'CF.1_2개월(단순차감)'!AB:AB)</f>
        <v>0</v>
      </c>
      <c r="M225" s="186">
        <f t="shared" si="8"/>
        <v>0</v>
      </c>
      <c r="O225" s="182"/>
      <c r="P225" s="183">
        <f t="shared" si="7"/>
        <v>0</v>
      </c>
      <c r="Q225" s="184"/>
    </row>
    <row r="226" spans="4:17" ht="18" customHeight="1">
      <c r="D226" s="185">
        <v>2020</v>
      </c>
      <c r="E226" s="183">
        <v>12</v>
      </c>
      <c r="F226" s="183" t="s">
        <v>632</v>
      </c>
      <c r="G226" s="183" t="s">
        <v>1159</v>
      </c>
      <c r="H226" s="183" t="s">
        <v>1160</v>
      </c>
      <c r="I226" s="183">
        <v>3</v>
      </c>
      <c r="J226" s="183" t="s">
        <v>473</v>
      </c>
      <c r="K226" s="183">
        <f>SUMIF(CF.1!$D:$D,'CFS(2개월)'!G226,CF.1!$U:$U)</f>
        <v>0</v>
      </c>
      <c r="L226" s="183">
        <f>SUMIF('CF.1_2개월(단순차감)'!D:D,'CFS(2개월)'!G226,'CF.1_2개월(단순차감)'!AB:AB)</f>
        <v>0</v>
      </c>
      <c r="M226" s="186">
        <f t="shared" si="8"/>
        <v>0</v>
      </c>
      <c r="O226" s="182"/>
      <c r="P226" s="183">
        <f t="shared" si="7"/>
        <v>0</v>
      </c>
      <c r="Q226" s="184"/>
    </row>
    <row r="227" spans="4:17" ht="18" customHeight="1">
      <c r="D227" s="185">
        <v>2020</v>
      </c>
      <c r="E227" s="183">
        <v>12</v>
      </c>
      <c r="F227" s="183" t="s">
        <v>632</v>
      </c>
      <c r="G227" s="183" t="s">
        <v>1161</v>
      </c>
      <c r="H227" s="183" t="s">
        <v>1162</v>
      </c>
      <c r="I227" s="183">
        <v>3</v>
      </c>
      <c r="J227" s="183" t="s">
        <v>473</v>
      </c>
      <c r="K227" s="183">
        <f>SUMIF(CF.1!$D:$D,'CFS(2개월)'!G227,CF.1!$U:$U)</f>
        <v>0</v>
      </c>
      <c r="L227" s="183">
        <f>SUMIF('CF.1_2개월(단순차감)'!D:D,'CFS(2개월)'!G227,'CF.1_2개월(단순차감)'!AB:AB)</f>
        <v>0</v>
      </c>
      <c r="M227" s="186">
        <f t="shared" si="8"/>
        <v>0</v>
      </c>
      <c r="O227" s="182"/>
      <c r="P227" s="183">
        <f t="shared" si="7"/>
        <v>0</v>
      </c>
      <c r="Q227" s="184"/>
    </row>
    <row r="228" spans="4:17" ht="18" customHeight="1">
      <c r="D228" s="185">
        <v>2020</v>
      </c>
      <c r="E228" s="183">
        <v>12</v>
      </c>
      <c r="F228" s="183" t="s">
        <v>632</v>
      </c>
      <c r="G228" s="183" t="s">
        <v>1163</v>
      </c>
      <c r="H228" s="183" t="s">
        <v>1164</v>
      </c>
      <c r="I228" s="183">
        <v>3</v>
      </c>
      <c r="J228" s="183" t="s">
        <v>473</v>
      </c>
      <c r="K228" s="183">
        <f>SUMIF(CF.1!$D:$D,'CFS(2개월)'!G228,CF.1!$U:$U)</f>
        <v>0</v>
      </c>
      <c r="L228" s="183">
        <f>SUMIF('CF.1_2개월(단순차감)'!D:D,'CFS(2개월)'!G228,'CF.1_2개월(단순차감)'!AB:AB)</f>
        <v>0</v>
      </c>
      <c r="M228" s="186">
        <f t="shared" si="8"/>
        <v>0</v>
      </c>
      <c r="O228" s="182"/>
      <c r="P228" s="183">
        <f t="shared" si="7"/>
        <v>0</v>
      </c>
      <c r="Q228" s="184"/>
    </row>
    <row r="229" spans="4:17" ht="18" customHeight="1">
      <c r="D229" s="185">
        <v>2020</v>
      </c>
      <c r="E229" s="183">
        <v>12</v>
      </c>
      <c r="F229" s="183" t="s">
        <v>632</v>
      </c>
      <c r="G229" s="183" t="s">
        <v>1165</v>
      </c>
      <c r="H229" s="183" t="s">
        <v>1166</v>
      </c>
      <c r="I229" s="183">
        <v>3</v>
      </c>
      <c r="J229" s="183" t="s">
        <v>473</v>
      </c>
      <c r="K229" s="183">
        <f>SUMIF(CF.1!$D:$D,'CFS(2개월)'!G229,CF.1!$U:$U)</f>
        <v>0</v>
      </c>
      <c r="L229" s="183">
        <f>SUMIF('CF.1_2개월(단순차감)'!D:D,'CFS(2개월)'!G229,'CF.1_2개월(단순차감)'!AB:AB)</f>
        <v>0</v>
      </c>
      <c r="M229" s="186">
        <f t="shared" si="8"/>
        <v>0</v>
      </c>
      <c r="O229" s="182"/>
      <c r="P229" s="183">
        <f t="shared" si="7"/>
        <v>0</v>
      </c>
      <c r="Q229" s="184"/>
    </row>
    <row r="230" spans="4:17" ht="18" customHeight="1">
      <c r="D230" s="185">
        <v>2020</v>
      </c>
      <c r="E230" s="183">
        <v>12</v>
      </c>
      <c r="F230" s="183" t="s">
        <v>632</v>
      </c>
      <c r="G230" s="183" t="s">
        <v>1167</v>
      </c>
      <c r="H230" s="183" t="s">
        <v>1168</v>
      </c>
      <c r="I230" s="183">
        <v>3</v>
      </c>
      <c r="J230" s="183" t="s">
        <v>473</v>
      </c>
      <c r="K230" s="183">
        <f>SUMIF(CF.1!$D:$D,'CFS(2개월)'!G230,CF.1!$U:$U)</f>
        <v>0</v>
      </c>
      <c r="L230" s="183">
        <f>SUMIF('CF.1_2개월(단순차감)'!D:D,'CFS(2개월)'!G230,'CF.1_2개월(단순차감)'!AB:AB)</f>
        <v>0</v>
      </c>
      <c r="M230" s="186">
        <f t="shared" si="8"/>
        <v>0</v>
      </c>
      <c r="O230" s="182"/>
      <c r="P230" s="183">
        <f t="shared" si="7"/>
        <v>0</v>
      </c>
      <c r="Q230" s="184"/>
    </row>
    <row r="231" spans="4:17" ht="18" customHeight="1">
      <c r="D231" s="185">
        <v>2020</v>
      </c>
      <c r="E231" s="183">
        <v>12</v>
      </c>
      <c r="F231" s="183" t="s">
        <v>632</v>
      </c>
      <c r="G231" s="183" t="s">
        <v>1169</v>
      </c>
      <c r="H231" s="183" t="s">
        <v>1170</v>
      </c>
      <c r="I231" s="183">
        <v>3</v>
      </c>
      <c r="J231" s="183" t="s">
        <v>473</v>
      </c>
      <c r="K231" s="183">
        <f>SUMIF(CF.1!$D:$D,'CFS(2개월)'!G231,CF.1!$U:$U)</f>
        <v>0</v>
      </c>
      <c r="L231" s="183">
        <f>SUMIF('CF.1_2개월(단순차감)'!D:D,'CFS(2개월)'!G231,'CF.1_2개월(단순차감)'!AB:AB)</f>
        <v>0</v>
      </c>
      <c r="M231" s="186">
        <f t="shared" si="8"/>
        <v>0</v>
      </c>
      <c r="O231" s="182"/>
      <c r="P231" s="183">
        <f t="shared" si="7"/>
        <v>0</v>
      </c>
      <c r="Q231" s="184"/>
    </row>
    <row r="232" spans="4:17" ht="18" customHeight="1">
      <c r="D232" s="185">
        <v>2020</v>
      </c>
      <c r="E232" s="183">
        <v>12</v>
      </c>
      <c r="F232" s="183" t="s">
        <v>632</v>
      </c>
      <c r="G232" s="183" t="s">
        <v>1171</v>
      </c>
      <c r="H232" s="183" t="s">
        <v>1172</v>
      </c>
      <c r="I232" s="183">
        <v>3</v>
      </c>
      <c r="J232" s="183" t="s">
        <v>473</v>
      </c>
      <c r="K232" s="183">
        <f>SUMIF(CF.1!$D:$D,'CFS(2개월)'!G232,CF.1!$U:$U)</f>
        <v>0</v>
      </c>
      <c r="L232" s="183">
        <f>SUMIF('CF.1_2개월(단순차감)'!D:D,'CFS(2개월)'!G232,'CF.1_2개월(단순차감)'!AB:AB)</f>
        <v>0</v>
      </c>
      <c r="M232" s="186">
        <f t="shared" si="8"/>
        <v>0</v>
      </c>
      <c r="O232" s="182"/>
      <c r="P232" s="183">
        <f t="shared" si="7"/>
        <v>0</v>
      </c>
      <c r="Q232" s="184"/>
    </row>
    <row r="233" spans="4:17" ht="18" customHeight="1">
      <c r="D233" s="185">
        <v>2020</v>
      </c>
      <c r="E233" s="183">
        <v>12</v>
      </c>
      <c r="F233" s="183" t="s">
        <v>632</v>
      </c>
      <c r="G233" s="183" t="s">
        <v>1173</v>
      </c>
      <c r="H233" s="183" t="s">
        <v>1174</v>
      </c>
      <c r="I233" s="183">
        <v>3</v>
      </c>
      <c r="J233" s="183" t="s">
        <v>473</v>
      </c>
      <c r="K233" s="183">
        <f>SUMIF(CF.1!$D:$D,'CFS(2개월)'!G233,CF.1!$U:$U)</f>
        <v>0</v>
      </c>
      <c r="L233" s="183">
        <f>SUMIF('CF.1_2개월(단순차감)'!D:D,'CFS(2개월)'!G233,'CF.1_2개월(단순차감)'!AB:AB)</f>
        <v>0</v>
      </c>
      <c r="M233" s="186">
        <f t="shared" si="8"/>
        <v>0</v>
      </c>
      <c r="O233" s="182"/>
      <c r="P233" s="183">
        <f t="shared" si="7"/>
        <v>0</v>
      </c>
      <c r="Q233" s="184"/>
    </row>
    <row r="234" spans="4:17" ht="18" customHeight="1">
      <c r="D234" s="185">
        <v>2020</v>
      </c>
      <c r="E234" s="183">
        <v>12</v>
      </c>
      <c r="F234" s="183" t="s">
        <v>632</v>
      </c>
      <c r="G234" s="183" t="s">
        <v>1175</v>
      </c>
      <c r="H234" s="183" t="s">
        <v>1176</v>
      </c>
      <c r="I234" s="183">
        <v>3</v>
      </c>
      <c r="J234" s="183" t="s">
        <v>473</v>
      </c>
      <c r="K234" s="183">
        <f>SUMIF(CF.1!$D:$D,'CFS(2개월)'!G234,CF.1!$U:$U)</f>
        <v>0</v>
      </c>
      <c r="L234" s="183">
        <f>SUMIF('CF.1_2개월(단순차감)'!D:D,'CFS(2개월)'!G234,'CF.1_2개월(단순차감)'!AB:AB)</f>
        <v>0</v>
      </c>
      <c r="M234" s="186">
        <f t="shared" si="8"/>
        <v>0</v>
      </c>
      <c r="O234" s="182"/>
      <c r="P234" s="183">
        <f t="shared" si="7"/>
        <v>0</v>
      </c>
      <c r="Q234" s="184"/>
    </row>
    <row r="235" spans="4:17" ht="18" customHeight="1">
      <c r="D235" s="185">
        <v>2020</v>
      </c>
      <c r="E235" s="183">
        <v>12</v>
      </c>
      <c r="F235" s="183" t="s">
        <v>632</v>
      </c>
      <c r="G235" s="183" t="s">
        <v>1177</v>
      </c>
      <c r="H235" s="183" t="s">
        <v>1178</v>
      </c>
      <c r="I235" s="183">
        <v>3</v>
      </c>
      <c r="J235" s="183" t="s">
        <v>473</v>
      </c>
      <c r="K235" s="183">
        <f>SUMIF(CF.1!$D:$D,'CFS(2개월)'!G235,CF.1!$U:$U)</f>
        <v>0</v>
      </c>
      <c r="L235" s="183">
        <f>SUMIF('CF.1_2개월(단순차감)'!D:D,'CFS(2개월)'!G235,'CF.1_2개월(단순차감)'!AB:AB)</f>
        <v>0</v>
      </c>
      <c r="M235" s="186">
        <f t="shared" si="8"/>
        <v>0</v>
      </c>
      <c r="O235" s="182"/>
      <c r="P235" s="183">
        <f t="shared" si="7"/>
        <v>0</v>
      </c>
      <c r="Q235" s="184"/>
    </row>
    <row r="236" spans="4:17" ht="18" customHeight="1">
      <c r="D236" s="185">
        <v>2020</v>
      </c>
      <c r="E236" s="183">
        <v>12</v>
      </c>
      <c r="F236" s="183" t="s">
        <v>632</v>
      </c>
      <c r="G236" s="183" t="s">
        <v>1179</v>
      </c>
      <c r="H236" s="183" t="s">
        <v>1180</v>
      </c>
      <c r="I236" s="183">
        <v>3</v>
      </c>
      <c r="J236" s="183" t="s">
        <v>473</v>
      </c>
      <c r="K236" s="183">
        <f>SUMIF(CF.1!$D:$D,'CFS(2개월)'!G236,CF.1!$U:$U)</f>
        <v>0</v>
      </c>
      <c r="L236" s="183">
        <f>SUMIF('CF.1_2개월(단순차감)'!D:D,'CFS(2개월)'!G236,'CF.1_2개월(단순차감)'!AB:AB)</f>
        <v>0</v>
      </c>
      <c r="M236" s="186">
        <f t="shared" si="8"/>
        <v>0</v>
      </c>
      <c r="O236" s="182"/>
      <c r="P236" s="183">
        <f t="shared" si="7"/>
        <v>0</v>
      </c>
      <c r="Q236" s="184"/>
    </row>
    <row r="237" spans="4:17" ht="18" customHeight="1">
      <c r="D237" s="185">
        <v>2020</v>
      </c>
      <c r="E237" s="183">
        <v>12</v>
      </c>
      <c r="F237" s="183" t="s">
        <v>632</v>
      </c>
      <c r="G237" s="183" t="s">
        <v>1181</v>
      </c>
      <c r="H237" s="183" t="s">
        <v>1182</v>
      </c>
      <c r="I237" s="183">
        <v>3</v>
      </c>
      <c r="J237" s="183" t="s">
        <v>473</v>
      </c>
      <c r="K237" s="183">
        <f>SUMIF(CF.1!$D:$D,'CFS(2개월)'!G237,CF.1!$U:$U)</f>
        <v>0</v>
      </c>
      <c r="L237" s="183">
        <f>SUMIF('CF.1_2개월(단순차감)'!D:D,'CFS(2개월)'!G237,'CF.1_2개월(단순차감)'!AB:AB)</f>
        <v>0</v>
      </c>
      <c r="M237" s="186">
        <f t="shared" si="8"/>
        <v>0</v>
      </c>
      <c r="O237" s="182"/>
      <c r="P237" s="183">
        <f t="shared" si="7"/>
        <v>0</v>
      </c>
      <c r="Q237" s="184"/>
    </row>
    <row r="238" spans="4:17" ht="18" customHeight="1">
      <c r="D238" s="185">
        <v>2020</v>
      </c>
      <c r="E238" s="183">
        <v>12</v>
      </c>
      <c r="F238" s="183" t="s">
        <v>632</v>
      </c>
      <c r="G238" s="183" t="s">
        <v>1183</v>
      </c>
      <c r="H238" s="183" t="s">
        <v>1519</v>
      </c>
      <c r="I238" s="183">
        <v>3</v>
      </c>
      <c r="J238" s="183" t="s">
        <v>473</v>
      </c>
      <c r="K238" s="183">
        <f>SUMIF(CF.1!$D:$D,'CFS(2개월)'!G238,CF.1!$U:$U)</f>
        <v>-545226388</v>
      </c>
      <c r="L238" s="183">
        <f>SUMIF('CF.1_2개월(단순차감)'!D:D,'CFS(2개월)'!G238,'CF.1_2개월(단순차감)'!AB:AB)</f>
        <v>-898256240</v>
      </c>
      <c r="M238" s="186">
        <f t="shared" si="8"/>
        <v>-353029852</v>
      </c>
      <c r="O238" s="182"/>
      <c r="P238" s="183">
        <f t="shared" si="7"/>
        <v>898256240</v>
      </c>
      <c r="Q238" s="184"/>
    </row>
    <row r="239" spans="4:17" ht="18" customHeight="1">
      <c r="D239" s="185">
        <v>2020</v>
      </c>
      <c r="E239" s="183">
        <v>12</v>
      </c>
      <c r="F239" s="183" t="s">
        <v>632</v>
      </c>
      <c r="G239" s="183" t="s">
        <v>1184</v>
      </c>
      <c r="H239" s="183" t="s">
        <v>1185</v>
      </c>
      <c r="I239" s="183">
        <v>3</v>
      </c>
      <c r="J239" s="183" t="s">
        <v>473</v>
      </c>
      <c r="K239" s="183">
        <f>SUMIF(CF.1!$D:$D,'CFS(2개월)'!G239,CF.1!$U:$U)</f>
        <v>0</v>
      </c>
      <c r="L239" s="183">
        <f>SUMIF('CF.1_2개월(단순차감)'!D:D,'CFS(2개월)'!G239,'CF.1_2개월(단순차감)'!AB:AB)</f>
        <v>0</v>
      </c>
      <c r="M239" s="186">
        <f t="shared" si="8"/>
        <v>0</v>
      </c>
      <c r="O239" s="182"/>
      <c r="P239" s="183">
        <f t="shared" si="7"/>
        <v>0</v>
      </c>
      <c r="Q239" s="184"/>
    </row>
    <row r="240" spans="4:17" ht="18" customHeight="1">
      <c r="D240" s="185">
        <v>2020</v>
      </c>
      <c r="E240" s="183">
        <v>12</v>
      </c>
      <c r="F240" s="183" t="s">
        <v>632</v>
      </c>
      <c r="G240" s="183" t="s">
        <v>1186</v>
      </c>
      <c r="H240" s="183" t="s">
        <v>1187</v>
      </c>
      <c r="I240" s="183">
        <v>3</v>
      </c>
      <c r="J240" s="183" t="s">
        <v>473</v>
      </c>
      <c r="K240" s="183">
        <f>SUMIF(CF.1!$D:$D,'CFS(2개월)'!G240,CF.1!$U:$U)</f>
        <v>0</v>
      </c>
      <c r="L240" s="183">
        <f>SUMIF('CF.1_2개월(단순차감)'!D:D,'CFS(2개월)'!G240,'CF.1_2개월(단순차감)'!AB:AB)</f>
        <v>0</v>
      </c>
      <c r="M240" s="186">
        <f t="shared" si="8"/>
        <v>0</v>
      </c>
      <c r="O240" s="182"/>
      <c r="P240" s="183">
        <f t="shared" si="7"/>
        <v>0</v>
      </c>
      <c r="Q240" s="184"/>
    </row>
    <row r="241" spans="4:17" ht="18" customHeight="1">
      <c r="D241" s="185">
        <v>2020</v>
      </c>
      <c r="E241" s="183">
        <v>12</v>
      </c>
      <c r="F241" s="183" t="s">
        <v>632</v>
      </c>
      <c r="G241" s="183" t="s">
        <v>1188</v>
      </c>
      <c r="H241" s="183" t="s">
        <v>1189</v>
      </c>
      <c r="I241" s="183">
        <v>3</v>
      </c>
      <c r="J241" s="183" t="s">
        <v>473</v>
      </c>
      <c r="K241" s="183">
        <f>SUMIF(CF.1!$D:$D,'CFS(2개월)'!G241,CF.1!$U:$U)</f>
        <v>-100069993</v>
      </c>
      <c r="L241" s="183">
        <f>SUMIF('CF.1_2개월(단순차감)'!D:D,'CFS(2개월)'!G241,'CF.1_2개월(단순차감)'!AB:AB)</f>
        <v>-18856780</v>
      </c>
      <c r="M241" s="186">
        <f t="shared" si="8"/>
        <v>81213213</v>
      </c>
      <c r="O241" s="182"/>
      <c r="P241" s="183">
        <f t="shared" si="7"/>
        <v>18856780</v>
      </c>
      <c r="Q241" s="184"/>
    </row>
    <row r="242" spans="4:17" ht="18" customHeight="1">
      <c r="D242" s="185">
        <v>2020</v>
      </c>
      <c r="E242" s="183">
        <v>12</v>
      </c>
      <c r="F242" s="183" t="s">
        <v>632</v>
      </c>
      <c r="G242" s="183" t="s">
        <v>1190</v>
      </c>
      <c r="H242" s="183" t="s">
        <v>1191</v>
      </c>
      <c r="I242" s="183">
        <v>3</v>
      </c>
      <c r="J242" s="183" t="s">
        <v>473</v>
      </c>
      <c r="K242" s="183">
        <f>SUMIF(CF.1!$D:$D,'CFS(2개월)'!G242,CF.1!$U:$U)</f>
        <v>0</v>
      </c>
      <c r="L242" s="183">
        <f>SUMIF('CF.1_2개월(단순차감)'!D:D,'CFS(2개월)'!G242,'CF.1_2개월(단순차감)'!AB:AB)</f>
        <v>0</v>
      </c>
      <c r="M242" s="186">
        <f t="shared" si="8"/>
        <v>0</v>
      </c>
      <c r="O242" s="182"/>
      <c r="P242" s="183">
        <f t="shared" si="7"/>
        <v>0</v>
      </c>
      <c r="Q242" s="184"/>
    </row>
    <row r="243" spans="4:17" ht="18" customHeight="1">
      <c r="D243" s="185">
        <v>2020</v>
      </c>
      <c r="E243" s="183">
        <v>12</v>
      </c>
      <c r="F243" s="183" t="s">
        <v>632</v>
      </c>
      <c r="G243" s="183" t="s">
        <v>1192</v>
      </c>
      <c r="H243" s="183" t="s">
        <v>1193</v>
      </c>
      <c r="I243" s="183">
        <v>3</v>
      </c>
      <c r="J243" s="183" t="s">
        <v>473</v>
      </c>
      <c r="K243" s="183">
        <f>SUMIF(CF.1!$D:$D,'CFS(2개월)'!G243,CF.1!$U:$U)</f>
        <v>-911571524</v>
      </c>
      <c r="L243" s="183">
        <f>SUMIF('CF.1_2개월(단순차감)'!D:D,'CFS(2개월)'!G243,'CF.1_2개월(단순차감)'!AB:AB)</f>
        <v>-18377521</v>
      </c>
      <c r="M243" s="186">
        <f t="shared" si="8"/>
        <v>893194003</v>
      </c>
      <c r="O243" s="182"/>
      <c r="P243" s="183">
        <f t="shared" si="7"/>
        <v>18377521</v>
      </c>
      <c r="Q243" s="184"/>
    </row>
    <row r="244" spans="4:17" ht="18" customHeight="1">
      <c r="D244" s="185">
        <v>2020</v>
      </c>
      <c r="E244" s="183">
        <v>12</v>
      </c>
      <c r="F244" s="183" t="s">
        <v>632</v>
      </c>
      <c r="G244" s="183" t="s">
        <v>1194</v>
      </c>
      <c r="H244" s="183" t="s">
        <v>1195</v>
      </c>
      <c r="I244" s="183">
        <v>3</v>
      </c>
      <c r="J244" s="183" t="s">
        <v>473</v>
      </c>
      <c r="K244" s="183">
        <f>SUMIF(CF.1!$D:$D,'CFS(2개월)'!G244,CF.1!$U:$U)</f>
        <v>0</v>
      </c>
      <c r="L244" s="183">
        <f>SUMIF('CF.1_2개월(단순차감)'!D:D,'CFS(2개월)'!G244,'CF.1_2개월(단순차감)'!AB:AB)</f>
        <v>0</v>
      </c>
      <c r="M244" s="186">
        <f t="shared" si="8"/>
        <v>0</v>
      </c>
      <c r="O244" s="182"/>
      <c r="P244" s="183">
        <f t="shared" si="7"/>
        <v>0</v>
      </c>
      <c r="Q244" s="184"/>
    </row>
    <row r="245" spans="4:17" ht="18" customHeight="1">
      <c r="D245" s="185">
        <v>2020</v>
      </c>
      <c r="E245" s="183">
        <v>12</v>
      </c>
      <c r="F245" s="183" t="s">
        <v>632</v>
      </c>
      <c r="G245" s="183" t="s">
        <v>1196</v>
      </c>
      <c r="H245" s="183" t="s">
        <v>1197</v>
      </c>
      <c r="I245" s="183">
        <v>3</v>
      </c>
      <c r="J245" s="183" t="s">
        <v>473</v>
      </c>
      <c r="K245" s="183">
        <f>SUMIF(CF.1!$D:$D,'CFS(2개월)'!G245,CF.1!$U:$U)</f>
        <v>0</v>
      </c>
      <c r="L245" s="183">
        <f>SUMIF('CF.1_2개월(단순차감)'!D:D,'CFS(2개월)'!G245,'CF.1_2개월(단순차감)'!AB:AB)</f>
        <v>0</v>
      </c>
      <c r="M245" s="186">
        <f t="shared" si="8"/>
        <v>0</v>
      </c>
      <c r="O245" s="182"/>
      <c r="P245" s="183">
        <f t="shared" si="7"/>
        <v>0</v>
      </c>
      <c r="Q245" s="184"/>
    </row>
    <row r="246" spans="4:17" ht="18" customHeight="1">
      <c r="D246" s="185">
        <v>2020</v>
      </c>
      <c r="E246" s="183">
        <v>12</v>
      </c>
      <c r="F246" s="183" t="s">
        <v>632</v>
      </c>
      <c r="G246" s="183" t="s">
        <v>1198</v>
      </c>
      <c r="H246" s="183" t="s">
        <v>1199</v>
      </c>
      <c r="I246" s="183">
        <v>3</v>
      </c>
      <c r="J246" s="183" t="s">
        <v>473</v>
      </c>
      <c r="K246" s="183">
        <f>SUMIF(CF.1!$D:$D,'CFS(2개월)'!G246,CF.1!$U:$U)</f>
        <v>0</v>
      </c>
      <c r="L246" s="183">
        <f>SUMIF('CF.1_2개월(단순차감)'!D:D,'CFS(2개월)'!G246,'CF.1_2개월(단순차감)'!AB:AB)</f>
        <v>0</v>
      </c>
      <c r="M246" s="186">
        <f t="shared" si="8"/>
        <v>0</v>
      </c>
      <c r="O246" s="182"/>
      <c r="P246" s="183">
        <f t="shared" si="7"/>
        <v>0</v>
      </c>
      <c r="Q246" s="184"/>
    </row>
    <row r="247" spans="4:17" ht="18" customHeight="1">
      <c r="D247" s="185">
        <v>2020</v>
      </c>
      <c r="E247" s="183">
        <v>12</v>
      </c>
      <c r="F247" s="183" t="s">
        <v>632</v>
      </c>
      <c r="G247" s="183" t="s">
        <v>1200</v>
      </c>
      <c r="H247" s="183" t="s">
        <v>1201</v>
      </c>
      <c r="I247" s="183">
        <v>3</v>
      </c>
      <c r="J247" s="183" t="s">
        <v>473</v>
      </c>
      <c r="K247" s="183">
        <f>SUMIF(CF.1!$D:$D,'CFS(2개월)'!G247,CF.1!$U:$U)</f>
        <v>-13893621</v>
      </c>
      <c r="L247" s="183">
        <f>SUMIF('CF.1_2개월(단순차감)'!D:D,'CFS(2개월)'!G247,'CF.1_2개월(단순차감)'!AB:AB)</f>
        <v>-13499512</v>
      </c>
      <c r="M247" s="186">
        <f t="shared" si="8"/>
        <v>394109</v>
      </c>
      <c r="O247" s="182"/>
      <c r="P247" s="183">
        <f t="shared" si="7"/>
        <v>13499512</v>
      </c>
      <c r="Q247" s="184"/>
    </row>
    <row r="248" spans="4:17" ht="18" customHeight="1">
      <c r="D248" s="185">
        <v>2020</v>
      </c>
      <c r="E248" s="183">
        <v>12</v>
      </c>
      <c r="F248" s="183" t="s">
        <v>632</v>
      </c>
      <c r="G248" s="183" t="s">
        <v>1202</v>
      </c>
      <c r="H248" s="183" t="s">
        <v>1203</v>
      </c>
      <c r="I248" s="183">
        <v>3</v>
      </c>
      <c r="J248" s="183" t="s">
        <v>473</v>
      </c>
      <c r="K248" s="183">
        <f>SUMIF(CF.1!$D:$D,'CFS(2개월)'!G248,CF.1!$U:$U)</f>
        <v>0</v>
      </c>
      <c r="L248" s="183">
        <f>SUMIF('CF.1_2개월(단순차감)'!D:D,'CFS(2개월)'!G248,'CF.1_2개월(단순차감)'!AB:AB)</f>
        <v>0</v>
      </c>
      <c r="M248" s="186">
        <f t="shared" si="8"/>
        <v>0</v>
      </c>
      <c r="O248" s="182"/>
      <c r="P248" s="183">
        <f t="shared" si="7"/>
        <v>0</v>
      </c>
      <c r="Q248" s="184"/>
    </row>
    <row r="249" spans="4:17" ht="18" customHeight="1">
      <c r="D249" s="185">
        <v>2020</v>
      </c>
      <c r="E249" s="183">
        <v>12</v>
      </c>
      <c r="F249" s="183" t="s">
        <v>632</v>
      </c>
      <c r="G249" s="183" t="s">
        <v>1204</v>
      </c>
      <c r="H249" s="183" t="s">
        <v>1205</v>
      </c>
      <c r="I249" s="183">
        <v>3</v>
      </c>
      <c r="J249" s="183" t="s">
        <v>473</v>
      </c>
      <c r="K249" s="183">
        <f>SUMIF(CF.1!$D:$D,'CFS(2개월)'!G249,CF.1!$U:$U)</f>
        <v>0</v>
      </c>
      <c r="L249" s="183">
        <f>SUMIF('CF.1_2개월(단순차감)'!D:D,'CFS(2개월)'!G249,'CF.1_2개월(단순차감)'!AB:AB)</f>
        <v>0</v>
      </c>
      <c r="M249" s="186">
        <f t="shared" si="8"/>
        <v>0</v>
      </c>
      <c r="O249" s="182"/>
      <c r="P249" s="183">
        <f t="shared" si="7"/>
        <v>0</v>
      </c>
      <c r="Q249" s="184"/>
    </row>
    <row r="250" spans="4:17" ht="18" customHeight="1">
      <c r="D250" s="185">
        <v>2020</v>
      </c>
      <c r="E250" s="183">
        <v>12</v>
      </c>
      <c r="F250" s="183" t="s">
        <v>632</v>
      </c>
      <c r="G250" s="183" t="s">
        <v>1206</v>
      </c>
      <c r="H250" s="183" t="s">
        <v>1207</v>
      </c>
      <c r="I250" s="183">
        <v>3</v>
      </c>
      <c r="J250" s="183" t="s">
        <v>473</v>
      </c>
      <c r="K250" s="183">
        <f>SUMIF(CF.1!$D:$D,'CFS(2개월)'!G250,CF.1!$U:$U)</f>
        <v>0</v>
      </c>
      <c r="L250" s="183">
        <f>SUMIF('CF.1_2개월(단순차감)'!D:D,'CFS(2개월)'!G250,'CF.1_2개월(단순차감)'!AB:AB)</f>
        <v>0</v>
      </c>
      <c r="M250" s="186">
        <f t="shared" si="8"/>
        <v>0</v>
      </c>
      <c r="O250" s="182"/>
      <c r="P250" s="183">
        <f t="shared" si="7"/>
        <v>0</v>
      </c>
      <c r="Q250" s="184"/>
    </row>
    <row r="251" spans="4:17" ht="18" customHeight="1">
      <c r="D251" s="185">
        <v>2020</v>
      </c>
      <c r="E251" s="183">
        <v>12</v>
      </c>
      <c r="F251" s="183" t="s">
        <v>632</v>
      </c>
      <c r="G251" s="183" t="s">
        <v>1208</v>
      </c>
      <c r="H251" s="183" t="s">
        <v>1209</v>
      </c>
      <c r="I251" s="183">
        <v>3</v>
      </c>
      <c r="J251" s="183" t="s">
        <v>473</v>
      </c>
      <c r="K251" s="183">
        <f>SUMIF(CF.1!$D:$D,'CFS(2개월)'!G251,CF.1!$U:$U)</f>
        <v>-1332219515</v>
      </c>
      <c r="L251" s="183">
        <f>SUMIF('CF.1_2개월(단순차감)'!D:D,'CFS(2개월)'!G251,'CF.1_2개월(단순차감)'!AB:AB)</f>
        <v>-219110515</v>
      </c>
      <c r="M251" s="186">
        <f t="shared" si="8"/>
        <v>1113109000</v>
      </c>
      <c r="O251" s="182"/>
      <c r="P251" s="183">
        <f t="shared" si="7"/>
        <v>219110515</v>
      </c>
      <c r="Q251" s="184"/>
    </row>
    <row r="252" spans="4:17" ht="18" customHeight="1">
      <c r="D252" s="185">
        <v>2020</v>
      </c>
      <c r="E252" s="183">
        <v>12</v>
      </c>
      <c r="F252" s="183" t="s">
        <v>632</v>
      </c>
      <c r="G252" s="183" t="s">
        <v>1210</v>
      </c>
      <c r="H252" s="183" t="s">
        <v>1211</v>
      </c>
      <c r="I252" s="183">
        <v>3</v>
      </c>
      <c r="J252" s="183" t="s">
        <v>473</v>
      </c>
      <c r="K252" s="183">
        <f>SUMIF(CF.1!$D:$D,'CFS(2개월)'!G252,CF.1!$U:$U)</f>
        <v>0</v>
      </c>
      <c r="L252" s="183">
        <f>SUMIF('CF.1_2개월(단순차감)'!D:D,'CFS(2개월)'!G252,'CF.1_2개월(단순차감)'!AB:AB)</f>
        <v>0</v>
      </c>
      <c r="M252" s="186">
        <f t="shared" si="8"/>
        <v>0</v>
      </c>
      <c r="O252" s="182"/>
      <c r="P252" s="183">
        <f t="shared" si="7"/>
        <v>0</v>
      </c>
      <c r="Q252" s="184"/>
    </row>
    <row r="253" spans="4:17" ht="18" customHeight="1">
      <c r="D253" s="185">
        <v>2020</v>
      </c>
      <c r="E253" s="183">
        <v>12</v>
      </c>
      <c r="F253" s="183" t="s">
        <v>632</v>
      </c>
      <c r="G253" s="183" t="s">
        <v>1212</v>
      </c>
      <c r="H253" s="183" t="s">
        <v>1213</v>
      </c>
      <c r="I253" s="183">
        <v>3</v>
      </c>
      <c r="J253" s="183" t="s">
        <v>473</v>
      </c>
      <c r="K253" s="183">
        <f>SUMIF(CF.1!$D:$D,'CFS(2개월)'!G253,CF.1!$U:$U)</f>
        <v>0</v>
      </c>
      <c r="L253" s="183">
        <f>SUMIF('CF.1_2개월(단순차감)'!D:D,'CFS(2개월)'!G253,'CF.1_2개월(단순차감)'!AB:AB)</f>
        <v>0</v>
      </c>
      <c r="M253" s="186">
        <f t="shared" si="8"/>
        <v>0</v>
      </c>
      <c r="O253" s="182"/>
      <c r="P253" s="183">
        <f t="shared" si="7"/>
        <v>0</v>
      </c>
      <c r="Q253" s="184"/>
    </row>
    <row r="254" spans="4:17" ht="18" customHeight="1">
      <c r="D254" s="185">
        <v>2020</v>
      </c>
      <c r="E254" s="183">
        <v>12</v>
      </c>
      <c r="F254" s="183" t="s">
        <v>632</v>
      </c>
      <c r="G254" s="183" t="s">
        <v>1214</v>
      </c>
      <c r="H254" s="183" t="s">
        <v>1520</v>
      </c>
      <c r="I254" s="183">
        <v>3</v>
      </c>
      <c r="J254" s="183" t="s">
        <v>473</v>
      </c>
      <c r="K254" s="183">
        <f>SUMIF(CF.1!$D:$D,'CFS(2개월)'!G254,CF.1!$U:$U)</f>
        <v>0</v>
      </c>
      <c r="L254" s="183">
        <f>SUMIF('CF.1_2개월(단순차감)'!D:D,'CFS(2개월)'!G254,'CF.1_2개월(단순차감)'!AB:AB)</f>
        <v>0</v>
      </c>
      <c r="M254" s="186">
        <f t="shared" si="8"/>
        <v>0</v>
      </c>
      <c r="O254" s="182"/>
      <c r="P254" s="183">
        <f t="shared" si="7"/>
        <v>0</v>
      </c>
      <c r="Q254" s="184"/>
    </row>
    <row r="255" spans="4:17" ht="18" customHeight="1">
      <c r="D255" s="185">
        <v>2020</v>
      </c>
      <c r="E255" s="183">
        <v>12</v>
      </c>
      <c r="F255" s="183" t="s">
        <v>632</v>
      </c>
      <c r="G255" s="183" t="s">
        <v>1216</v>
      </c>
      <c r="H255" s="183" t="s">
        <v>1217</v>
      </c>
      <c r="I255" s="183">
        <v>3</v>
      </c>
      <c r="J255" s="183" t="s">
        <v>473</v>
      </c>
      <c r="K255" s="183">
        <f>SUMIF(CF.1!$D:$D,'CFS(2개월)'!G255,CF.1!$U:$U)</f>
        <v>0</v>
      </c>
      <c r="L255" s="183">
        <f>SUMIF('CF.1_2개월(단순차감)'!D:D,'CFS(2개월)'!G255,'CF.1_2개월(단순차감)'!AB:AB)</f>
        <v>0</v>
      </c>
      <c r="M255" s="186">
        <f t="shared" si="8"/>
        <v>0</v>
      </c>
      <c r="O255" s="182"/>
      <c r="P255" s="183">
        <f t="shared" si="7"/>
        <v>0</v>
      </c>
      <c r="Q255" s="184"/>
    </row>
    <row r="256" spans="4:17" ht="18" customHeight="1">
      <c r="D256" s="185">
        <v>2020</v>
      </c>
      <c r="E256" s="183">
        <v>12</v>
      </c>
      <c r="F256" s="183" t="s">
        <v>632</v>
      </c>
      <c r="G256" s="183" t="s">
        <v>1218</v>
      </c>
      <c r="H256" s="183" t="s">
        <v>1219</v>
      </c>
      <c r="I256" s="183">
        <v>3</v>
      </c>
      <c r="J256" s="183" t="s">
        <v>473</v>
      </c>
      <c r="K256" s="183">
        <f>SUMIF(CF.1!$D:$D,'CFS(2개월)'!G256,CF.1!$U:$U)</f>
        <v>0</v>
      </c>
      <c r="L256" s="183">
        <f>SUMIF('CF.1_2개월(단순차감)'!D:D,'CFS(2개월)'!G256,'CF.1_2개월(단순차감)'!AB:AB)</f>
        <v>0</v>
      </c>
      <c r="M256" s="186">
        <f t="shared" si="8"/>
        <v>0</v>
      </c>
      <c r="O256" s="182"/>
      <c r="P256" s="183">
        <f t="shared" si="7"/>
        <v>0</v>
      </c>
      <c r="Q256" s="184"/>
    </row>
    <row r="257" spans="4:17" ht="18" customHeight="1">
      <c r="D257" s="185">
        <v>2020</v>
      </c>
      <c r="E257" s="183">
        <v>12</v>
      </c>
      <c r="F257" s="183" t="s">
        <v>632</v>
      </c>
      <c r="G257" s="183" t="s">
        <v>1220</v>
      </c>
      <c r="H257" s="183" t="s">
        <v>1221</v>
      </c>
      <c r="I257" s="183">
        <v>3</v>
      </c>
      <c r="J257" s="183" t="s">
        <v>473</v>
      </c>
      <c r="K257" s="183">
        <f>SUMIF(CF.1!$D:$D,'CFS(2개월)'!G257,CF.1!$U:$U)</f>
        <v>0</v>
      </c>
      <c r="L257" s="183">
        <f>SUMIF('CF.1_2개월(단순차감)'!D:D,'CFS(2개월)'!G257,'CF.1_2개월(단순차감)'!AB:AB)</f>
        <v>0</v>
      </c>
      <c r="M257" s="186">
        <f t="shared" si="8"/>
        <v>0</v>
      </c>
      <c r="O257" s="182"/>
      <c r="P257" s="183">
        <f t="shared" si="7"/>
        <v>0</v>
      </c>
      <c r="Q257" s="184"/>
    </row>
    <row r="258" spans="4:17" ht="18" customHeight="1">
      <c r="D258" s="185">
        <v>2020</v>
      </c>
      <c r="E258" s="183">
        <v>12</v>
      </c>
      <c r="F258" s="183" t="s">
        <v>632</v>
      </c>
      <c r="G258" s="183" t="s">
        <v>1222</v>
      </c>
      <c r="H258" s="183" t="s">
        <v>1223</v>
      </c>
      <c r="I258" s="183">
        <v>3</v>
      </c>
      <c r="J258" s="183" t="s">
        <v>473</v>
      </c>
      <c r="K258" s="183">
        <f>SUMIF(CF.1!$D:$D,'CFS(2개월)'!G258,CF.1!$U:$U)</f>
        <v>0</v>
      </c>
      <c r="L258" s="183">
        <f>SUMIF('CF.1_2개월(단순차감)'!D:D,'CFS(2개월)'!G258,'CF.1_2개월(단순차감)'!AB:AB)</f>
        <v>0</v>
      </c>
      <c r="M258" s="186">
        <f t="shared" si="8"/>
        <v>0</v>
      </c>
      <c r="O258" s="182"/>
      <c r="P258" s="183">
        <f t="shared" si="7"/>
        <v>0</v>
      </c>
      <c r="Q258" s="184"/>
    </row>
    <row r="259" spans="4:17" ht="18" customHeight="1">
      <c r="D259" s="185">
        <v>2020</v>
      </c>
      <c r="E259" s="183">
        <v>12</v>
      </c>
      <c r="F259" s="183" t="s">
        <v>632</v>
      </c>
      <c r="G259" s="183" t="s">
        <v>1232</v>
      </c>
      <c r="H259" s="183" t="s">
        <v>1233</v>
      </c>
      <c r="I259" s="183">
        <v>3</v>
      </c>
      <c r="J259" s="183" t="s">
        <v>473</v>
      </c>
      <c r="K259" s="183">
        <f>SUMIF(CF.1!$D:$D,'CFS(2개월)'!G259,CF.1!$U:$U)</f>
        <v>0</v>
      </c>
      <c r="L259" s="183">
        <f>SUMIF('CF.1_2개월(단순차감)'!D:D,'CFS(2개월)'!G259,'CF.1_2개월(단순차감)'!AB:AB)</f>
        <v>0</v>
      </c>
      <c r="M259" s="186">
        <f t="shared" si="8"/>
        <v>0</v>
      </c>
      <c r="O259" s="182"/>
      <c r="P259" s="183">
        <f t="shared" si="7"/>
        <v>0</v>
      </c>
      <c r="Q259" s="184"/>
    </row>
    <row r="260" spans="4:17" ht="18" customHeight="1">
      <c r="D260" s="179">
        <v>2020</v>
      </c>
      <c r="E260" s="180">
        <v>12</v>
      </c>
      <c r="F260" s="180" t="s">
        <v>632</v>
      </c>
      <c r="G260" s="180" t="s">
        <v>1234</v>
      </c>
      <c r="H260" s="180" t="s">
        <v>1235</v>
      </c>
      <c r="I260" s="180">
        <v>1</v>
      </c>
      <c r="J260" s="180" t="s">
        <v>473</v>
      </c>
      <c r="K260" s="180">
        <f>K261+K282</f>
        <v>-2079841945</v>
      </c>
      <c r="L260" s="180">
        <f>L261+L282</f>
        <v>-314196560</v>
      </c>
      <c r="M260" s="181">
        <f>M261+M282</f>
        <v>1765645385</v>
      </c>
      <c r="O260" s="182"/>
      <c r="P260" s="183">
        <f t="shared" si="7"/>
        <v>314196560</v>
      </c>
      <c r="Q260" s="184"/>
    </row>
    <row r="261" spans="4:17" ht="18" customHeight="1">
      <c r="D261" s="179">
        <v>2020</v>
      </c>
      <c r="E261" s="180">
        <v>12</v>
      </c>
      <c r="F261" s="180" t="s">
        <v>632</v>
      </c>
      <c r="G261" s="180" t="s">
        <v>1236</v>
      </c>
      <c r="H261" s="180" t="s">
        <v>1237</v>
      </c>
      <c r="I261" s="180">
        <v>2</v>
      </c>
      <c r="J261" s="180" t="s">
        <v>473</v>
      </c>
      <c r="K261" s="180">
        <f>SUM(K262:K281)</f>
        <v>2468977</v>
      </c>
      <c r="L261" s="180">
        <f>SUM(L262:L281)</f>
        <v>0</v>
      </c>
      <c r="M261" s="181">
        <f>SUM(M262:M281)</f>
        <v>-2468977</v>
      </c>
      <c r="O261" s="182"/>
      <c r="P261" s="183">
        <f t="shared" si="7"/>
        <v>0</v>
      </c>
      <c r="Q261" s="184"/>
    </row>
    <row r="262" spans="4:17" ht="18" customHeight="1">
      <c r="D262" s="185">
        <v>2020</v>
      </c>
      <c r="E262" s="183">
        <v>12</v>
      </c>
      <c r="F262" s="183" t="s">
        <v>632</v>
      </c>
      <c r="G262" s="183" t="s">
        <v>1238</v>
      </c>
      <c r="H262" s="183" t="s">
        <v>1239</v>
      </c>
      <c r="I262" s="183">
        <v>3</v>
      </c>
      <c r="J262" s="183" t="s">
        <v>473</v>
      </c>
      <c r="K262" s="183">
        <f>SUMIF(CF.1!$D:$D,'CFS(2개월)'!G262,CF.1!$U:$U)</f>
        <v>0</v>
      </c>
      <c r="L262" s="183">
        <f>SUMIF('CF.1_2개월(단순차감)'!D:D,'CFS(2개월)'!G262,'CF.1_2개월(단순차감)'!AB:AB)</f>
        <v>0</v>
      </c>
      <c r="M262" s="186">
        <f t="shared" ref="M262:M281" si="9">L262-K262</f>
        <v>0</v>
      </c>
      <c r="O262" s="182"/>
      <c r="P262" s="183">
        <f t="shared" si="7"/>
        <v>0</v>
      </c>
      <c r="Q262" s="184"/>
    </row>
    <row r="263" spans="4:17" ht="18" customHeight="1">
      <c r="D263" s="185">
        <v>2020</v>
      </c>
      <c r="E263" s="183">
        <v>12</v>
      </c>
      <c r="F263" s="183" t="s">
        <v>632</v>
      </c>
      <c r="G263" s="183" t="s">
        <v>1240</v>
      </c>
      <c r="H263" s="183" t="s">
        <v>1241</v>
      </c>
      <c r="I263" s="183">
        <v>3</v>
      </c>
      <c r="J263" s="183" t="s">
        <v>473</v>
      </c>
      <c r="K263" s="183">
        <f>SUMIF(CF.1!$D:$D,'CFS(2개월)'!G263,CF.1!$U:$U)</f>
        <v>0</v>
      </c>
      <c r="L263" s="183">
        <f>SUMIF('CF.1_2개월(단순차감)'!D:D,'CFS(2개월)'!G263,'CF.1_2개월(단순차감)'!AB:AB)</f>
        <v>0</v>
      </c>
      <c r="M263" s="186">
        <f t="shared" si="9"/>
        <v>0</v>
      </c>
      <c r="O263" s="182"/>
      <c r="P263" s="183">
        <f t="shared" si="7"/>
        <v>0</v>
      </c>
      <c r="Q263" s="184"/>
    </row>
    <row r="264" spans="4:17" ht="18" customHeight="1">
      <c r="D264" s="185">
        <v>2020</v>
      </c>
      <c r="E264" s="183">
        <v>12</v>
      </c>
      <c r="F264" s="183" t="s">
        <v>632</v>
      </c>
      <c r="G264" s="183" t="s">
        <v>1242</v>
      </c>
      <c r="H264" s="183" t="s">
        <v>1243</v>
      </c>
      <c r="I264" s="183">
        <v>3</v>
      </c>
      <c r="J264" s="183" t="s">
        <v>473</v>
      </c>
      <c r="K264" s="183">
        <f>SUMIF(CF.1!$D:$D,'CFS(2개월)'!G264,CF.1!$U:$U)</f>
        <v>0</v>
      </c>
      <c r="L264" s="183">
        <f>SUMIF('CF.1_2개월(단순차감)'!D:D,'CFS(2개월)'!G264,'CF.1_2개월(단순차감)'!AB:AB)</f>
        <v>0</v>
      </c>
      <c r="M264" s="186">
        <f t="shared" si="9"/>
        <v>0</v>
      </c>
      <c r="O264" s="182"/>
      <c r="P264" s="183">
        <f t="shared" si="7"/>
        <v>0</v>
      </c>
      <c r="Q264" s="184"/>
    </row>
    <row r="265" spans="4:17" ht="18" customHeight="1">
      <c r="D265" s="185">
        <v>2020</v>
      </c>
      <c r="E265" s="183">
        <v>12</v>
      </c>
      <c r="F265" s="183" t="s">
        <v>632</v>
      </c>
      <c r="G265" s="183" t="s">
        <v>1244</v>
      </c>
      <c r="H265" s="183" t="s">
        <v>1245</v>
      </c>
      <c r="I265" s="183">
        <v>3</v>
      </c>
      <c r="J265" s="183" t="s">
        <v>473</v>
      </c>
      <c r="K265" s="183">
        <f>SUMIF(CF.1!$D:$D,'CFS(2개월)'!G265,CF.1!$U:$U)</f>
        <v>0</v>
      </c>
      <c r="L265" s="183">
        <f>SUMIF('CF.1_2개월(단순차감)'!D:D,'CFS(2개월)'!G265,'CF.1_2개월(단순차감)'!AB:AB)</f>
        <v>0</v>
      </c>
      <c r="M265" s="186">
        <f t="shared" si="9"/>
        <v>0</v>
      </c>
      <c r="O265" s="182"/>
      <c r="P265" s="183">
        <f t="shared" ref="P265:P316" si="10">O265-L265</f>
        <v>0</v>
      </c>
      <c r="Q265" s="184"/>
    </row>
    <row r="266" spans="4:17" ht="18" customHeight="1">
      <c r="D266" s="185">
        <v>2020</v>
      </c>
      <c r="E266" s="183">
        <v>12</v>
      </c>
      <c r="F266" s="183" t="s">
        <v>632</v>
      </c>
      <c r="G266" s="183" t="s">
        <v>1246</v>
      </c>
      <c r="H266" s="183" t="s">
        <v>1247</v>
      </c>
      <c r="I266" s="183">
        <v>3</v>
      </c>
      <c r="J266" s="183" t="s">
        <v>473</v>
      </c>
      <c r="K266" s="183">
        <f>SUMIF(CF.1!$D:$D,'CFS(2개월)'!G266,CF.1!$U:$U)</f>
        <v>0</v>
      </c>
      <c r="L266" s="183">
        <f>SUMIF('CF.1_2개월(단순차감)'!D:D,'CFS(2개월)'!G266,'CF.1_2개월(단순차감)'!AB:AB)</f>
        <v>0</v>
      </c>
      <c r="M266" s="186">
        <f t="shared" si="9"/>
        <v>0</v>
      </c>
      <c r="O266" s="182"/>
      <c r="P266" s="183">
        <f t="shared" si="10"/>
        <v>0</v>
      </c>
      <c r="Q266" s="184"/>
    </row>
    <row r="267" spans="4:17" ht="18" customHeight="1">
      <c r="D267" s="185">
        <v>2020</v>
      </c>
      <c r="E267" s="183">
        <v>12</v>
      </c>
      <c r="F267" s="183" t="s">
        <v>632</v>
      </c>
      <c r="G267" s="183" t="s">
        <v>1248</v>
      </c>
      <c r="H267" s="183" t="s">
        <v>1249</v>
      </c>
      <c r="I267" s="183">
        <v>3</v>
      </c>
      <c r="J267" s="183" t="s">
        <v>473</v>
      </c>
      <c r="K267" s="183">
        <f>SUMIF(CF.1!$D:$D,'CFS(2개월)'!G267,CF.1!$U:$U)</f>
        <v>0</v>
      </c>
      <c r="L267" s="183">
        <f>SUMIF('CF.1_2개월(단순차감)'!D:D,'CFS(2개월)'!G267,'CF.1_2개월(단순차감)'!AB:AB)</f>
        <v>0</v>
      </c>
      <c r="M267" s="186">
        <f t="shared" si="9"/>
        <v>0</v>
      </c>
      <c r="O267" s="182"/>
      <c r="P267" s="183">
        <f t="shared" si="10"/>
        <v>0</v>
      </c>
      <c r="Q267" s="184"/>
    </row>
    <row r="268" spans="4:17" ht="18" customHeight="1">
      <c r="D268" s="185">
        <v>2020</v>
      </c>
      <c r="E268" s="183">
        <v>12</v>
      </c>
      <c r="F268" s="183" t="s">
        <v>632</v>
      </c>
      <c r="G268" s="183" t="s">
        <v>1250</v>
      </c>
      <c r="H268" s="183" t="s">
        <v>1251</v>
      </c>
      <c r="I268" s="183">
        <v>3</v>
      </c>
      <c r="J268" s="183" t="s">
        <v>473</v>
      </c>
      <c r="K268" s="183">
        <f>SUMIF(CF.1!$D:$D,'CFS(2개월)'!G268,CF.1!$U:$U)</f>
        <v>0</v>
      </c>
      <c r="L268" s="183">
        <f>SUMIF('CF.1_2개월(단순차감)'!D:D,'CFS(2개월)'!G268,'CF.1_2개월(단순차감)'!AB:AB)</f>
        <v>0</v>
      </c>
      <c r="M268" s="186">
        <f t="shared" si="9"/>
        <v>0</v>
      </c>
      <c r="O268" s="182"/>
      <c r="P268" s="183">
        <f t="shared" si="10"/>
        <v>0</v>
      </c>
      <c r="Q268" s="184"/>
    </row>
    <row r="269" spans="4:17" ht="18" customHeight="1">
      <c r="D269" s="185">
        <v>2020</v>
      </c>
      <c r="E269" s="183">
        <v>12</v>
      </c>
      <c r="F269" s="183" t="s">
        <v>632</v>
      </c>
      <c r="G269" s="183" t="s">
        <v>1252</v>
      </c>
      <c r="H269" s="183" t="s">
        <v>1253</v>
      </c>
      <c r="I269" s="183">
        <v>3</v>
      </c>
      <c r="J269" s="183" t="s">
        <v>473</v>
      </c>
      <c r="K269" s="183">
        <f>SUMIF(CF.1!$D:$D,'CFS(2개월)'!G269,CF.1!$U:$U)</f>
        <v>0</v>
      </c>
      <c r="L269" s="183">
        <f>SUMIF('CF.1_2개월(단순차감)'!D:D,'CFS(2개월)'!G269,'CF.1_2개월(단순차감)'!AB:AB)</f>
        <v>0</v>
      </c>
      <c r="M269" s="186">
        <f t="shared" si="9"/>
        <v>0</v>
      </c>
      <c r="O269" s="182"/>
      <c r="P269" s="183">
        <f t="shared" si="10"/>
        <v>0</v>
      </c>
      <c r="Q269" s="184"/>
    </row>
    <row r="270" spans="4:17" ht="18" customHeight="1">
      <c r="D270" s="185">
        <v>2020</v>
      </c>
      <c r="E270" s="183">
        <v>12</v>
      </c>
      <c r="F270" s="183" t="s">
        <v>632</v>
      </c>
      <c r="G270" s="183" t="s">
        <v>1254</v>
      </c>
      <c r="H270" s="183" t="s">
        <v>1255</v>
      </c>
      <c r="I270" s="183">
        <v>3</v>
      </c>
      <c r="J270" s="183" t="s">
        <v>473</v>
      </c>
      <c r="K270" s="183">
        <f>SUMIF(CF.1!$D:$D,'CFS(2개월)'!G270,CF.1!$U:$U)</f>
        <v>0</v>
      </c>
      <c r="L270" s="183">
        <f>SUMIF('CF.1_2개월(단순차감)'!D:D,'CFS(2개월)'!G270,'CF.1_2개월(단순차감)'!AB:AB)</f>
        <v>0</v>
      </c>
      <c r="M270" s="186">
        <f t="shared" si="9"/>
        <v>0</v>
      </c>
      <c r="O270" s="182"/>
      <c r="P270" s="183">
        <f t="shared" si="10"/>
        <v>0</v>
      </c>
      <c r="Q270" s="184"/>
    </row>
    <row r="271" spans="4:17" ht="18" customHeight="1">
      <c r="D271" s="185">
        <v>2020</v>
      </c>
      <c r="E271" s="183">
        <v>12</v>
      </c>
      <c r="F271" s="183" t="s">
        <v>632</v>
      </c>
      <c r="G271" s="183" t="s">
        <v>1256</v>
      </c>
      <c r="H271" s="183" t="s">
        <v>1031</v>
      </c>
      <c r="I271" s="183">
        <v>3</v>
      </c>
      <c r="J271" s="183" t="s">
        <v>473</v>
      </c>
      <c r="K271" s="183">
        <f>SUMIF(CF.1!$D:$D,'CFS(2개월)'!G271,CF.1!$U:$U)</f>
        <v>0</v>
      </c>
      <c r="L271" s="183">
        <f>SUMIF('CF.1_2개월(단순차감)'!D:D,'CFS(2개월)'!G271,'CF.1_2개월(단순차감)'!AB:AB)</f>
        <v>0</v>
      </c>
      <c r="M271" s="186">
        <f t="shared" si="9"/>
        <v>0</v>
      </c>
      <c r="O271" s="182"/>
      <c r="P271" s="183">
        <f t="shared" si="10"/>
        <v>0</v>
      </c>
      <c r="Q271" s="184"/>
    </row>
    <row r="272" spans="4:17" ht="18" customHeight="1">
      <c r="D272" s="185">
        <v>2020</v>
      </c>
      <c r="E272" s="183">
        <v>12</v>
      </c>
      <c r="F272" s="183" t="s">
        <v>632</v>
      </c>
      <c r="G272" s="183" t="s">
        <v>1257</v>
      </c>
      <c r="H272" s="183" t="s">
        <v>1033</v>
      </c>
      <c r="I272" s="183">
        <v>3</v>
      </c>
      <c r="J272" s="183" t="s">
        <v>473</v>
      </c>
      <c r="K272" s="183">
        <f>SUMIF(CF.1!$D:$D,'CFS(2개월)'!G272,CF.1!$U:$U)</f>
        <v>0</v>
      </c>
      <c r="L272" s="183">
        <f>SUMIF('CF.1_2개월(단순차감)'!D:D,'CFS(2개월)'!G272,'CF.1_2개월(단순차감)'!AB:AB)</f>
        <v>0</v>
      </c>
      <c r="M272" s="186">
        <f t="shared" si="9"/>
        <v>0</v>
      </c>
      <c r="O272" s="182"/>
      <c r="P272" s="183">
        <f t="shared" si="10"/>
        <v>0</v>
      </c>
      <c r="Q272" s="184"/>
    </row>
    <row r="273" spans="4:17" ht="18" customHeight="1">
      <c r="D273" s="185">
        <v>2020</v>
      </c>
      <c r="E273" s="183">
        <v>12</v>
      </c>
      <c r="F273" s="183" t="s">
        <v>632</v>
      </c>
      <c r="G273" s="183" t="s">
        <v>1258</v>
      </c>
      <c r="H273" s="183" t="s">
        <v>1259</v>
      </c>
      <c r="I273" s="183">
        <v>3</v>
      </c>
      <c r="J273" s="183" t="s">
        <v>473</v>
      </c>
      <c r="K273" s="183">
        <f>SUMIF(CF.1!$D:$D,'CFS(2개월)'!G273,CF.1!$U:$U)</f>
        <v>2468977</v>
      </c>
      <c r="L273" s="183">
        <f>SUMIF('CF.1_2개월(단순차감)'!D:D,'CFS(2개월)'!G273,'CF.1_2개월(단순차감)'!AB:AB)</f>
        <v>0</v>
      </c>
      <c r="M273" s="186">
        <f t="shared" si="9"/>
        <v>-2468977</v>
      </c>
      <c r="O273" s="182"/>
      <c r="P273" s="183">
        <f t="shared" si="10"/>
        <v>0</v>
      </c>
      <c r="Q273" s="184"/>
    </row>
    <row r="274" spans="4:17" ht="18" customHeight="1">
      <c r="D274" s="185">
        <v>2020</v>
      </c>
      <c r="E274" s="183">
        <v>12</v>
      </c>
      <c r="F274" s="183" t="s">
        <v>632</v>
      </c>
      <c r="G274" s="183" t="s">
        <v>1260</v>
      </c>
      <c r="H274" s="183" t="s">
        <v>1261</v>
      </c>
      <c r="I274" s="183">
        <v>3</v>
      </c>
      <c r="J274" s="183" t="s">
        <v>473</v>
      </c>
      <c r="K274" s="183">
        <f>SUMIF(CF.1!$D:$D,'CFS(2개월)'!G274,CF.1!$U:$U)</f>
        <v>0</v>
      </c>
      <c r="L274" s="183">
        <f>SUMIF('CF.1_2개월(단순차감)'!D:D,'CFS(2개월)'!G274,'CF.1_2개월(단순차감)'!AB:AB)</f>
        <v>0</v>
      </c>
      <c r="M274" s="186">
        <f t="shared" si="9"/>
        <v>0</v>
      </c>
      <c r="O274" s="182"/>
      <c r="P274" s="183">
        <f t="shared" si="10"/>
        <v>0</v>
      </c>
      <c r="Q274" s="184"/>
    </row>
    <row r="275" spans="4:17" ht="18" customHeight="1">
      <c r="D275" s="185">
        <v>2020</v>
      </c>
      <c r="E275" s="183">
        <v>12</v>
      </c>
      <c r="F275" s="183" t="s">
        <v>632</v>
      </c>
      <c r="G275" s="183" t="s">
        <v>1262</v>
      </c>
      <c r="H275" s="183" t="s">
        <v>1263</v>
      </c>
      <c r="I275" s="183">
        <v>3</v>
      </c>
      <c r="J275" s="183" t="s">
        <v>473</v>
      </c>
      <c r="K275" s="183">
        <f>SUMIF(CF.1!$D:$D,'CFS(2개월)'!G275,CF.1!$U:$U)</f>
        <v>0</v>
      </c>
      <c r="L275" s="183">
        <f>SUMIF('CF.1_2개월(단순차감)'!D:D,'CFS(2개월)'!G275,'CF.1_2개월(단순차감)'!AB:AB)</f>
        <v>0</v>
      </c>
      <c r="M275" s="186">
        <f t="shared" si="9"/>
        <v>0</v>
      </c>
      <c r="O275" s="182"/>
      <c r="P275" s="183">
        <f t="shared" si="10"/>
        <v>0</v>
      </c>
      <c r="Q275" s="184"/>
    </row>
    <row r="276" spans="4:17" ht="18" customHeight="1">
      <c r="D276" s="185">
        <v>2020</v>
      </c>
      <c r="E276" s="183">
        <v>12</v>
      </c>
      <c r="F276" s="183" t="s">
        <v>632</v>
      </c>
      <c r="G276" s="183" t="s">
        <v>1264</v>
      </c>
      <c r="H276" s="183" t="s">
        <v>1265</v>
      </c>
      <c r="I276" s="183">
        <v>3</v>
      </c>
      <c r="J276" s="183" t="s">
        <v>473</v>
      </c>
      <c r="K276" s="183">
        <f>SUMIF(CF.1!$D:$D,'CFS(2개월)'!G276,CF.1!$U:$U)</f>
        <v>0</v>
      </c>
      <c r="L276" s="183">
        <f>SUMIF('CF.1_2개월(단순차감)'!D:D,'CFS(2개월)'!G276,'CF.1_2개월(단순차감)'!AB:AB)</f>
        <v>0</v>
      </c>
      <c r="M276" s="186">
        <f t="shared" si="9"/>
        <v>0</v>
      </c>
      <c r="O276" s="182"/>
      <c r="P276" s="183">
        <f t="shared" si="10"/>
        <v>0</v>
      </c>
      <c r="Q276" s="184"/>
    </row>
    <row r="277" spans="4:17" ht="18" customHeight="1">
      <c r="D277" s="185">
        <v>2020</v>
      </c>
      <c r="E277" s="183">
        <v>12</v>
      </c>
      <c r="F277" s="183" t="s">
        <v>632</v>
      </c>
      <c r="G277" s="183" t="s">
        <v>1266</v>
      </c>
      <c r="H277" s="183" t="s">
        <v>1267</v>
      </c>
      <c r="I277" s="183">
        <v>3</v>
      </c>
      <c r="J277" s="183" t="s">
        <v>473</v>
      </c>
      <c r="K277" s="183">
        <f>SUMIF(CF.1!$D:$D,'CFS(2개월)'!G277,CF.1!$U:$U)</f>
        <v>0</v>
      </c>
      <c r="L277" s="183">
        <f>SUMIF('CF.1_2개월(단순차감)'!D:D,'CFS(2개월)'!G277,'CF.1_2개월(단순차감)'!AB:AB)</f>
        <v>0</v>
      </c>
      <c r="M277" s="186">
        <f t="shared" si="9"/>
        <v>0</v>
      </c>
      <c r="O277" s="182"/>
      <c r="P277" s="183">
        <f t="shared" si="10"/>
        <v>0</v>
      </c>
      <c r="Q277" s="184"/>
    </row>
    <row r="278" spans="4:17" ht="18" customHeight="1">
      <c r="D278" s="185">
        <v>2020</v>
      </c>
      <c r="E278" s="183">
        <v>12</v>
      </c>
      <c r="F278" s="183" t="s">
        <v>632</v>
      </c>
      <c r="G278" s="183" t="s">
        <v>1268</v>
      </c>
      <c r="H278" s="183" t="s">
        <v>1269</v>
      </c>
      <c r="I278" s="183">
        <v>3</v>
      </c>
      <c r="J278" s="183" t="s">
        <v>473</v>
      </c>
      <c r="K278" s="183">
        <f>SUMIF(CF.1!$D:$D,'CFS(2개월)'!G278,CF.1!$U:$U)</f>
        <v>0</v>
      </c>
      <c r="L278" s="183">
        <f>SUMIF('CF.1_2개월(단순차감)'!D:D,'CFS(2개월)'!G278,'CF.1_2개월(단순차감)'!AB:AB)</f>
        <v>0</v>
      </c>
      <c r="M278" s="186">
        <f t="shared" si="9"/>
        <v>0</v>
      </c>
      <c r="O278" s="182"/>
      <c r="P278" s="183">
        <f t="shared" si="10"/>
        <v>0</v>
      </c>
      <c r="Q278" s="184"/>
    </row>
    <row r="279" spans="4:17" ht="18" customHeight="1">
      <c r="D279" s="185">
        <v>2020</v>
      </c>
      <c r="E279" s="183">
        <v>12</v>
      </c>
      <c r="F279" s="183" t="s">
        <v>632</v>
      </c>
      <c r="G279" s="183" t="s">
        <v>1270</v>
      </c>
      <c r="H279" s="183" t="s">
        <v>1271</v>
      </c>
      <c r="I279" s="183">
        <v>3</v>
      </c>
      <c r="J279" s="183" t="s">
        <v>473</v>
      </c>
      <c r="K279" s="183">
        <f>SUMIF(CF.1!$D:$D,'CFS(2개월)'!G279,CF.1!$U:$U)</f>
        <v>0</v>
      </c>
      <c r="L279" s="183">
        <f>SUMIF('CF.1_2개월(단순차감)'!D:D,'CFS(2개월)'!G279,'CF.1_2개월(단순차감)'!AB:AB)</f>
        <v>0</v>
      </c>
      <c r="M279" s="186">
        <f t="shared" si="9"/>
        <v>0</v>
      </c>
      <c r="O279" s="182"/>
      <c r="P279" s="183">
        <f t="shared" si="10"/>
        <v>0</v>
      </c>
      <c r="Q279" s="184"/>
    </row>
    <row r="280" spans="4:17" ht="18" customHeight="1">
      <c r="D280" s="185">
        <v>2020</v>
      </c>
      <c r="E280" s="183">
        <v>12</v>
      </c>
      <c r="F280" s="183" t="s">
        <v>632</v>
      </c>
      <c r="G280" s="183" t="s">
        <v>1521</v>
      </c>
      <c r="H280" s="183" t="s">
        <v>1522</v>
      </c>
      <c r="I280" s="183">
        <v>3</v>
      </c>
      <c r="J280" s="183" t="s">
        <v>473</v>
      </c>
      <c r="K280" s="183">
        <f>SUMIF(CF.1!$D:$D,'CFS(2개월)'!G280,CF.1!$U:$U)</f>
        <v>0</v>
      </c>
      <c r="L280" s="183">
        <f>SUMIF('CF.1_2개월(단순차감)'!D:D,'CFS(2개월)'!G280,'CF.1_2개월(단순차감)'!AB:AB)</f>
        <v>0</v>
      </c>
      <c r="M280" s="186">
        <f t="shared" si="9"/>
        <v>0</v>
      </c>
      <c r="O280" s="182"/>
      <c r="P280" s="183">
        <f t="shared" si="10"/>
        <v>0</v>
      </c>
      <c r="Q280" s="184"/>
    </row>
    <row r="281" spans="4:17" ht="18" customHeight="1">
      <c r="D281" s="185">
        <v>2020</v>
      </c>
      <c r="E281" s="183">
        <v>12</v>
      </c>
      <c r="F281" s="183" t="s">
        <v>632</v>
      </c>
      <c r="G281" s="183" t="s">
        <v>1276</v>
      </c>
      <c r="H281" s="183" t="s">
        <v>1277</v>
      </c>
      <c r="I281" s="183">
        <v>3</v>
      </c>
      <c r="J281" s="183" t="s">
        <v>473</v>
      </c>
      <c r="K281" s="183">
        <f>SUMIF(CF.1!$D:$D,'CFS(2개월)'!G281,CF.1!$U:$U)</f>
        <v>0</v>
      </c>
      <c r="L281" s="183">
        <f>SUMIF('CF.1_2개월(단순차감)'!D:D,'CFS(2개월)'!G281,'CF.1_2개월(단순차감)'!AB:AB)</f>
        <v>0</v>
      </c>
      <c r="M281" s="186">
        <f t="shared" si="9"/>
        <v>0</v>
      </c>
      <c r="O281" s="182"/>
      <c r="P281" s="183">
        <f t="shared" si="10"/>
        <v>0</v>
      </c>
      <c r="Q281" s="184"/>
    </row>
    <row r="282" spans="4:17" ht="18" customHeight="1">
      <c r="D282" s="179">
        <v>2020</v>
      </c>
      <c r="E282" s="180">
        <v>12</v>
      </c>
      <c r="F282" s="180" t="s">
        <v>632</v>
      </c>
      <c r="G282" s="180" t="s">
        <v>1278</v>
      </c>
      <c r="H282" s="180" t="s">
        <v>1279</v>
      </c>
      <c r="I282" s="180">
        <v>2</v>
      </c>
      <c r="J282" s="180" t="s">
        <v>473</v>
      </c>
      <c r="K282" s="180">
        <f>SUM(K283:K300)</f>
        <v>-2082310922</v>
      </c>
      <c r="L282" s="180">
        <f>SUM(L283:L300)</f>
        <v>-314196560</v>
      </c>
      <c r="M282" s="181">
        <f>SUM(M283:M300)</f>
        <v>1768114362</v>
      </c>
      <c r="O282" s="182"/>
      <c r="P282" s="183">
        <f t="shared" si="10"/>
        <v>314196560</v>
      </c>
      <c r="Q282" s="184"/>
    </row>
    <row r="283" spans="4:17" ht="18" customHeight="1">
      <c r="D283" s="185">
        <v>2020</v>
      </c>
      <c r="E283" s="183">
        <v>12</v>
      </c>
      <c r="F283" s="183" t="s">
        <v>632</v>
      </c>
      <c r="G283" s="183" t="s">
        <v>1280</v>
      </c>
      <c r="H283" s="183" t="s">
        <v>1281</v>
      </c>
      <c r="I283" s="183">
        <v>3</v>
      </c>
      <c r="J283" s="183" t="s">
        <v>473</v>
      </c>
      <c r="K283" s="183">
        <f>SUMIF(CF.1!$D:$D,'CFS(2개월)'!G283,CF.1!$U:$U)</f>
        <v>0</v>
      </c>
      <c r="L283" s="183">
        <f>SUMIF('CF.1_2개월(단순차감)'!D:D,'CFS(2개월)'!G283,'CF.1_2개월(단순차감)'!AB:AB)</f>
        <v>0</v>
      </c>
      <c r="M283" s="186">
        <f t="shared" ref="M283:M303" si="11">L283-K283</f>
        <v>0</v>
      </c>
      <c r="O283" s="182"/>
      <c r="P283" s="183">
        <f t="shared" si="10"/>
        <v>0</v>
      </c>
      <c r="Q283" s="184"/>
    </row>
    <row r="284" spans="4:17" ht="18" customHeight="1">
      <c r="D284" s="185">
        <v>2020</v>
      </c>
      <c r="E284" s="183">
        <v>12</v>
      </c>
      <c r="F284" s="183" t="s">
        <v>632</v>
      </c>
      <c r="G284" s="183" t="s">
        <v>1282</v>
      </c>
      <c r="H284" s="183" t="s">
        <v>1283</v>
      </c>
      <c r="I284" s="183">
        <v>3</v>
      </c>
      <c r="J284" s="183" t="s">
        <v>473</v>
      </c>
      <c r="K284" s="183">
        <f>SUMIF(CF.1!$D:$D,'CFS(2개월)'!G284,CF.1!$U:$U)</f>
        <v>0</v>
      </c>
      <c r="L284" s="183">
        <f>SUMIF('CF.1_2개월(단순차감)'!D:D,'CFS(2개월)'!G284,'CF.1_2개월(단순차감)'!AB:AB)</f>
        <v>0</v>
      </c>
      <c r="M284" s="186">
        <f t="shared" si="11"/>
        <v>0</v>
      </c>
      <c r="O284" s="182"/>
      <c r="P284" s="183">
        <f t="shared" si="10"/>
        <v>0</v>
      </c>
      <c r="Q284" s="184"/>
    </row>
    <row r="285" spans="4:17" ht="18" customHeight="1">
      <c r="D285" s="185">
        <v>2020</v>
      </c>
      <c r="E285" s="183">
        <v>12</v>
      </c>
      <c r="F285" s="183" t="s">
        <v>632</v>
      </c>
      <c r="G285" s="183" t="s">
        <v>1284</v>
      </c>
      <c r="H285" s="183" t="s">
        <v>1285</v>
      </c>
      <c r="I285" s="183">
        <v>3</v>
      </c>
      <c r="J285" s="183" t="s">
        <v>473</v>
      </c>
      <c r="K285" s="183">
        <f>SUMIF(CF.1!$D:$D,'CFS(2개월)'!G285,CF.1!$U:$U)</f>
        <v>0</v>
      </c>
      <c r="L285" s="183">
        <f>SUMIF('CF.1_2개월(단순차감)'!D:D,'CFS(2개월)'!G285,'CF.1_2개월(단순차감)'!AB:AB)</f>
        <v>0</v>
      </c>
      <c r="M285" s="186">
        <f t="shared" si="11"/>
        <v>0</v>
      </c>
      <c r="O285" s="182"/>
      <c r="P285" s="183">
        <f t="shared" si="10"/>
        <v>0</v>
      </c>
      <c r="Q285" s="184"/>
    </row>
    <row r="286" spans="4:17" ht="18" customHeight="1">
      <c r="D286" s="185">
        <v>2020</v>
      </c>
      <c r="E286" s="183">
        <v>12</v>
      </c>
      <c r="F286" s="183" t="s">
        <v>632</v>
      </c>
      <c r="G286" s="183" t="s">
        <v>1286</v>
      </c>
      <c r="H286" s="183" t="s">
        <v>1287</v>
      </c>
      <c r="I286" s="183">
        <v>3</v>
      </c>
      <c r="J286" s="183" t="s">
        <v>473</v>
      </c>
      <c r="K286" s="183">
        <f>SUMIF(CF.1!$D:$D,'CFS(2개월)'!G286,CF.1!$U:$U)</f>
        <v>0</v>
      </c>
      <c r="L286" s="183">
        <f>SUMIF('CF.1_2개월(단순차감)'!D:D,'CFS(2개월)'!G286,'CF.1_2개월(단순차감)'!AB:AB)</f>
        <v>0</v>
      </c>
      <c r="M286" s="186">
        <f t="shared" si="11"/>
        <v>0</v>
      </c>
      <c r="O286" s="182"/>
      <c r="P286" s="183">
        <f t="shared" si="10"/>
        <v>0</v>
      </c>
      <c r="Q286" s="184"/>
    </row>
    <row r="287" spans="4:17" ht="18" customHeight="1">
      <c r="D287" s="185">
        <v>2020</v>
      </c>
      <c r="E287" s="183">
        <v>12</v>
      </c>
      <c r="F287" s="183" t="s">
        <v>632</v>
      </c>
      <c r="G287" s="183" t="s">
        <v>1288</v>
      </c>
      <c r="H287" s="183" t="s">
        <v>1289</v>
      </c>
      <c r="I287" s="183">
        <v>3</v>
      </c>
      <c r="J287" s="183" t="s">
        <v>473</v>
      </c>
      <c r="K287" s="183">
        <f>SUMIF(CF.1!$D:$D,'CFS(2개월)'!G287,CF.1!$U:$U)</f>
        <v>0</v>
      </c>
      <c r="L287" s="183">
        <f>SUMIF('CF.1_2개월(단순차감)'!D:D,'CFS(2개월)'!G287,'CF.1_2개월(단순차감)'!AB:AB)</f>
        <v>0</v>
      </c>
      <c r="M287" s="186">
        <f t="shared" si="11"/>
        <v>0</v>
      </c>
      <c r="O287" s="182"/>
      <c r="P287" s="183">
        <f t="shared" si="10"/>
        <v>0</v>
      </c>
      <c r="Q287" s="184"/>
    </row>
    <row r="288" spans="4:17" ht="18" customHeight="1">
      <c r="D288" s="185">
        <v>2020</v>
      </c>
      <c r="E288" s="183">
        <v>12</v>
      </c>
      <c r="F288" s="183" t="s">
        <v>632</v>
      </c>
      <c r="G288" s="183" t="s">
        <v>1290</v>
      </c>
      <c r="H288" s="183" t="s">
        <v>1291</v>
      </c>
      <c r="I288" s="183">
        <v>3</v>
      </c>
      <c r="J288" s="183" t="s">
        <v>473</v>
      </c>
      <c r="K288" s="183">
        <f>SUMIF(CF.1!$D:$D,'CFS(2개월)'!G288,CF.1!$U:$U)</f>
        <v>0</v>
      </c>
      <c r="L288" s="183">
        <f>SUMIF('CF.1_2개월(단순차감)'!D:D,'CFS(2개월)'!G288,'CF.1_2개월(단순차감)'!AB:AB)</f>
        <v>0</v>
      </c>
      <c r="M288" s="186">
        <f t="shared" si="11"/>
        <v>0</v>
      </c>
      <c r="O288" s="182"/>
      <c r="P288" s="183">
        <f t="shared" si="10"/>
        <v>0</v>
      </c>
      <c r="Q288" s="184"/>
    </row>
    <row r="289" spans="4:17" ht="18" customHeight="1">
      <c r="D289" s="185">
        <v>2020</v>
      </c>
      <c r="E289" s="183">
        <v>12</v>
      </c>
      <c r="F289" s="183" t="s">
        <v>632</v>
      </c>
      <c r="G289" s="183" t="s">
        <v>1292</v>
      </c>
      <c r="H289" s="183" t="s">
        <v>1140</v>
      </c>
      <c r="I289" s="183">
        <v>3</v>
      </c>
      <c r="J289" s="183" t="s">
        <v>473</v>
      </c>
      <c r="K289" s="183">
        <f>SUMIF(CF.1!$D:$D,'CFS(2개월)'!G289,CF.1!$U:$U)</f>
        <v>0</v>
      </c>
      <c r="L289" s="183">
        <f>SUMIF('CF.1_2개월(단순차감)'!D:D,'CFS(2개월)'!G289,'CF.1_2개월(단순차감)'!AB:AB)</f>
        <v>0</v>
      </c>
      <c r="M289" s="186">
        <f t="shared" si="11"/>
        <v>0</v>
      </c>
      <c r="O289" s="182"/>
      <c r="P289" s="183">
        <f t="shared" si="10"/>
        <v>0</v>
      </c>
      <c r="Q289" s="184"/>
    </row>
    <row r="290" spans="4:17" ht="18" customHeight="1">
      <c r="D290" s="185">
        <v>2020</v>
      </c>
      <c r="E290" s="183">
        <v>12</v>
      </c>
      <c r="F290" s="183" t="s">
        <v>632</v>
      </c>
      <c r="G290" s="183" t="s">
        <v>1293</v>
      </c>
      <c r="H290" s="183" t="s">
        <v>1142</v>
      </c>
      <c r="I290" s="183">
        <v>3</v>
      </c>
      <c r="J290" s="183" t="s">
        <v>473</v>
      </c>
      <c r="K290" s="183">
        <f>SUMIF(CF.1!$D:$D,'CFS(2개월)'!G290,CF.1!$U:$U)</f>
        <v>0</v>
      </c>
      <c r="L290" s="183">
        <f>SUMIF('CF.1_2개월(단순차감)'!D:D,'CFS(2개월)'!G290,'CF.1_2개월(단순차감)'!AB:AB)</f>
        <v>0</v>
      </c>
      <c r="M290" s="186">
        <f t="shared" si="11"/>
        <v>0</v>
      </c>
      <c r="O290" s="182"/>
      <c r="P290" s="183">
        <f t="shared" si="10"/>
        <v>0</v>
      </c>
      <c r="Q290" s="184"/>
    </row>
    <row r="291" spans="4:17" ht="18" customHeight="1">
      <c r="D291" s="185">
        <v>2020</v>
      </c>
      <c r="E291" s="183">
        <v>12</v>
      </c>
      <c r="F291" s="183" t="s">
        <v>632</v>
      </c>
      <c r="G291" s="183" t="s">
        <v>1294</v>
      </c>
      <c r="H291" s="183" t="s">
        <v>1295</v>
      </c>
      <c r="I291" s="183">
        <v>3</v>
      </c>
      <c r="J291" s="7" t="s">
        <v>473</v>
      </c>
      <c r="K291" s="183">
        <f>SUMIF(CF.1!$D:$D,'CFS(2개월)'!G291,CF.1!$U:$U)</f>
        <v>0</v>
      </c>
      <c r="L291" s="183">
        <f>SUMIF('CF.1_2개월(단순차감)'!D:D,'CFS(2개월)'!G291,'CF.1_2개월(단순차감)'!AB:AB)</f>
        <v>0</v>
      </c>
      <c r="M291" s="186">
        <f t="shared" si="11"/>
        <v>0</v>
      </c>
      <c r="O291" s="182"/>
      <c r="P291" s="183">
        <f t="shared" si="10"/>
        <v>0</v>
      </c>
      <c r="Q291" s="184"/>
    </row>
    <row r="292" spans="4:17" ht="18" customHeight="1">
      <c r="D292" s="185">
        <v>2020</v>
      </c>
      <c r="E292" s="183">
        <v>12</v>
      </c>
      <c r="F292" s="183" t="s">
        <v>632</v>
      </c>
      <c r="G292" s="183" t="s">
        <v>1296</v>
      </c>
      <c r="H292" s="183" t="s">
        <v>1297</v>
      </c>
      <c r="I292" s="183">
        <v>3</v>
      </c>
      <c r="J292" s="183" t="s">
        <v>473</v>
      </c>
      <c r="K292" s="183">
        <f>SUMIF(CF.1!$D:$D,'CFS(2개월)'!G292,CF.1!$U:$U)</f>
        <v>0</v>
      </c>
      <c r="L292" s="183">
        <f>SUMIF('CF.1_2개월(단순차감)'!D:D,'CFS(2개월)'!G292,'CF.1_2개월(단순차감)'!AB:AB)</f>
        <v>0</v>
      </c>
      <c r="M292" s="186">
        <f t="shared" si="11"/>
        <v>0</v>
      </c>
      <c r="O292" s="182"/>
      <c r="P292" s="183">
        <f t="shared" si="10"/>
        <v>0</v>
      </c>
      <c r="Q292" s="184"/>
    </row>
    <row r="293" spans="4:17" ht="18" customHeight="1">
      <c r="D293" s="185">
        <v>2020</v>
      </c>
      <c r="E293" s="183">
        <v>12</v>
      </c>
      <c r="F293" s="183" t="s">
        <v>632</v>
      </c>
      <c r="G293" s="183" t="s">
        <v>1298</v>
      </c>
      <c r="H293" s="183" t="s">
        <v>1299</v>
      </c>
      <c r="I293" s="183">
        <v>3</v>
      </c>
      <c r="J293" s="183" t="s">
        <v>473</v>
      </c>
      <c r="K293" s="183">
        <f>SUMIF(CF.1!$D:$D,'CFS(2개월)'!G293,CF.1!$U:$U)</f>
        <v>0</v>
      </c>
      <c r="L293" s="183">
        <f>SUMIF('CF.1_2개월(단순차감)'!D:D,'CFS(2개월)'!G293,'CF.1_2개월(단순차감)'!AB:AB)</f>
        <v>0</v>
      </c>
      <c r="M293" s="186">
        <f t="shared" si="11"/>
        <v>0</v>
      </c>
      <c r="O293" s="182"/>
      <c r="P293" s="183">
        <f t="shared" si="10"/>
        <v>0</v>
      </c>
      <c r="Q293" s="184"/>
    </row>
    <row r="294" spans="4:17" ht="18" customHeight="1">
      <c r="D294" s="185">
        <v>2020</v>
      </c>
      <c r="E294" s="183">
        <v>12</v>
      </c>
      <c r="F294" s="183" t="s">
        <v>632</v>
      </c>
      <c r="G294" s="183" t="s">
        <v>1300</v>
      </c>
      <c r="H294" s="183" t="s">
        <v>1523</v>
      </c>
      <c r="I294" s="183">
        <v>3</v>
      </c>
      <c r="J294" s="183" t="s">
        <v>473</v>
      </c>
      <c r="K294" s="183">
        <f>SUMIF(CF.1!$D:$D,'CFS(2개월)'!G294,CF.1!$U:$U)</f>
        <v>0</v>
      </c>
      <c r="L294" s="183">
        <f>SUMIF('CF.1_2개월(단순차감)'!D:D,'CFS(2개월)'!G294,'CF.1_2개월(단순차감)'!AB:AB)</f>
        <v>0</v>
      </c>
      <c r="M294" s="186">
        <f t="shared" si="11"/>
        <v>0</v>
      </c>
      <c r="O294" s="182"/>
      <c r="P294" s="183">
        <f t="shared" si="10"/>
        <v>0</v>
      </c>
      <c r="Q294" s="184"/>
    </row>
    <row r="295" spans="4:17" ht="18" customHeight="1">
      <c r="D295" s="185">
        <v>2020</v>
      </c>
      <c r="E295" s="183">
        <v>12</v>
      </c>
      <c r="F295" s="183" t="s">
        <v>632</v>
      </c>
      <c r="G295" s="183" t="s">
        <v>1302</v>
      </c>
      <c r="H295" s="183" t="s">
        <v>1303</v>
      </c>
      <c r="I295" s="183">
        <v>3</v>
      </c>
      <c r="J295" s="183" t="s">
        <v>473</v>
      </c>
      <c r="K295" s="183">
        <f>SUMIF(CF.1!$D:$D,'CFS(2개월)'!G295,CF.1!$U:$U)</f>
        <v>0</v>
      </c>
      <c r="L295" s="183">
        <f>SUMIF('CF.1_2개월(단순차감)'!D:D,'CFS(2개월)'!G295,'CF.1_2개월(단순차감)'!AB:AB)</f>
        <v>0</v>
      </c>
      <c r="M295" s="186">
        <f t="shared" si="11"/>
        <v>0</v>
      </c>
      <c r="O295" s="182"/>
      <c r="P295" s="183">
        <f t="shared" si="10"/>
        <v>0</v>
      </c>
      <c r="Q295" s="184"/>
    </row>
    <row r="296" spans="4:17" ht="18" customHeight="1">
      <c r="D296" s="185">
        <v>2020</v>
      </c>
      <c r="E296" s="183">
        <v>12</v>
      </c>
      <c r="F296" s="183" t="s">
        <v>632</v>
      </c>
      <c r="G296" s="183" t="s">
        <v>1304</v>
      </c>
      <c r="H296" s="183" t="s">
        <v>1305</v>
      </c>
      <c r="I296" s="183">
        <v>3</v>
      </c>
      <c r="J296" s="183" t="s">
        <v>473</v>
      </c>
      <c r="K296" s="183">
        <f>SUMIF(CF.1!$D:$D,'CFS(2개월)'!G296,CF.1!$U:$U)</f>
        <v>0</v>
      </c>
      <c r="L296" s="183">
        <f>SUMIF('CF.1_2개월(단순차감)'!D:D,'CFS(2개월)'!G296,'CF.1_2개월(단순차감)'!AB:AB)</f>
        <v>0</v>
      </c>
      <c r="M296" s="186">
        <f t="shared" si="11"/>
        <v>0</v>
      </c>
      <c r="O296" s="182"/>
      <c r="P296" s="183">
        <f t="shared" si="10"/>
        <v>0</v>
      </c>
      <c r="Q296" s="184"/>
    </row>
    <row r="297" spans="4:17" ht="18" customHeight="1">
      <c r="D297" s="185">
        <v>2020</v>
      </c>
      <c r="E297" s="183">
        <v>12</v>
      </c>
      <c r="F297" s="183" t="s">
        <v>632</v>
      </c>
      <c r="G297" s="183" t="s">
        <v>1306</v>
      </c>
      <c r="H297" s="183" t="s">
        <v>1307</v>
      </c>
      <c r="I297" s="183">
        <v>3</v>
      </c>
      <c r="J297" s="183" t="s">
        <v>473</v>
      </c>
      <c r="K297" s="183">
        <f>SUMIF(CF.1!$D:$D,'CFS(2개월)'!G297,CF.1!$U:$U)</f>
        <v>-2082310922</v>
      </c>
      <c r="L297" s="183">
        <f>SUMIF('CF.1_2개월(단순차감)'!D:D,'CFS(2개월)'!G297,'CF.1_2개월(단순차감)'!AB:AB)</f>
        <v>-314196560</v>
      </c>
      <c r="M297" s="186">
        <f t="shared" si="11"/>
        <v>1768114362</v>
      </c>
      <c r="O297" s="182"/>
      <c r="P297" s="183">
        <f t="shared" si="10"/>
        <v>314196560</v>
      </c>
      <c r="Q297" s="184"/>
    </row>
    <row r="298" spans="4:17" ht="18" customHeight="1">
      <c r="D298" s="185">
        <v>2020</v>
      </c>
      <c r="E298" s="183">
        <v>12</v>
      </c>
      <c r="F298" s="183" t="s">
        <v>632</v>
      </c>
      <c r="G298" s="183" t="s">
        <v>1308</v>
      </c>
      <c r="H298" s="183" t="s">
        <v>1309</v>
      </c>
      <c r="I298" s="183">
        <v>3</v>
      </c>
      <c r="J298" s="183" t="s">
        <v>473</v>
      </c>
      <c r="K298" s="183">
        <f>SUMIF(CF.1!$D:$D,'CFS(2개월)'!G298,CF.1!$U:$U)</f>
        <v>0</v>
      </c>
      <c r="L298" s="183">
        <f>SUMIF('CF.1_2개월(단순차감)'!D:D,'CFS(2개월)'!G298,'CF.1_2개월(단순차감)'!AB:AB)</f>
        <v>0</v>
      </c>
      <c r="M298" s="186">
        <f t="shared" si="11"/>
        <v>0</v>
      </c>
      <c r="O298" s="182"/>
      <c r="P298" s="183">
        <f t="shared" si="10"/>
        <v>0</v>
      </c>
      <c r="Q298" s="184"/>
    </row>
    <row r="299" spans="4:17" ht="18" customHeight="1">
      <c r="D299" s="185">
        <v>2020</v>
      </c>
      <c r="E299" s="183">
        <v>12</v>
      </c>
      <c r="F299" s="183" t="s">
        <v>632</v>
      </c>
      <c r="G299" s="183" t="s">
        <v>1524</v>
      </c>
      <c r="H299" s="183" t="s">
        <v>1525</v>
      </c>
      <c r="I299" s="183">
        <v>3</v>
      </c>
      <c r="J299" s="183" t="s">
        <v>473</v>
      </c>
      <c r="K299" s="183">
        <f>SUMIF(CF.1!$D:$D,'CFS(2개월)'!G299,CF.1!$U:$U)</f>
        <v>0</v>
      </c>
      <c r="L299" s="183">
        <f>SUMIF('CF.1_2개월(단순차감)'!D:D,'CFS(2개월)'!G299,'CF.1_2개월(단순차감)'!AB:AB)</f>
        <v>0</v>
      </c>
      <c r="M299" s="186">
        <f t="shared" si="11"/>
        <v>0</v>
      </c>
      <c r="O299" s="182"/>
      <c r="P299" s="183">
        <f t="shared" si="10"/>
        <v>0</v>
      </c>
      <c r="Q299" s="184"/>
    </row>
    <row r="300" spans="4:17" ht="18" customHeight="1">
      <c r="D300" s="185">
        <v>2020</v>
      </c>
      <c r="E300" s="183">
        <v>12</v>
      </c>
      <c r="F300" s="183" t="s">
        <v>632</v>
      </c>
      <c r="G300" s="183" t="s">
        <v>1312</v>
      </c>
      <c r="H300" s="183" t="s">
        <v>1313</v>
      </c>
      <c r="I300" s="183">
        <v>3</v>
      </c>
      <c r="J300" s="183" t="s">
        <v>473</v>
      </c>
      <c r="K300" s="183">
        <f>SUMIF(CF.1!$D:$D,'CFS(2개월)'!G300,CF.1!$U:$U)</f>
        <v>0</v>
      </c>
      <c r="L300" s="183">
        <f>SUMIF('CF.1_2개월(단순차감)'!D:D,'CFS(2개월)'!G300,'CF.1_2개월(단순차감)'!AB:AB)</f>
        <v>0</v>
      </c>
      <c r="M300" s="186">
        <f t="shared" si="11"/>
        <v>0</v>
      </c>
      <c r="O300" s="182"/>
      <c r="P300" s="183">
        <f t="shared" si="10"/>
        <v>0</v>
      </c>
      <c r="Q300" s="184"/>
    </row>
    <row r="301" spans="4:17" ht="18" customHeight="1">
      <c r="D301" s="179">
        <v>2020</v>
      </c>
      <c r="E301" s="180">
        <v>12</v>
      </c>
      <c r="F301" s="180" t="s">
        <v>632</v>
      </c>
      <c r="G301" s="180" t="s">
        <v>1314</v>
      </c>
      <c r="H301" s="180" t="s">
        <v>1315</v>
      </c>
      <c r="I301" s="180">
        <v>1</v>
      </c>
      <c r="J301" s="180" t="s">
        <v>473</v>
      </c>
      <c r="K301" s="180">
        <f t="shared" ref="K301:M302" si="12">K302</f>
        <v>1334300764</v>
      </c>
      <c r="L301" s="180">
        <f t="shared" si="12"/>
        <v>157670909</v>
      </c>
      <c r="M301" s="181">
        <f t="shared" si="12"/>
        <v>-1176629855</v>
      </c>
      <c r="O301" s="182"/>
      <c r="P301" s="183">
        <f t="shared" si="10"/>
        <v>-157670909</v>
      </c>
      <c r="Q301" s="184"/>
    </row>
    <row r="302" spans="4:17" ht="18" customHeight="1">
      <c r="D302" s="179">
        <v>2020</v>
      </c>
      <c r="E302" s="180">
        <v>12</v>
      </c>
      <c r="F302" s="180" t="s">
        <v>632</v>
      </c>
      <c r="G302" s="180" t="s">
        <v>1316</v>
      </c>
      <c r="H302" s="180" t="s">
        <v>1315</v>
      </c>
      <c r="I302" s="180">
        <v>2</v>
      </c>
      <c r="J302" s="180" t="s">
        <v>473</v>
      </c>
      <c r="K302" s="180">
        <f t="shared" si="12"/>
        <v>1334300764</v>
      </c>
      <c r="L302" s="180">
        <f t="shared" si="12"/>
        <v>157670909</v>
      </c>
      <c r="M302" s="181">
        <f t="shared" si="12"/>
        <v>-1176629855</v>
      </c>
      <c r="O302" s="182"/>
      <c r="P302" s="183">
        <f t="shared" si="10"/>
        <v>-157670909</v>
      </c>
      <c r="Q302" s="184"/>
    </row>
    <row r="303" spans="4:17" ht="18" customHeight="1">
      <c r="D303" s="185">
        <v>2020</v>
      </c>
      <c r="E303" s="183">
        <v>12</v>
      </c>
      <c r="F303" s="183" t="s">
        <v>632</v>
      </c>
      <c r="G303" s="183" t="s">
        <v>1317</v>
      </c>
      <c r="H303" s="183" t="s">
        <v>1318</v>
      </c>
      <c r="I303" s="183">
        <v>3</v>
      </c>
      <c r="J303" s="183" t="s">
        <v>473</v>
      </c>
      <c r="K303" s="183">
        <f>SUMIF(CF.1!$D:$D,'CFS(2개월)'!G303,CF.1!$U:$U)</f>
        <v>1334300764</v>
      </c>
      <c r="L303" s="183">
        <f>SUMIF('CF.1_2개월(단순차감)'!D:D,'CFS(2개월)'!G303,'CF.1_2개월(단순차감)'!AB:AB)</f>
        <v>157670909</v>
      </c>
      <c r="M303" s="186">
        <f t="shared" si="11"/>
        <v>-1176629855</v>
      </c>
      <c r="O303" s="182"/>
      <c r="P303" s="183">
        <f t="shared" si="10"/>
        <v>-157670909</v>
      </c>
      <c r="Q303" s="184"/>
    </row>
    <row r="304" spans="4:17" ht="18" customHeight="1">
      <c r="D304" s="179">
        <v>2020</v>
      </c>
      <c r="E304" s="180">
        <v>12</v>
      </c>
      <c r="F304" s="180" t="s">
        <v>632</v>
      </c>
      <c r="G304" s="180" t="s">
        <v>1319</v>
      </c>
      <c r="H304" s="180" t="s">
        <v>1526</v>
      </c>
      <c r="I304" s="180">
        <v>1</v>
      </c>
      <c r="J304" s="180" t="s">
        <v>473</v>
      </c>
      <c r="K304" s="180">
        <f t="shared" ref="K304:M305" si="13">K305</f>
        <v>0</v>
      </c>
      <c r="L304" s="180">
        <f t="shared" si="13"/>
        <v>0</v>
      </c>
      <c r="M304" s="181">
        <f t="shared" si="13"/>
        <v>0</v>
      </c>
      <c r="O304" s="182"/>
      <c r="P304" s="183">
        <f t="shared" si="10"/>
        <v>0</v>
      </c>
      <c r="Q304" s="184"/>
    </row>
    <row r="305" spans="4:17" ht="18" customHeight="1">
      <c r="D305" s="179">
        <v>2020</v>
      </c>
      <c r="E305" s="180">
        <v>12</v>
      </c>
      <c r="F305" s="180" t="s">
        <v>632</v>
      </c>
      <c r="G305" s="180" t="s">
        <v>1321</v>
      </c>
      <c r="H305" s="180" t="s">
        <v>1526</v>
      </c>
      <c r="I305" s="180">
        <v>2</v>
      </c>
      <c r="J305" s="180" t="s">
        <v>473</v>
      </c>
      <c r="K305" s="180">
        <f t="shared" si="13"/>
        <v>0</v>
      </c>
      <c r="L305" s="180">
        <f t="shared" si="13"/>
        <v>0</v>
      </c>
      <c r="M305" s="181">
        <f t="shared" si="13"/>
        <v>0</v>
      </c>
      <c r="O305" s="182"/>
      <c r="P305" s="183">
        <f t="shared" si="10"/>
        <v>0</v>
      </c>
      <c r="Q305" s="184"/>
    </row>
    <row r="306" spans="4:17" ht="18" customHeight="1">
      <c r="D306" s="185">
        <v>2020</v>
      </c>
      <c r="E306" s="183">
        <v>12</v>
      </c>
      <c r="F306" s="183" t="s">
        <v>632</v>
      </c>
      <c r="G306" s="183" t="s">
        <v>1322</v>
      </c>
      <c r="H306" s="183" t="s">
        <v>1527</v>
      </c>
      <c r="I306" s="183">
        <v>3</v>
      </c>
      <c r="J306" s="183" t="s">
        <v>473</v>
      </c>
      <c r="K306" s="183">
        <f>SUMIF(CF.1!$D:$D,'CFS(2개월)'!G306,CF.1!$U:$U)</f>
        <v>0</v>
      </c>
      <c r="L306" s="183">
        <f>SUMIF('CF.1_2개월(단순차감)'!D:D,'CFS(2개월)'!G306,'CF.1_2개월(단순차감)'!AB:AB)</f>
        <v>0</v>
      </c>
      <c r="M306" s="186">
        <f t="shared" ref="M306:M316" si="14">L306-K306</f>
        <v>0</v>
      </c>
      <c r="O306" s="182"/>
      <c r="P306" s="183">
        <f t="shared" si="10"/>
        <v>0</v>
      </c>
      <c r="Q306" s="184"/>
    </row>
    <row r="307" spans="4:17" ht="18" customHeight="1">
      <c r="D307" s="179">
        <v>2020</v>
      </c>
      <c r="E307" s="180">
        <v>12</v>
      </c>
      <c r="F307" s="180" t="s">
        <v>632</v>
      </c>
      <c r="G307" s="180" t="s">
        <v>1324</v>
      </c>
      <c r="H307" s="180" t="s">
        <v>1325</v>
      </c>
      <c r="I307" s="180">
        <v>1</v>
      </c>
      <c r="J307" s="180" t="s">
        <v>473</v>
      </c>
      <c r="K307" s="180">
        <f>K301+K260+K156+K5</f>
        <v>41309553764</v>
      </c>
      <c r="L307" s="180">
        <f>L301+L260+L156+L5</f>
        <v>-519337447</v>
      </c>
      <c r="M307" s="181">
        <f t="shared" si="14"/>
        <v>-41828891211</v>
      </c>
      <c r="O307" s="182"/>
      <c r="P307" s="183">
        <f t="shared" si="10"/>
        <v>519337447</v>
      </c>
      <c r="Q307" s="184"/>
    </row>
    <row r="308" spans="4:17" ht="18" customHeight="1">
      <c r="D308" s="179">
        <v>2020</v>
      </c>
      <c r="E308" s="180">
        <v>12</v>
      </c>
      <c r="F308" s="180" t="s">
        <v>632</v>
      </c>
      <c r="G308" s="180" t="s">
        <v>1326</v>
      </c>
      <c r="H308" s="180" t="s">
        <v>1327</v>
      </c>
      <c r="I308" s="180">
        <v>1</v>
      </c>
      <c r="J308" s="180" t="s">
        <v>473</v>
      </c>
      <c r="K308" s="180">
        <f>K309</f>
        <v>132018644520</v>
      </c>
      <c r="L308" s="180">
        <f>L309</f>
        <v>132537981967</v>
      </c>
      <c r="M308" s="181">
        <f t="shared" si="14"/>
        <v>519337447</v>
      </c>
      <c r="O308" s="182"/>
      <c r="P308" s="183">
        <f t="shared" si="10"/>
        <v>-132537981967</v>
      </c>
      <c r="Q308" s="184"/>
    </row>
    <row r="309" spans="4:17" ht="18" customHeight="1">
      <c r="D309" s="179">
        <v>2020</v>
      </c>
      <c r="E309" s="180">
        <v>12</v>
      </c>
      <c r="F309" s="180" t="s">
        <v>632</v>
      </c>
      <c r="G309" s="180" t="s">
        <v>1328</v>
      </c>
      <c r="H309" s="180" t="s">
        <v>1327</v>
      </c>
      <c r="I309" s="180">
        <v>2</v>
      </c>
      <c r="J309" s="180" t="s">
        <v>473</v>
      </c>
      <c r="K309" s="180">
        <f>K310</f>
        <v>132018644520</v>
      </c>
      <c r="L309" s="180">
        <f>L310</f>
        <v>132537981967</v>
      </c>
      <c r="M309" s="181">
        <f t="shared" si="14"/>
        <v>519337447</v>
      </c>
      <c r="O309" s="182"/>
      <c r="P309" s="183">
        <f t="shared" si="10"/>
        <v>-132537981967</v>
      </c>
      <c r="Q309" s="184"/>
    </row>
    <row r="310" spans="4:17" ht="18" customHeight="1">
      <c r="D310" s="185">
        <v>2020</v>
      </c>
      <c r="E310" s="183">
        <v>12</v>
      </c>
      <c r="F310" s="183" t="s">
        <v>632</v>
      </c>
      <c r="G310" s="183" t="s">
        <v>1329</v>
      </c>
      <c r="H310" s="183" t="s">
        <v>1330</v>
      </c>
      <c r="I310" s="183">
        <v>3</v>
      </c>
      <c r="J310" s="183" t="s">
        <v>473</v>
      </c>
      <c r="K310" s="183">
        <f>SUMIF(CF.1!$D:$D,'CFS(2개월)'!G310,CF.1!$U:$U)</f>
        <v>132018644520</v>
      </c>
      <c r="L310" s="183">
        <f>SUMIF('CF.1_2개월(단순차감)'!D:D,'CFS(2개월)'!G310,'CF.1_2개월(단순차감)'!AB:AB)</f>
        <v>132537981967</v>
      </c>
      <c r="M310" s="186">
        <f t="shared" si="14"/>
        <v>519337447</v>
      </c>
      <c r="O310" s="182"/>
      <c r="P310" s="183">
        <f t="shared" si="10"/>
        <v>-132537981967</v>
      </c>
      <c r="Q310" s="184"/>
    </row>
    <row r="311" spans="4:17" ht="18" customHeight="1">
      <c r="D311" s="179">
        <v>2020</v>
      </c>
      <c r="E311" s="180">
        <v>12</v>
      </c>
      <c r="F311" s="180" t="s">
        <v>632</v>
      </c>
      <c r="G311" s="180" t="s">
        <v>1331</v>
      </c>
      <c r="H311" s="180" t="s">
        <v>1332</v>
      </c>
      <c r="I311" s="180">
        <v>1</v>
      </c>
      <c r="J311" s="180" t="s">
        <v>473</v>
      </c>
      <c r="K311" s="180">
        <f t="shared" ref="K311:M312" si="15">K312</f>
        <v>150242234297</v>
      </c>
      <c r="L311" s="180">
        <f t="shared" si="15"/>
        <v>132018644520</v>
      </c>
      <c r="M311" s="181">
        <f t="shared" si="15"/>
        <v>-18223589777</v>
      </c>
      <c r="O311" s="182"/>
      <c r="P311" s="183">
        <f t="shared" si="10"/>
        <v>-132018644520</v>
      </c>
      <c r="Q311" s="184"/>
    </row>
    <row r="312" spans="4:17" ht="18" customHeight="1">
      <c r="D312" s="179">
        <v>2020</v>
      </c>
      <c r="E312" s="180">
        <v>12</v>
      </c>
      <c r="F312" s="180" t="s">
        <v>632</v>
      </c>
      <c r="G312" s="180" t="s">
        <v>1333</v>
      </c>
      <c r="H312" s="180" t="s">
        <v>1332</v>
      </c>
      <c r="I312" s="180">
        <v>2</v>
      </c>
      <c r="J312" s="180" t="s">
        <v>473</v>
      </c>
      <c r="K312" s="180">
        <f t="shared" si="15"/>
        <v>150242234297</v>
      </c>
      <c r="L312" s="180">
        <f t="shared" si="15"/>
        <v>132018644520</v>
      </c>
      <c r="M312" s="181">
        <f t="shared" si="15"/>
        <v>-18223589777</v>
      </c>
      <c r="O312" s="182"/>
      <c r="P312" s="183">
        <f t="shared" si="10"/>
        <v>-132018644520</v>
      </c>
      <c r="Q312" s="184"/>
    </row>
    <row r="313" spans="4:17" ht="18" customHeight="1">
      <c r="D313" s="185">
        <v>2020</v>
      </c>
      <c r="E313" s="183">
        <v>12</v>
      </c>
      <c r="F313" s="183" t="s">
        <v>632</v>
      </c>
      <c r="G313" s="183" t="s">
        <v>1334</v>
      </c>
      <c r="H313" s="183" t="s">
        <v>1335</v>
      </c>
      <c r="I313" s="183">
        <v>3</v>
      </c>
      <c r="J313" s="183" t="s">
        <v>473</v>
      </c>
      <c r="K313" s="183">
        <f>SUMIF(CF.1!$D:$D,'CFS(2개월)'!G313,CF.1!$U:$U)</f>
        <v>150242234297</v>
      </c>
      <c r="L313" s="183">
        <f>SUMIF('CF.1_2개월(단순차감)'!D:D,'CFS(2개월)'!G313,'CF.1_2개월(단순차감)'!AB:AB)</f>
        <v>132018644520</v>
      </c>
      <c r="M313" s="186">
        <f t="shared" si="14"/>
        <v>-18223589777</v>
      </c>
      <c r="O313" s="182"/>
      <c r="P313" s="183">
        <f t="shared" si="10"/>
        <v>-132018644520</v>
      </c>
      <c r="Q313" s="184"/>
    </row>
    <row r="314" spans="4:17" ht="18" customHeight="1">
      <c r="D314" s="179">
        <v>2020</v>
      </c>
      <c r="E314" s="180">
        <v>12</v>
      </c>
      <c r="F314" s="180" t="s">
        <v>632</v>
      </c>
      <c r="G314" s="180" t="s">
        <v>1336</v>
      </c>
      <c r="H314" s="180" t="s">
        <v>1337</v>
      </c>
      <c r="I314" s="180">
        <v>1</v>
      </c>
      <c r="J314" s="180" t="s">
        <v>473</v>
      </c>
      <c r="K314" s="180">
        <v>0</v>
      </c>
      <c r="L314" s="180">
        <v>0</v>
      </c>
      <c r="M314" s="181">
        <f t="shared" si="14"/>
        <v>0</v>
      </c>
      <c r="O314" s="182"/>
      <c r="P314" s="183">
        <f t="shared" si="10"/>
        <v>0</v>
      </c>
      <c r="Q314" s="184"/>
    </row>
    <row r="315" spans="4:17" ht="18" customHeight="1">
      <c r="D315" s="179">
        <v>2020</v>
      </c>
      <c r="E315" s="180">
        <v>12</v>
      </c>
      <c r="F315" s="180" t="s">
        <v>632</v>
      </c>
      <c r="G315" s="180" t="s">
        <v>1338</v>
      </c>
      <c r="H315" s="180" t="s">
        <v>1337</v>
      </c>
      <c r="I315" s="180">
        <v>2</v>
      </c>
      <c r="J315" s="180" t="s">
        <v>473</v>
      </c>
      <c r="K315" s="180">
        <v>0</v>
      </c>
      <c r="L315" s="180">
        <v>0</v>
      </c>
      <c r="M315" s="181">
        <f t="shared" si="14"/>
        <v>0</v>
      </c>
      <c r="O315" s="182"/>
      <c r="P315" s="183">
        <f t="shared" si="10"/>
        <v>0</v>
      </c>
      <c r="Q315" s="184"/>
    </row>
    <row r="316" spans="4:17" ht="18" customHeight="1" thickBot="1">
      <c r="D316" s="193">
        <v>2020</v>
      </c>
      <c r="E316" s="194">
        <v>12</v>
      </c>
      <c r="F316" s="194" t="s">
        <v>632</v>
      </c>
      <c r="G316" s="194" t="s">
        <v>1339</v>
      </c>
      <c r="H316" s="194" t="s">
        <v>1340</v>
      </c>
      <c r="I316" s="194">
        <v>3</v>
      </c>
      <c r="J316" s="194" t="s">
        <v>473</v>
      </c>
      <c r="K316" s="194">
        <f>SUMIF(CF.1!$D:$D,'CFS(2개월)'!G316,CF.1!$U:$U)</f>
        <v>0</v>
      </c>
      <c r="L316" s="183">
        <f>SUMIF('CF.1_2개월(단순차감)'!D:D,'CFS(2개월)'!G316,'CF.1_2개월(단순차감)'!AB:AB)</f>
        <v>0</v>
      </c>
      <c r="M316" s="195">
        <f t="shared" si="14"/>
        <v>0</v>
      </c>
      <c r="O316" s="196"/>
      <c r="P316" s="183">
        <f t="shared" si="10"/>
        <v>0</v>
      </c>
      <c r="Q316" s="197"/>
    </row>
    <row r="317" spans="4:17" ht="18" customHeight="1" thickBot="1">
      <c r="D317" s="198"/>
      <c r="E317" s="199"/>
      <c r="F317" s="199"/>
      <c r="G317" s="199"/>
      <c r="H317" s="199"/>
      <c r="I317" s="199"/>
      <c r="J317" s="199"/>
      <c r="K317" s="199">
        <f>K307+K308-K313</f>
        <v>23085963987</v>
      </c>
      <c r="L317" s="199">
        <f>L307+L308-L313</f>
        <v>0</v>
      </c>
      <c r="M317" s="200"/>
    </row>
  </sheetData>
  <autoFilter ref="D4:M317"/>
  <phoneticPr fontId="21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234"/>
  <sheetViews>
    <sheetView zoomScale="80" zoomScaleNormal="80" workbookViewId="0">
      <selection activeCell="K28" sqref="K28:L28"/>
    </sheetView>
  </sheetViews>
  <sheetFormatPr defaultColWidth="8.75" defaultRowHeight="13.5"/>
  <cols>
    <col min="1" max="3" width="2.625" style="3" customWidth="1"/>
    <col min="4" max="4" width="25.75" style="446" customWidth="1"/>
    <col min="5" max="5" width="25.75" style="3" customWidth="1"/>
    <col min="6" max="9" width="15.625" style="3" customWidth="1"/>
    <col min="10" max="10" width="10.625" style="3" customWidth="1"/>
    <col min="11" max="11" width="25.375" style="3" bestFit="1" customWidth="1"/>
    <col min="12" max="12" width="19.25" style="3" bestFit="1" customWidth="1"/>
    <col min="13" max="13" width="10.25" style="3" bestFit="1" customWidth="1"/>
    <col min="14" max="16384" width="8.75" style="3"/>
  </cols>
  <sheetData>
    <row r="1" spans="4:15" ht="18" customHeight="1">
      <c r="D1" s="3"/>
    </row>
    <row r="2" spans="4:15" ht="18" customHeight="1">
      <c r="D2" s="379">
        <v>44329</v>
      </c>
      <c r="H2" s="1" t="s">
        <v>2084</v>
      </c>
      <c r="I2" s="1">
        <v>1</v>
      </c>
      <c r="K2" s="380" t="s">
        <v>1811</v>
      </c>
      <c r="L2" s="373">
        <f>+I190</f>
        <v>35469883</v>
      </c>
    </row>
    <row r="3" spans="4:15" ht="18" customHeight="1">
      <c r="D3" s="381" t="s">
        <v>2362</v>
      </c>
      <c r="F3" s="5"/>
      <c r="H3" s="1" t="s">
        <v>455</v>
      </c>
      <c r="I3" s="1">
        <v>1</v>
      </c>
      <c r="K3" s="380" t="s">
        <v>2085</v>
      </c>
      <c r="L3" s="373">
        <v>1500000000</v>
      </c>
    </row>
    <row r="4" spans="4:15" ht="18" customHeight="1">
      <c r="D4" s="381" t="s">
        <v>473</v>
      </c>
      <c r="F4" s="5"/>
      <c r="H4" s="1" t="s">
        <v>456</v>
      </c>
      <c r="I4" s="1">
        <v>1</v>
      </c>
      <c r="K4" s="380" t="s">
        <v>1803</v>
      </c>
      <c r="L4" s="378">
        <f>+L3-L2</f>
        <v>1464530117</v>
      </c>
    </row>
    <row r="5" spans="4:15" s="346" customFormat="1" ht="18" customHeight="1">
      <c r="F5" s="382" t="s">
        <v>2086</v>
      </c>
      <c r="G5" s="382"/>
      <c r="H5" s="382"/>
      <c r="L5" s="375"/>
    </row>
    <row r="6" spans="4:15" s="346" customFormat="1" ht="18" customHeight="1">
      <c r="E6" s="346" t="s">
        <v>2087</v>
      </c>
      <c r="F6" s="5"/>
      <c r="G6" s="382"/>
      <c r="H6" s="382"/>
      <c r="I6" s="172"/>
    </row>
    <row r="7" spans="4:15" s="346" customFormat="1" ht="18" customHeight="1" thickBot="1">
      <c r="D7" s="172"/>
      <c r="E7" s="172" t="s">
        <v>2088</v>
      </c>
      <c r="F7" s="383">
        <f>F10-F214</f>
        <v>0</v>
      </c>
      <c r="G7" s="383">
        <f>G10-G214</f>
        <v>0</v>
      </c>
      <c r="H7" s="383">
        <f>H10-H214</f>
        <v>0</v>
      </c>
      <c r="I7" s="384">
        <f>I10-I214-0</f>
        <v>0</v>
      </c>
    </row>
    <row r="8" spans="4:15" ht="18" customHeight="1">
      <c r="D8" s="385" t="s">
        <v>16</v>
      </c>
      <c r="E8" s="386" t="s">
        <v>19</v>
      </c>
      <c r="F8" s="387">
        <f>$D$2</f>
        <v>44329</v>
      </c>
      <c r="G8" s="386" t="s">
        <v>2089</v>
      </c>
      <c r="H8" s="386">
        <f>F8</f>
        <v>44329</v>
      </c>
      <c r="I8" s="388">
        <f>$D$2</f>
        <v>44329</v>
      </c>
    </row>
    <row r="9" spans="4:15" ht="18" customHeight="1">
      <c r="D9" s="389"/>
      <c r="E9" s="390"/>
      <c r="F9" s="391" t="str">
        <f>D4</f>
        <v>KRW</v>
      </c>
      <c r="G9" s="390" t="str">
        <f>F9</f>
        <v>KRW</v>
      </c>
      <c r="H9" s="390" t="str">
        <f>G9</f>
        <v>KRW</v>
      </c>
      <c r="I9" s="392" t="s">
        <v>473</v>
      </c>
      <c r="K9" s="393" t="s">
        <v>2090</v>
      </c>
      <c r="L9" s="394" t="s">
        <v>2091</v>
      </c>
      <c r="M9" s="395" t="s">
        <v>2092</v>
      </c>
      <c r="N9" s="396"/>
      <c r="O9" s="396"/>
    </row>
    <row r="10" spans="4:15" ht="18" customHeight="1">
      <c r="D10" s="397"/>
      <c r="E10" s="259" t="s">
        <v>0</v>
      </c>
      <c r="F10" s="398">
        <f>SUM(F11,F66)</f>
        <v>58675929</v>
      </c>
      <c r="G10" s="399">
        <f>SUM(G11,G66)</f>
        <v>0</v>
      </c>
      <c r="H10" s="399">
        <f>SUM(H11,H66)</f>
        <v>58675929</v>
      </c>
      <c r="I10" s="400">
        <f>SUM(I11,I66)</f>
        <v>58675929</v>
      </c>
      <c r="K10" s="401"/>
      <c r="L10" s="401"/>
      <c r="M10" s="402"/>
      <c r="N10" s="396"/>
      <c r="O10" s="396"/>
    </row>
    <row r="11" spans="4:15" ht="18" customHeight="1">
      <c r="D11" s="403"/>
      <c r="E11" s="260" t="s">
        <v>20</v>
      </c>
      <c r="F11" s="404">
        <f>SUM(F12,F16,F37,F47,F32,F52,)</f>
        <v>38675929</v>
      </c>
      <c r="G11" s="405">
        <f>SUM(G12,G16,G37,G47,G32,G52,)</f>
        <v>0</v>
      </c>
      <c r="H11" s="405">
        <f>SUM(H12,H16,H37,H47,H32,H52,)</f>
        <v>38675929</v>
      </c>
      <c r="I11" s="406">
        <f>SUM(I12,I16,I37,I47,I32,I52,)</f>
        <v>38675929</v>
      </c>
      <c r="K11" s="407" t="s">
        <v>2093</v>
      </c>
      <c r="L11" s="408"/>
      <c r="M11" s="409"/>
      <c r="N11" s="396"/>
      <c r="O11" s="396"/>
    </row>
    <row r="12" spans="4:15" ht="18" customHeight="1">
      <c r="D12" s="410"/>
      <c r="E12" s="261" t="s">
        <v>1</v>
      </c>
      <c r="F12" s="411">
        <f>SUM(F13:F15)</f>
        <v>20206929</v>
      </c>
      <c r="G12" s="412">
        <f>SUM(G13:G15)</f>
        <v>0</v>
      </c>
      <c r="H12" s="412">
        <f>SUM(H13:H15)</f>
        <v>20206929</v>
      </c>
      <c r="I12" s="413">
        <f>SUM(I13:I15)</f>
        <v>20206929</v>
      </c>
      <c r="K12" s="414" t="s">
        <v>1650</v>
      </c>
      <c r="L12" s="415"/>
      <c r="M12" s="416">
        <v>38675929</v>
      </c>
      <c r="N12" s="396"/>
      <c r="O12" s="396"/>
    </row>
    <row r="13" spans="4:15" ht="18" customHeight="1">
      <c r="D13" s="417" t="s">
        <v>1344</v>
      </c>
      <c r="E13" s="418" t="s">
        <v>1342</v>
      </c>
      <c r="F13" s="419">
        <f>SUMIF(N:N,D13,M:M)</f>
        <v>0</v>
      </c>
      <c r="G13" s="420">
        <v>0</v>
      </c>
      <c r="H13" s="420">
        <v>0</v>
      </c>
      <c r="I13" s="421">
        <v>0</v>
      </c>
      <c r="K13" s="422" t="s">
        <v>2094</v>
      </c>
      <c r="L13" s="415"/>
      <c r="M13" s="416">
        <v>38675929</v>
      </c>
      <c r="N13" s="396"/>
      <c r="O13" s="396"/>
    </row>
    <row r="14" spans="4:15" ht="18" customHeight="1">
      <c r="D14" s="417">
        <v>111151</v>
      </c>
      <c r="E14" s="418" t="s">
        <v>21</v>
      </c>
      <c r="F14" s="419">
        <f>SUMIF(N:N,D14,M:M)</f>
        <v>20206929</v>
      </c>
      <c r="G14" s="420">
        <v>0</v>
      </c>
      <c r="H14" s="420">
        <v>20206929</v>
      </c>
      <c r="I14" s="421">
        <v>20206929</v>
      </c>
      <c r="K14" s="423" t="s">
        <v>2095</v>
      </c>
      <c r="L14" s="424" t="s">
        <v>1</v>
      </c>
      <c r="M14" s="425">
        <v>0</v>
      </c>
      <c r="N14" s="396"/>
      <c r="O14" s="396"/>
    </row>
    <row r="15" spans="4:15" ht="18" customHeight="1">
      <c r="D15" s="417">
        <v>111171</v>
      </c>
      <c r="E15" s="418" t="s">
        <v>22</v>
      </c>
      <c r="F15" s="419">
        <f>SUMIF(N:N,D15,M:M)</f>
        <v>0</v>
      </c>
      <c r="G15" s="420">
        <v>0</v>
      </c>
      <c r="H15" s="420">
        <v>0</v>
      </c>
      <c r="I15" s="421">
        <v>0</v>
      </c>
      <c r="K15" s="423" t="s">
        <v>2095</v>
      </c>
      <c r="L15" s="424" t="s">
        <v>1</v>
      </c>
      <c r="M15" s="425">
        <v>20206929</v>
      </c>
      <c r="N15" s="396">
        <v>111151</v>
      </c>
      <c r="O15" s="396" t="s">
        <v>21</v>
      </c>
    </row>
    <row r="16" spans="4:15" ht="18" customHeight="1">
      <c r="D16" s="426"/>
      <c r="E16" s="261" t="s">
        <v>23</v>
      </c>
      <c r="F16" s="411">
        <f>SUM(F17:F31)</f>
        <v>10976000</v>
      </c>
      <c r="G16" s="412">
        <f>SUM(G17:G31)</f>
        <v>0</v>
      </c>
      <c r="H16" s="412">
        <f>SUM(H17:H31)</f>
        <v>10976000</v>
      </c>
      <c r="I16" s="413">
        <f>SUM(I17:I31)</f>
        <v>10976000</v>
      </c>
      <c r="K16" s="423" t="s">
        <v>2095</v>
      </c>
      <c r="L16" s="424" t="s">
        <v>1</v>
      </c>
      <c r="M16" s="425">
        <v>0</v>
      </c>
      <c r="N16" s="396"/>
      <c r="O16" s="396"/>
    </row>
    <row r="17" spans="4:15" ht="18" customHeight="1">
      <c r="D17" s="417">
        <v>111711</v>
      </c>
      <c r="E17" s="418" t="s">
        <v>24</v>
      </c>
      <c r="F17" s="419">
        <f t="shared" ref="F17:F31" si="0">SUMIF(N:N,D17,M:M)</f>
        <v>10976000</v>
      </c>
      <c r="G17" s="420">
        <v>0</v>
      </c>
      <c r="H17" s="420">
        <v>10976000</v>
      </c>
      <c r="I17" s="421">
        <v>10976000</v>
      </c>
      <c r="K17" s="423" t="s">
        <v>2096</v>
      </c>
      <c r="L17" s="424" t="s">
        <v>2097</v>
      </c>
      <c r="M17" s="425">
        <v>10976000</v>
      </c>
      <c r="N17" s="396">
        <v>111711</v>
      </c>
      <c r="O17" s="396" t="s">
        <v>24</v>
      </c>
    </row>
    <row r="18" spans="4:15" ht="18" customHeight="1">
      <c r="D18" s="417">
        <v>111712</v>
      </c>
      <c r="E18" s="418" t="s">
        <v>25</v>
      </c>
      <c r="F18" s="419">
        <f t="shared" si="0"/>
        <v>0</v>
      </c>
      <c r="G18" s="420">
        <v>0</v>
      </c>
      <c r="H18" s="420">
        <v>0</v>
      </c>
      <c r="I18" s="421">
        <v>0</v>
      </c>
      <c r="K18" s="423" t="s">
        <v>639</v>
      </c>
      <c r="L18" s="424" t="s">
        <v>2098</v>
      </c>
      <c r="M18" s="425">
        <v>0</v>
      </c>
      <c r="N18" s="396"/>
      <c r="O18" s="396"/>
    </row>
    <row r="19" spans="4:15" ht="18" customHeight="1">
      <c r="D19" s="417">
        <v>111731</v>
      </c>
      <c r="E19" s="418" t="s">
        <v>26</v>
      </c>
      <c r="F19" s="419">
        <f t="shared" si="0"/>
        <v>0</v>
      </c>
      <c r="G19" s="420">
        <v>0</v>
      </c>
      <c r="H19" s="420">
        <v>0</v>
      </c>
      <c r="I19" s="421">
        <v>0</v>
      </c>
      <c r="K19" s="423" t="s">
        <v>2099</v>
      </c>
      <c r="L19" s="424" t="s">
        <v>2100</v>
      </c>
      <c r="M19" s="425">
        <v>7493000</v>
      </c>
      <c r="N19" s="396">
        <v>112511</v>
      </c>
      <c r="O19" s="396" t="s">
        <v>60</v>
      </c>
    </row>
    <row r="20" spans="4:15" ht="18" customHeight="1">
      <c r="D20" s="417">
        <v>111732</v>
      </c>
      <c r="E20" s="418" t="s">
        <v>27</v>
      </c>
      <c r="F20" s="419">
        <f t="shared" si="0"/>
        <v>0</v>
      </c>
      <c r="G20" s="420">
        <v>0</v>
      </c>
      <c r="H20" s="420">
        <v>0</v>
      </c>
      <c r="I20" s="421">
        <v>0</v>
      </c>
      <c r="K20" s="423" t="s">
        <v>641</v>
      </c>
      <c r="L20" s="424" t="s">
        <v>2100</v>
      </c>
      <c r="M20" s="425">
        <v>0</v>
      </c>
      <c r="N20" s="396"/>
      <c r="O20" s="396"/>
    </row>
    <row r="21" spans="4:15" ht="18" customHeight="1">
      <c r="D21" s="417">
        <v>111761</v>
      </c>
      <c r="E21" s="418" t="s">
        <v>28</v>
      </c>
      <c r="F21" s="419">
        <f t="shared" si="0"/>
        <v>0</v>
      </c>
      <c r="G21" s="420">
        <v>0</v>
      </c>
      <c r="H21" s="420">
        <v>0</v>
      </c>
      <c r="I21" s="421">
        <v>0</v>
      </c>
      <c r="K21" s="423" t="s">
        <v>2101</v>
      </c>
      <c r="L21" s="424" t="s">
        <v>2100</v>
      </c>
      <c r="M21" s="425">
        <v>0</v>
      </c>
      <c r="N21" s="396"/>
      <c r="O21" s="396"/>
    </row>
    <row r="22" spans="4:15" ht="18" customHeight="1">
      <c r="D22" s="417">
        <v>111762</v>
      </c>
      <c r="E22" s="418" t="s">
        <v>29</v>
      </c>
      <c r="F22" s="419">
        <f t="shared" si="0"/>
        <v>0</v>
      </c>
      <c r="G22" s="420">
        <v>0</v>
      </c>
      <c r="H22" s="420">
        <v>0</v>
      </c>
      <c r="I22" s="421">
        <v>0</v>
      </c>
      <c r="K22" s="423" t="s">
        <v>2102</v>
      </c>
      <c r="L22" s="424" t="s">
        <v>2103</v>
      </c>
      <c r="M22" s="425">
        <v>0</v>
      </c>
      <c r="N22" s="396">
        <v>113100</v>
      </c>
      <c r="O22" s="396" t="s">
        <v>52</v>
      </c>
    </row>
    <row r="23" spans="4:15" ht="18" customHeight="1">
      <c r="D23" s="417">
        <v>111763</v>
      </c>
      <c r="E23" s="418" t="s">
        <v>30</v>
      </c>
      <c r="F23" s="419">
        <f t="shared" si="0"/>
        <v>0</v>
      </c>
      <c r="G23" s="420">
        <v>0</v>
      </c>
      <c r="H23" s="420">
        <v>0</v>
      </c>
      <c r="I23" s="421">
        <v>0</v>
      </c>
      <c r="K23" s="427" t="s">
        <v>2104</v>
      </c>
      <c r="L23" s="424" t="s">
        <v>2098</v>
      </c>
      <c r="M23" s="425"/>
      <c r="N23" s="396">
        <v>113310</v>
      </c>
      <c r="O23" s="396" t="s">
        <v>37</v>
      </c>
    </row>
    <row r="24" spans="4:15" ht="18" customHeight="1">
      <c r="D24" s="417">
        <v>111910</v>
      </c>
      <c r="E24" s="418" t="s">
        <v>31</v>
      </c>
      <c r="F24" s="419">
        <f t="shared" si="0"/>
        <v>0</v>
      </c>
      <c r="G24" s="420">
        <v>0</v>
      </c>
      <c r="H24" s="420">
        <v>0</v>
      </c>
      <c r="I24" s="421">
        <v>0</v>
      </c>
      <c r="K24" s="422" t="s">
        <v>2105</v>
      </c>
      <c r="L24" s="415"/>
      <c r="M24" s="416">
        <v>0</v>
      </c>
      <c r="N24" s="396"/>
      <c r="O24" s="396"/>
    </row>
    <row r="25" spans="4:15" ht="18" customHeight="1">
      <c r="D25" s="417" t="s">
        <v>1688</v>
      </c>
      <c r="E25" s="418" t="s">
        <v>2106</v>
      </c>
      <c r="F25" s="419">
        <f t="shared" si="0"/>
        <v>0</v>
      </c>
      <c r="G25" s="420">
        <v>0</v>
      </c>
      <c r="H25" s="420">
        <v>0</v>
      </c>
      <c r="I25" s="421">
        <v>0</v>
      </c>
      <c r="K25" s="423" t="s">
        <v>45</v>
      </c>
      <c r="L25" s="424" t="s">
        <v>2107</v>
      </c>
      <c r="M25" s="425">
        <v>0</v>
      </c>
      <c r="N25" s="396"/>
      <c r="O25" s="396"/>
    </row>
    <row r="26" spans="4:15" ht="18" customHeight="1">
      <c r="D26" s="417">
        <v>112111</v>
      </c>
      <c r="E26" s="418" t="s">
        <v>32</v>
      </c>
      <c r="F26" s="419">
        <f t="shared" si="0"/>
        <v>0</v>
      </c>
      <c r="G26" s="420">
        <v>0</v>
      </c>
      <c r="H26" s="420">
        <v>0</v>
      </c>
      <c r="I26" s="421">
        <v>0</v>
      </c>
      <c r="K26" s="423" t="s">
        <v>2108</v>
      </c>
      <c r="L26" s="424" t="s">
        <v>2107</v>
      </c>
      <c r="M26" s="425">
        <v>0</v>
      </c>
      <c r="N26" s="396"/>
      <c r="O26" s="396"/>
    </row>
    <row r="27" spans="4:15" ht="18" customHeight="1">
      <c r="D27" s="417">
        <v>112113</v>
      </c>
      <c r="E27" s="418" t="s">
        <v>33</v>
      </c>
      <c r="F27" s="419">
        <f t="shared" si="0"/>
        <v>0</v>
      </c>
      <c r="G27" s="420">
        <v>0</v>
      </c>
      <c r="H27" s="420">
        <v>0</v>
      </c>
      <c r="I27" s="421">
        <v>0</v>
      </c>
      <c r="K27" s="423" t="s">
        <v>49</v>
      </c>
      <c r="L27" s="424" t="s">
        <v>2107</v>
      </c>
      <c r="M27" s="425">
        <v>0</v>
      </c>
      <c r="N27" s="396"/>
      <c r="O27" s="396"/>
    </row>
    <row r="28" spans="4:15" ht="18" customHeight="1">
      <c r="D28" s="417">
        <v>112115</v>
      </c>
      <c r="E28" s="418" t="s">
        <v>34</v>
      </c>
      <c r="F28" s="419">
        <f t="shared" si="0"/>
        <v>0</v>
      </c>
      <c r="G28" s="420">
        <v>0</v>
      </c>
      <c r="H28" s="420">
        <v>0</v>
      </c>
      <c r="I28" s="421">
        <v>0</v>
      </c>
      <c r="K28" s="423" t="s">
        <v>2109</v>
      </c>
      <c r="L28" s="424" t="s">
        <v>2107</v>
      </c>
      <c r="M28" s="425">
        <v>0</v>
      </c>
      <c r="N28" s="396"/>
      <c r="O28" s="396"/>
    </row>
    <row r="29" spans="4:15" ht="18" customHeight="1">
      <c r="D29" s="417">
        <v>112116</v>
      </c>
      <c r="E29" s="418" t="s">
        <v>35</v>
      </c>
      <c r="F29" s="419">
        <f t="shared" si="0"/>
        <v>0</v>
      </c>
      <c r="G29" s="420">
        <v>0</v>
      </c>
      <c r="H29" s="420">
        <v>0</v>
      </c>
      <c r="I29" s="421">
        <v>0</v>
      </c>
      <c r="K29" s="423" t="s">
        <v>47</v>
      </c>
      <c r="L29" s="424" t="s">
        <v>2107</v>
      </c>
      <c r="M29" s="425">
        <v>0</v>
      </c>
      <c r="N29" s="396"/>
      <c r="O29" s="396"/>
    </row>
    <row r="30" spans="4:15" ht="18" customHeight="1">
      <c r="D30" s="417">
        <v>112300</v>
      </c>
      <c r="E30" s="418" t="s">
        <v>36</v>
      </c>
      <c r="F30" s="419">
        <f t="shared" si="0"/>
        <v>0</v>
      </c>
      <c r="G30" s="420">
        <v>0</v>
      </c>
      <c r="H30" s="420">
        <v>0</v>
      </c>
      <c r="I30" s="421">
        <v>0</v>
      </c>
      <c r="K30" s="414" t="s">
        <v>2110</v>
      </c>
      <c r="L30" s="415"/>
      <c r="M30" s="416">
        <v>20000000</v>
      </c>
      <c r="N30" s="396"/>
      <c r="O30" s="396"/>
    </row>
    <row r="31" spans="4:15" ht="18" customHeight="1">
      <c r="D31" s="417">
        <v>113310</v>
      </c>
      <c r="E31" s="418" t="s">
        <v>37</v>
      </c>
      <c r="F31" s="419">
        <f t="shared" si="0"/>
        <v>0</v>
      </c>
      <c r="G31" s="420">
        <v>0</v>
      </c>
      <c r="H31" s="420">
        <v>0</v>
      </c>
      <c r="I31" s="421">
        <v>0</v>
      </c>
      <c r="K31" s="422" t="s">
        <v>2111</v>
      </c>
      <c r="L31" s="415"/>
      <c r="M31" s="416">
        <v>0</v>
      </c>
      <c r="N31" s="396"/>
      <c r="O31" s="396"/>
    </row>
    <row r="32" spans="4:15" ht="18" customHeight="1">
      <c r="D32" s="426"/>
      <c r="E32" s="261" t="s">
        <v>38</v>
      </c>
      <c r="F32" s="411">
        <f>SUM(F33:F36)</f>
        <v>0</v>
      </c>
      <c r="G32" s="412">
        <f>SUM(G33:G36)</f>
        <v>0</v>
      </c>
      <c r="H32" s="412">
        <f>SUM(H33:H36)</f>
        <v>0</v>
      </c>
      <c r="I32" s="413">
        <f>SUM(I33:I36)</f>
        <v>0</v>
      </c>
      <c r="K32" s="423" t="s">
        <v>2112</v>
      </c>
      <c r="L32" s="424" t="s">
        <v>2113</v>
      </c>
      <c r="M32" s="425">
        <v>0</v>
      </c>
      <c r="N32" s="396"/>
      <c r="O32" s="396"/>
    </row>
    <row r="33" spans="4:15" ht="18" customHeight="1">
      <c r="D33" s="417">
        <v>111391</v>
      </c>
      <c r="E33" s="418" t="s">
        <v>39</v>
      </c>
      <c r="F33" s="419">
        <f>SUMIF(N:N,D33,M:M)</f>
        <v>0</v>
      </c>
      <c r="G33" s="420">
        <v>0</v>
      </c>
      <c r="H33" s="420">
        <v>0</v>
      </c>
      <c r="I33" s="421">
        <v>0</v>
      </c>
      <c r="K33" s="423"/>
      <c r="L33" s="424"/>
      <c r="M33" s="425"/>
      <c r="N33" s="396"/>
      <c r="O33" s="396"/>
    </row>
    <row r="34" spans="4:15" ht="18" customHeight="1">
      <c r="D34" s="417">
        <v>111410</v>
      </c>
      <c r="E34" s="418" t="s">
        <v>40</v>
      </c>
      <c r="F34" s="419">
        <f>SUMIF(N:N,D34,M:M)</f>
        <v>0</v>
      </c>
      <c r="G34" s="420">
        <v>0</v>
      </c>
      <c r="H34" s="420">
        <v>0</v>
      </c>
      <c r="I34" s="421">
        <v>0</v>
      </c>
      <c r="K34" s="422" t="s">
        <v>2114</v>
      </c>
      <c r="L34" s="415"/>
      <c r="M34" s="416">
        <v>0</v>
      </c>
      <c r="N34" s="396"/>
      <c r="O34" s="396"/>
    </row>
    <row r="35" spans="4:15" ht="18" customHeight="1">
      <c r="D35" s="417" t="s">
        <v>219</v>
      </c>
      <c r="E35" s="418" t="s">
        <v>41</v>
      </c>
      <c r="F35" s="419">
        <f>SUMIF(N:N,D35,M:M)</f>
        <v>0</v>
      </c>
      <c r="G35" s="420">
        <v>0</v>
      </c>
      <c r="H35" s="420">
        <v>0</v>
      </c>
      <c r="I35" s="421">
        <v>0</v>
      </c>
      <c r="K35" s="423" t="s">
        <v>2115</v>
      </c>
      <c r="L35" s="424" t="s">
        <v>2116</v>
      </c>
      <c r="M35" s="425">
        <v>0</v>
      </c>
      <c r="N35" s="396"/>
      <c r="O35" s="396"/>
    </row>
    <row r="36" spans="4:15" ht="18" customHeight="1">
      <c r="D36" s="417" t="s">
        <v>220</v>
      </c>
      <c r="E36" s="418" t="s">
        <v>42</v>
      </c>
      <c r="F36" s="419">
        <f>SUMIF(N:N,D36,M:M)</f>
        <v>0</v>
      </c>
      <c r="G36" s="420">
        <v>0</v>
      </c>
      <c r="H36" s="420">
        <v>0</v>
      </c>
      <c r="I36" s="421">
        <v>0</v>
      </c>
      <c r="K36" s="423" t="s">
        <v>2117</v>
      </c>
      <c r="L36" s="424" t="s">
        <v>2116</v>
      </c>
      <c r="M36" s="425">
        <v>0</v>
      </c>
      <c r="N36" s="396"/>
      <c r="O36" s="396"/>
    </row>
    <row r="37" spans="4:15" ht="18" customHeight="1">
      <c r="D37" s="426"/>
      <c r="E37" s="261" t="s">
        <v>2</v>
      </c>
      <c r="F37" s="411">
        <f>SUM(F38:F46)</f>
        <v>0</v>
      </c>
      <c r="G37" s="412">
        <f>SUM(G38:G46)</f>
        <v>0</v>
      </c>
      <c r="H37" s="412">
        <f>SUM(H38:H46)</f>
        <v>0</v>
      </c>
      <c r="I37" s="413">
        <f>SUM(I38:I46)</f>
        <v>0</v>
      </c>
      <c r="K37" s="423" t="s">
        <v>2118</v>
      </c>
      <c r="L37" s="424" t="s">
        <v>2116</v>
      </c>
      <c r="M37" s="425">
        <v>0</v>
      </c>
      <c r="N37" s="396"/>
      <c r="O37" s="396"/>
    </row>
    <row r="38" spans="4:15" ht="18" customHeight="1">
      <c r="D38" s="417">
        <v>115100</v>
      </c>
      <c r="E38" s="418" t="s">
        <v>43</v>
      </c>
      <c r="F38" s="419">
        <f t="shared" ref="F38:F46" si="1">SUMIF(N:N,D38,M:M)</f>
        <v>0</v>
      </c>
      <c r="G38" s="420">
        <v>0</v>
      </c>
      <c r="H38" s="420">
        <v>0</v>
      </c>
      <c r="I38" s="421">
        <v>0</v>
      </c>
      <c r="K38" s="423" t="s">
        <v>2119</v>
      </c>
      <c r="L38" s="424" t="s">
        <v>2116</v>
      </c>
      <c r="M38" s="425">
        <v>0</v>
      </c>
      <c r="N38" s="396"/>
      <c r="O38" s="396"/>
    </row>
    <row r="39" spans="4:15" ht="18" customHeight="1">
      <c r="D39" s="417">
        <v>115170</v>
      </c>
      <c r="E39" s="418" t="s">
        <v>44</v>
      </c>
      <c r="F39" s="419">
        <f t="shared" si="1"/>
        <v>0</v>
      </c>
      <c r="G39" s="420">
        <v>0</v>
      </c>
      <c r="H39" s="420">
        <v>0</v>
      </c>
      <c r="I39" s="421">
        <v>0</v>
      </c>
      <c r="K39" s="423" t="s">
        <v>2120</v>
      </c>
      <c r="L39" s="424"/>
      <c r="M39" s="425">
        <v>0</v>
      </c>
      <c r="N39" s="396"/>
      <c r="O39" s="396"/>
    </row>
    <row r="40" spans="4:15" ht="18" customHeight="1">
      <c r="D40" s="417">
        <v>115200</v>
      </c>
      <c r="E40" s="418" t="s">
        <v>45</v>
      </c>
      <c r="F40" s="419">
        <f t="shared" si="1"/>
        <v>0</v>
      </c>
      <c r="G40" s="420">
        <v>0</v>
      </c>
      <c r="H40" s="420">
        <v>0</v>
      </c>
      <c r="I40" s="421">
        <v>0</v>
      </c>
      <c r="K40" s="423" t="s">
        <v>84</v>
      </c>
      <c r="L40" s="424" t="s">
        <v>2116</v>
      </c>
      <c r="M40" s="425">
        <v>0</v>
      </c>
      <c r="N40" s="396"/>
      <c r="O40" s="396"/>
    </row>
    <row r="41" spans="4:15" ht="18" customHeight="1">
      <c r="D41" s="417">
        <v>115270</v>
      </c>
      <c r="E41" s="418" t="s">
        <v>46</v>
      </c>
      <c r="F41" s="419">
        <f t="shared" si="1"/>
        <v>0</v>
      </c>
      <c r="G41" s="420">
        <v>0</v>
      </c>
      <c r="H41" s="420">
        <v>0</v>
      </c>
      <c r="I41" s="421">
        <v>0</v>
      </c>
      <c r="K41" s="423" t="s">
        <v>2121</v>
      </c>
      <c r="L41" s="424" t="s">
        <v>2116</v>
      </c>
      <c r="M41" s="425">
        <v>0</v>
      </c>
      <c r="N41" s="396"/>
      <c r="O41" s="396"/>
    </row>
    <row r="42" spans="4:15" ht="18" customHeight="1">
      <c r="D42" s="417">
        <v>115300</v>
      </c>
      <c r="E42" s="418" t="s">
        <v>47</v>
      </c>
      <c r="F42" s="419">
        <f t="shared" si="1"/>
        <v>0</v>
      </c>
      <c r="G42" s="420">
        <v>0</v>
      </c>
      <c r="H42" s="420">
        <v>0</v>
      </c>
      <c r="I42" s="421">
        <v>0</v>
      </c>
      <c r="K42" s="423" t="s">
        <v>2122</v>
      </c>
      <c r="L42" s="424"/>
      <c r="M42" s="425">
        <v>0</v>
      </c>
      <c r="N42" s="396"/>
      <c r="O42" s="396"/>
    </row>
    <row r="43" spans="4:15" ht="18" customHeight="1">
      <c r="D43" s="417">
        <v>115350</v>
      </c>
      <c r="E43" s="418" t="s">
        <v>48</v>
      </c>
      <c r="F43" s="419">
        <f t="shared" si="1"/>
        <v>0</v>
      </c>
      <c r="G43" s="420">
        <v>0</v>
      </c>
      <c r="H43" s="420">
        <v>0</v>
      </c>
      <c r="I43" s="421">
        <v>0</v>
      </c>
      <c r="K43" s="423" t="s">
        <v>86</v>
      </c>
      <c r="L43" s="424" t="s">
        <v>2116</v>
      </c>
      <c r="M43" s="425">
        <v>0</v>
      </c>
      <c r="N43" s="396"/>
      <c r="O43" s="396"/>
    </row>
    <row r="44" spans="4:15" ht="18" customHeight="1">
      <c r="D44" s="417">
        <v>115400</v>
      </c>
      <c r="E44" s="418" t="s">
        <v>49</v>
      </c>
      <c r="F44" s="419">
        <f t="shared" si="1"/>
        <v>0</v>
      </c>
      <c r="G44" s="420">
        <v>0</v>
      </c>
      <c r="H44" s="420">
        <v>0</v>
      </c>
      <c r="I44" s="421">
        <v>0</v>
      </c>
      <c r="K44" s="423" t="s">
        <v>2123</v>
      </c>
      <c r="L44" s="424" t="s">
        <v>2116</v>
      </c>
      <c r="M44" s="425">
        <v>0</v>
      </c>
      <c r="N44" s="396"/>
      <c r="O44" s="396"/>
    </row>
    <row r="45" spans="4:15" ht="18" customHeight="1">
      <c r="D45" s="417">
        <v>115470</v>
      </c>
      <c r="E45" s="418" t="s">
        <v>50</v>
      </c>
      <c r="F45" s="419">
        <f t="shared" si="1"/>
        <v>0</v>
      </c>
      <c r="G45" s="420">
        <v>0</v>
      </c>
      <c r="H45" s="420">
        <v>0</v>
      </c>
      <c r="I45" s="421">
        <v>0</v>
      </c>
      <c r="K45" s="423" t="s">
        <v>95</v>
      </c>
      <c r="L45" s="424" t="s">
        <v>2116</v>
      </c>
      <c r="M45" s="425">
        <v>0</v>
      </c>
      <c r="N45" s="396"/>
      <c r="O45" s="396"/>
    </row>
    <row r="46" spans="4:15" ht="18" customHeight="1">
      <c r="D46" s="417">
        <v>115800</v>
      </c>
      <c r="E46" s="418" t="s">
        <v>51</v>
      </c>
      <c r="F46" s="419">
        <f t="shared" si="1"/>
        <v>0</v>
      </c>
      <c r="G46" s="420">
        <v>0</v>
      </c>
      <c r="H46" s="420">
        <v>0</v>
      </c>
      <c r="I46" s="421">
        <v>0</v>
      </c>
      <c r="K46" s="423" t="s">
        <v>2124</v>
      </c>
      <c r="L46" s="424" t="s">
        <v>2116</v>
      </c>
      <c r="M46" s="425">
        <v>0</v>
      </c>
      <c r="N46" s="396"/>
      <c r="O46" s="396"/>
    </row>
    <row r="47" spans="4:15" ht="18" customHeight="1">
      <c r="D47" s="426"/>
      <c r="E47" s="261" t="s">
        <v>3</v>
      </c>
      <c r="F47" s="411">
        <f>SUM(F48:F51)</f>
        <v>0</v>
      </c>
      <c r="G47" s="412">
        <f>SUM(G48:G51)</f>
        <v>0</v>
      </c>
      <c r="H47" s="412">
        <f>SUM(H48:H51)</f>
        <v>0</v>
      </c>
      <c r="I47" s="413">
        <f>SUM(I48:I51)</f>
        <v>0</v>
      </c>
      <c r="K47" s="427" t="s">
        <v>2125</v>
      </c>
      <c r="L47" s="424" t="s">
        <v>2116</v>
      </c>
      <c r="M47" s="425">
        <v>0</v>
      </c>
      <c r="N47" s="396"/>
      <c r="O47" s="396"/>
    </row>
    <row r="48" spans="4:15" ht="18" customHeight="1">
      <c r="D48" s="417">
        <v>113100</v>
      </c>
      <c r="E48" s="418" t="s">
        <v>52</v>
      </c>
      <c r="F48" s="419">
        <f>SUMIF(N:N,D48,M:M)</f>
        <v>0</v>
      </c>
      <c r="G48" s="420">
        <v>0</v>
      </c>
      <c r="H48" s="420">
        <v>0</v>
      </c>
      <c r="I48" s="421">
        <v>0</v>
      </c>
      <c r="K48" s="427" t="s">
        <v>2126</v>
      </c>
      <c r="L48" s="424" t="s">
        <v>2116</v>
      </c>
      <c r="M48" s="425">
        <v>0</v>
      </c>
      <c r="N48" s="396"/>
      <c r="O48" s="396"/>
    </row>
    <row r="49" spans="4:15" ht="18" customHeight="1">
      <c r="D49" s="417">
        <v>113101</v>
      </c>
      <c r="E49" s="418" t="s">
        <v>53</v>
      </c>
      <c r="F49" s="419">
        <f>SUMIF(N:N,D49,M:M)</f>
        <v>0</v>
      </c>
      <c r="G49" s="420">
        <v>0</v>
      </c>
      <c r="H49" s="420">
        <v>0</v>
      </c>
      <c r="I49" s="421">
        <v>0</v>
      </c>
      <c r="K49" s="423" t="s">
        <v>2127</v>
      </c>
      <c r="L49" s="424" t="s">
        <v>2116</v>
      </c>
      <c r="M49" s="425">
        <v>0</v>
      </c>
      <c r="N49" s="396"/>
      <c r="O49" s="396"/>
    </row>
    <row r="50" spans="4:15" ht="18" customHeight="1">
      <c r="D50" s="417">
        <v>113160</v>
      </c>
      <c r="E50" s="418" t="s">
        <v>54</v>
      </c>
      <c r="F50" s="419">
        <f>SUMIF(N:N,D50,M:M)</f>
        <v>0</v>
      </c>
      <c r="G50" s="420">
        <v>0</v>
      </c>
      <c r="H50" s="420">
        <v>0</v>
      </c>
      <c r="I50" s="421">
        <v>0</v>
      </c>
      <c r="K50" s="423"/>
      <c r="L50" s="424"/>
      <c r="M50" s="425"/>
      <c r="N50" s="396"/>
      <c r="O50" s="396"/>
    </row>
    <row r="51" spans="4:15" ht="18" customHeight="1">
      <c r="D51" s="417">
        <v>113161</v>
      </c>
      <c r="E51" s="418" t="s">
        <v>55</v>
      </c>
      <c r="F51" s="419">
        <f>SUMIF(N:N,D51,M:M)</f>
        <v>0</v>
      </c>
      <c r="G51" s="420">
        <v>0</v>
      </c>
      <c r="H51" s="420">
        <v>0</v>
      </c>
      <c r="I51" s="421">
        <v>0</v>
      </c>
      <c r="K51" s="422" t="s">
        <v>2128</v>
      </c>
      <c r="L51" s="415"/>
      <c r="M51" s="416">
        <v>0</v>
      </c>
      <c r="N51" s="396"/>
      <c r="O51" s="396"/>
    </row>
    <row r="52" spans="4:15" ht="18" customHeight="1">
      <c r="D52" s="426"/>
      <c r="E52" s="261" t="s">
        <v>4</v>
      </c>
      <c r="F52" s="411">
        <f>SUM(F53:F65)</f>
        <v>7493000</v>
      </c>
      <c r="G52" s="412">
        <f>SUM(G53:G65)</f>
        <v>0</v>
      </c>
      <c r="H52" s="412">
        <f>SUM(H53:H65)</f>
        <v>7493000</v>
      </c>
      <c r="I52" s="413">
        <f>SUM(I53:I65)</f>
        <v>7493000</v>
      </c>
      <c r="K52" s="423" t="s">
        <v>2129</v>
      </c>
      <c r="L52" s="424" t="s">
        <v>6</v>
      </c>
      <c r="M52" s="425">
        <v>0</v>
      </c>
      <c r="N52" s="396"/>
      <c r="O52" s="396"/>
    </row>
    <row r="53" spans="4:15" ht="18" customHeight="1">
      <c r="D53" s="417">
        <v>112710</v>
      </c>
      <c r="E53" s="418" t="s">
        <v>56</v>
      </c>
      <c r="F53" s="419">
        <f t="shared" ref="F53:F65" si="2">SUMIF(N:N,D53,M:M)</f>
        <v>0</v>
      </c>
      <c r="G53" s="420">
        <v>0</v>
      </c>
      <c r="H53" s="420">
        <v>0</v>
      </c>
      <c r="I53" s="421">
        <v>0</v>
      </c>
      <c r="K53" s="423" t="s">
        <v>2130</v>
      </c>
      <c r="L53" s="424" t="s">
        <v>6</v>
      </c>
      <c r="M53" s="425">
        <v>0</v>
      </c>
      <c r="N53" s="396"/>
      <c r="O53" s="396"/>
    </row>
    <row r="54" spans="4:15" ht="18" customHeight="1">
      <c r="D54" s="417">
        <v>112720</v>
      </c>
      <c r="E54" s="418" t="s">
        <v>57</v>
      </c>
      <c r="F54" s="419">
        <f t="shared" si="2"/>
        <v>0</v>
      </c>
      <c r="G54" s="420">
        <v>0</v>
      </c>
      <c r="H54" s="420">
        <v>0</v>
      </c>
      <c r="I54" s="421">
        <v>0</v>
      </c>
      <c r="K54" s="423" t="s">
        <v>2131</v>
      </c>
      <c r="L54" s="424" t="s">
        <v>6</v>
      </c>
      <c r="M54" s="425">
        <v>0</v>
      </c>
      <c r="N54" s="396"/>
      <c r="O54" s="396"/>
    </row>
    <row r="55" spans="4:15" ht="18" customHeight="1">
      <c r="D55" s="417">
        <v>112730</v>
      </c>
      <c r="E55" s="418" t="s">
        <v>58</v>
      </c>
      <c r="F55" s="419">
        <f t="shared" si="2"/>
        <v>0</v>
      </c>
      <c r="G55" s="420">
        <v>0</v>
      </c>
      <c r="H55" s="420">
        <v>0</v>
      </c>
      <c r="I55" s="421">
        <v>0</v>
      </c>
      <c r="K55" s="423" t="s">
        <v>2132</v>
      </c>
      <c r="L55" s="424" t="s">
        <v>2133</v>
      </c>
      <c r="M55" s="425">
        <v>0</v>
      </c>
      <c r="N55" s="396"/>
      <c r="O55" s="396"/>
    </row>
    <row r="56" spans="4:15" ht="18" customHeight="1">
      <c r="D56" s="417">
        <v>113340</v>
      </c>
      <c r="E56" s="418" t="s">
        <v>59</v>
      </c>
      <c r="F56" s="419">
        <f t="shared" si="2"/>
        <v>0</v>
      </c>
      <c r="G56" s="420">
        <v>0</v>
      </c>
      <c r="H56" s="420">
        <v>0</v>
      </c>
      <c r="I56" s="421">
        <v>0</v>
      </c>
      <c r="K56" s="423"/>
      <c r="L56" s="424"/>
      <c r="M56" s="425"/>
      <c r="N56" s="396"/>
      <c r="O56" s="396"/>
    </row>
    <row r="57" spans="4:15" ht="18" customHeight="1">
      <c r="D57" s="417">
        <v>112511</v>
      </c>
      <c r="E57" s="418" t="s">
        <v>60</v>
      </c>
      <c r="F57" s="419">
        <f t="shared" si="2"/>
        <v>7493000</v>
      </c>
      <c r="G57" s="420">
        <v>0</v>
      </c>
      <c r="H57" s="420">
        <v>7493000</v>
      </c>
      <c r="I57" s="421">
        <v>7493000</v>
      </c>
      <c r="K57" s="422" t="s">
        <v>2134</v>
      </c>
      <c r="L57" s="415"/>
      <c r="M57" s="416">
        <v>20000000</v>
      </c>
      <c r="N57" s="396"/>
      <c r="O57" s="396"/>
    </row>
    <row r="58" spans="4:15" ht="18" customHeight="1">
      <c r="D58" s="417">
        <v>112521</v>
      </c>
      <c r="E58" s="418" t="s">
        <v>61</v>
      </c>
      <c r="F58" s="419">
        <f t="shared" si="2"/>
        <v>0</v>
      </c>
      <c r="G58" s="420">
        <v>0</v>
      </c>
      <c r="H58" s="420">
        <v>0</v>
      </c>
      <c r="I58" s="421">
        <v>0</v>
      </c>
      <c r="K58" s="423" t="s">
        <v>2135</v>
      </c>
      <c r="L58" s="424" t="s">
        <v>2136</v>
      </c>
      <c r="M58" s="425">
        <v>20000000</v>
      </c>
      <c r="N58" s="396">
        <v>121531</v>
      </c>
      <c r="O58" s="396" t="s">
        <v>75</v>
      </c>
    </row>
    <row r="59" spans="4:15" ht="18" customHeight="1">
      <c r="D59" s="417">
        <v>112522</v>
      </c>
      <c r="E59" s="418" t="s">
        <v>62</v>
      </c>
      <c r="F59" s="419">
        <f t="shared" si="2"/>
        <v>0</v>
      </c>
      <c r="G59" s="420">
        <v>0</v>
      </c>
      <c r="H59" s="420">
        <v>0</v>
      </c>
      <c r="I59" s="421">
        <v>0</v>
      </c>
      <c r="K59" s="423" t="s">
        <v>2137</v>
      </c>
      <c r="L59" s="424" t="s">
        <v>2137</v>
      </c>
      <c r="M59" s="425">
        <v>0</v>
      </c>
      <c r="N59" s="396"/>
      <c r="O59" s="396"/>
    </row>
    <row r="60" spans="4:15" ht="18" customHeight="1">
      <c r="D60" s="417">
        <v>112531</v>
      </c>
      <c r="E60" s="418" t="s">
        <v>63</v>
      </c>
      <c r="F60" s="419">
        <f t="shared" si="2"/>
        <v>0</v>
      </c>
      <c r="G60" s="420">
        <v>0</v>
      </c>
      <c r="H60" s="420">
        <v>0</v>
      </c>
      <c r="I60" s="421">
        <v>0</v>
      </c>
      <c r="K60" s="423" t="s">
        <v>2125</v>
      </c>
      <c r="L60" s="424" t="s">
        <v>2125</v>
      </c>
      <c r="M60" s="425">
        <v>0</v>
      </c>
      <c r="N60" s="396"/>
      <c r="O60" s="396"/>
    </row>
    <row r="61" spans="4:15" ht="18" customHeight="1">
      <c r="D61" s="417">
        <v>112533</v>
      </c>
      <c r="E61" s="418" t="s">
        <v>64</v>
      </c>
      <c r="F61" s="419">
        <f t="shared" si="2"/>
        <v>0</v>
      </c>
      <c r="G61" s="420">
        <v>0</v>
      </c>
      <c r="H61" s="420">
        <v>0</v>
      </c>
      <c r="I61" s="421">
        <v>0</v>
      </c>
      <c r="K61" s="423" t="s">
        <v>2138</v>
      </c>
      <c r="L61" s="424" t="s">
        <v>2113</v>
      </c>
      <c r="M61" s="425">
        <v>0</v>
      </c>
      <c r="N61" s="396"/>
      <c r="O61" s="396"/>
    </row>
    <row r="62" spans="4:15" ht="18" customHeight="1">
      <c r="D62" s="417">
        <v>112534</v>
      </c>
      <c r="E62" s="418" t="s">
        <v>65</v>
      </c>
      <c r="F62" s="419">
        <f t="shared" si="2"/>
        <v>0</v>
      </c>
      <c r="G62" s="420">
        <v>0</v>
      </c>
      <c r="H62" s="420">
        <v>0</v>
      </c>
      <c r="I62" s="421">
        <v>0</v>
      </c>
      <c r="K62" s="428" t="s">
        <v>2139</v>
      </c>
      <c r="L62" s="429"/>
      <c r="M62" s="430">
        <v>58675929</v>
      </c>
      <c r="N62" s="431"/>
      <c r="O62" s="431"/>
    </row>
    <row r="63" spans="4:15" ht="18" customHeight="1">
      <c r="D63" s="417">
        <v>112535</v>
      </c>
      <c r="E63" s="418" t="s">
        <v>66</v>
      </c>
      <c r="F63" s="419">
        <f t="shared" si="2"/>
        <v>0</v>
      </c>
      <c r="G63" s="420">
        <v>0</v>
      </c>
      <c r="H63" s="420">
        <v>0</v>
      </c>
      <c r="I63" s="421">
        <v>0</v>
      </c>
      <c r="K63" s="396"/>
      <c r="L63" s="424"/>
      <c r="M63" s="425"/>
      <c r="N63" s="396"/>
      <c r="O63" s="396"/>
    </row>
    <row r="64" spans="4:15" ht="18" customHeight="1">
      <c r="D64" s="417">
        <v>112900</v>
      </c>
      <c r="E64" s="418" t="s">
        <v>67</v>
      </c>
      <c r="F64" s="419">
        <f t="shared" si="2"/>
        <v>0</v>
      </c>
      <c r="G64" s="420">
        <v>0</v>
      </c>
      <c r="H64" s="420">
        <v>0</v>
      </c>
      <c r="I64" s="421">
        <v>0</v>
      </c>
      <c r="K64" s="407" t="s">
        <v>2140</v>
      </c>
      <c r="L64" s="424"/>
      <c r="M64" s="425"/>
      <c r="N64" s="396"/>
      <c r="O64" s="396"/>
    </row>
    <row r="65" spans="4:15" ht="18" customHeight="1">
      <c r="D65" s="417" t="s">
        <v>68</v>
      </c>
      <c r="E65" s="418" t="s">
        <v>69</v>
      </c>
      <c r="F65" s="419">
        <f t="shared" si="2"/>
        <v>0</v>
      </c>
      <c r="G65" s="420">
        <v>0</v>
      </c>
      <c r="H65" s="420">
        <v>0</v>
      </c>
      <c r="I65" s="421">
        <v>0</v>
      </c>
      <c r="K65" s="414" t="s">
        <v>1654</v>
      </c>
      <c r="L65" s="415"/>
      <c r="M65" s="416">
        <v>23206046</v>
      </c>
      <c r="N65" s="396"/>
      <c r="O65" s="396"/>
    </row>
    <row r="66" spans="4:15" ht="18" customHeight="1">
      <c r="D66" s="432"/>
      <c r="E66" s="260" t="s">
        <v>70</v>
      </c>
      <c r="F66" s="404">
        <f>SUM(F67,F72,F77,F80,F103,F124)</f>
        <v>20000000</v>
      </c>
      <c r="G66" s="405">
        <f>SUM(G67,G72,G77,G80,G103,G124)</f>
        <v>0</v>
      </c>
      <c r="H66" s="405">
        <f>SUM(H67,H72,H77,H80,H103,H124)</f>
        <v>20000000</v>
      </c>
      <c r="I66" s="406">
        <f>SUM(I67,I72,I77,I80,I103,I124)</f>
        <v>20000000</v>
      </c>
      <c r="K66" s="423" t="s">
        <v>651</v>
      </c>
      <c r="L66" s="424" t="s">
        <v>2141</v>
      </c>
      <c r="M66" s="425">
        <v>33957</v>
      </c>
      <c r="N66" s="396">
        <v>211111</v>
      </c>
      <c r="O66" s="396" t="s">
        <v>138</v>
      </c>
    </row>
    <row r="67" spans="4:15" ht="18" customHeight="1">
      <c r="D67" s="426"/>
      <c r="E67" s="261" t="s">
        <v>71</v>
      </c>
      <c r="F67" s="411">
        <f>SUM(F68:F71)</f>
        <v>20000000</v>
      </c>
      <c r="G67" s="412">
        <f>SUM(G68:G71)</f>
        <v>0</v>
      </c>
      <c r="H67" s="412">
        <f>SUM(H68:H71)</f>
        <v>20000000</v>
      </c>
      <c r="I67" s="413">
        <f>SUM(I68:I71)</f>
        <v>20000000</v>
      </c>
      <c r="K67" s="423" t="s">
        <v>653</v>
      </c>
      <c r="L67" s="424" t="s">
        <v>2142</v>
      </c>
      <c r="M67" s="425">
        <v>580200</v>
      </c>
      <c r="N67" s="396">
        <v>213100</v>
      </c>
      <c r="O67" s="396" t="s">
        <v>144</v>
      </c>
    </row>
    <row r="68" spans="4:15" ht="18" customHeight="1">
      <c r="D68" s="417">
        <v>121551</v>
      </c>
      <c r="E68" s="418" t="s">
        <v>72</v>
      </c>
      <c r="F68" s="419">
        <f>SUMIF(N:N,D68,M:M)</f>
        <v>0</v>
      </c>
      <c r="G68" s="420">
        <v>0</v>
      </c>
      <c r="H68" s="420">
        <v>0</v>
      </c>
      <c r="I68" s="421">
        <v>0</v>
      </c>
      <c r="K68" s="423" t="s">
        <v>655</v>
      </c>
      <c r="L68" s="424" t="s">
        <v>2143</v>
      </c>
      <c r="M68" s="425">
        <v>692280</v>
      </c>
      <c r="N68" s="396">
        <v>215900</v>
      </c>
      <c r="O68" s="396" t="s">
        <v>176</v>
      </c>
    </row>
    <row r="69" spans="4:15" ht="18" customHeight="1">
      <c r="D69" s="417">
        <v>121511</v>
      </c>
      <c r="E69" s="418" t="s">
        <v>73</v>
      </c>
      <c r="F69" s="419">
        <f>SUMIF(N:N,D69,M:M)</f>
        <v>0</v>
      </c>
      <c r="G69" s="420">
        <v>0</v>
      </c>
      <c r="H69" s="420">
        <v>0</v>
      </c>
      <c r="I69" s="421">
        <v>0</v>
      </c>
      <c r="K69" s="423" t="s">
        <v>179</v>
      </c>
      <c r="L69" s="424" t="s">
        <v>2143</v>
      </c>
      <c r="M69" s="425">
        <v>6355995</v>
      </c>
      <c r="N69" s="396">
        <v>219000</v>
      </c>
      <c r="O69" s="396" t="s">
        <v>179</v>
      </c>
    </row>
    <row r="70" spans="4:15" ht="18" customHeight="1">
      <c r="D70" s="417">
        <v>121532</v>
      </c>
      <c r="E70" s="418" t="s">
        <v>74</v>
      </c>
      <c r="F70" s="419">
        <f>SUMIF(N:N,D70,M:M)</f>
        <v>0</v>
      </c>
      <c r="G70" s="420">
        <v>0</v>
      </c>
      <c r="H70" s="420">
        <v>0</v>
      </c>
      <c r="I70" s="421">
        <v>0</v>
      </c>
      <c r="K70" s="423" t="s">
        <v>2144</v>
      </c>
      <c r="L70" s="424" t="s">
        <v>2143</v>
      </c>
      <c r="M70" s="425">
        <v>4118990</v>
      </c>
      <c r="N70" s="396">
        <v>214100</v>
      </c>
      <c r="O70" s="396" t="s">
        <v>163</v>
      </c>
    </row>
    <row r="71" spans="4:15" ht="18" customHeight="1">
      <c r="D71" s="417">
        <v>121531</v>
      </c>
      <c r="E71" s="418" t="s">
        <v>75</v>
      </c>
      <c r="F71" s="419">
        <f>SUMIF(N:N,D71,M:M)</f>
        <v>20000000</v>
      </c>
      <c r="G71" s="420">
        <v>0</v>
      </c>
      <c r="H71" s="420">
        <v>20000000</v>
      </c>
      <c r="I71" s="421">
        <v>20000000</v>
      </c>
      <c r="K71" s="423" t="s">
        <v>2145</v>
      </c>
      <c r="L71" s="424" t="s">
        <v>2143</v>
      </c>
      <c r="M71" s="425">
        <v>5580000</v>
      </c>
      <c r="N71" s="396">
        <v>214400</v>
      </c>
      <c r="O71" s="396" t="s">
        <v>168</v>
      </c>
    </row>
    <row r="72" spans="4:15" ht="18" customHeight="1">
      <c r="D72" s="426"/>
      <c r="E72" s="261" t="s">
        <v>76</v>
      </c>
      <c r="F72" s="411">
        <f>SUM(F73:F76)</f>
        <v>0</v>
      </c>
      <c r="G72" s="412">
        <f>SUM(G73:G76)</f>
        <v>0</v>
      </c>
      <c r="H72" s="412">
        <f>SUM(H73:H76)</f>
        <v>0</v>
      </c>
      <c r="I72" s="413">
        <f>SUM(I73:I76)</f>
        <v>0</v>
      </c>
      <c r="K72" s="423" t="s">
        <v>2146</v>
      </c>
      <c r="L72" s="424" t="s">
        <v>2147</v>
      </c>
      <c r="M72" s="425">
        <v>0</v>
      </c>
      <c r="N72" s="396">
        <v>212300</v>
      </c>
      <c r="O72" s="396" t="s">
        <v>157</v>
      </c>
    </row>
    <row r="73" spans="4:15" ht="18" customHeight="1">
      <c r="D73" s="417">
        <v>121410</v>
      </c>
      <c r="E73" s="418" t="s">
        <v>77</v>
      </c>
      <c r="F73" s="419">
        <f>SUMIF(N:N,D73,M:M)</f>
        <v>0</v>
      </c>
      <c r="G73" s="420">
        <v>0</v>
      </c>
      <c r="H73" s="420">
        <v>0</v>
      </c>
      <c r="I73" s="421">
        <v>0</v>
      </c>
      <c r="K73" s="423" t="s">
        <v>2148</v>
      </c>
      <c r="L73" s="424" t="s">
        <v>2147</v>
      </c>
      <c r="M73" s="425">
        <v>0</v>
      </c>
      <c r="N73" s="396"/>
      <c r="O73" s="396"/>
    </row>
    <row r="74" spans="4:15" ht="18" customHeight="1">
      <c r="D74" s="417" t="s">
        <v>221</v>
      </c>
      <c r="E74" s="418" t="s">
        <v>78</v>
      </c>
      <c r="F74" s="419">
        <f>SUMIF(N:N,D74,M:M)</f>
        <v>0</v>
      </c>
      <c r="G74" s="420">
        <v>0</v>
      </c>
      <c r="H74" s="420">
        <v>0</v>
      </c>
      <c r="I74" s="421">
        <v>0</v>
      </c>
      <c r="K74" s="423" t="s">
        <v>1645</v>
      </c>
      <c r="L74" s="424" t="s">
        <v>2149</v>
      </c>
      <c r="M74" s="425">
        <v>0</v>
      </c>
      <c r="N74" s="396"/>
      <c r="O74" s="396"/>
    </row>
    <row r="75" spans="4:15" ht="18" customHeight="1">
      <c r="D75" s="417" t="s">
        <v>222</v>
      </c>
      <c r="E75" s="418" t="s">
        <v>79</v>
      </c>
      <c r="F75" s="419">
        <f>SUMIF(N:N,D75,M:M)</f>
        <v>0</v>
      </c>
      <c r="G75" s="420">
        <v>0</v>
      </c>
      <c r="H75" s="420">
        <v>0</v>
      </c>
      <c r="I75" s="421">
        <v>0</v>
      </c>
      <c r="K75" s="423" t="s">
        <v>657</v>
      </c>
      <c r="L75" s="424" t="s">
        <v>2142</v>
      </c>
      <c r="M75" s="425">
        <v>3739624</v>
      </c>
      <c r="N75" s="396">
        <v>217900</v>
      </c>
      <c r="O75" s="396" t="s">
        <v>150</v>
      </c>
    </row>
    <row r="76" spans="4:15" ht="18" customHeight="1">
      <c r="D76" s="417" t="s">
        <v>223</v>
      </c>
      <c r="E76" s="418" t="s">
        <v>42</v>
      </c>
      <c r="F76" s="419">
        <f>SUMIF(N:N,D76,M:M)</f>
        <v>0</v>
      </c>
      <c r="G76" s="420">
        <v>0</v>
      </c>
      <c r="H76" s="420">
        <v>0</v>
      </c>
      <c r="I76" s="421">
        <v>0</v>
      </c>
      <c r="K76" s="423" t="s">
        <v>2150</v>
      </c>
      <c r="L76" s="424" t="s">
        <v>2142</v>
      </c>
      <c r="M76" s="425">
        <v>2105000</v>
      </c>
      <c r="N76" s="396">
        <v>212300</v>
      </c>
      <c r="O76" s="396" t="s">
        <v>157</v>
      </c>
    </row>
    <row r="77" spans="4:15" ht="18" customHeight="1">
      <c r="D77" s="426"/>
      <c r="E77" s="261" t="s">
        <v>80</v>
      </c>
      <c r="F77" s="411">
        <f>SUM(F78:F79)</f>
        <v>0</v>
      </c>
      <c r="G77" s="412">
        <f>SUM(G78:G79)</f>
        <v>0</v>
      </c>
      <c r="H77" s="412">
        <f>SUM(H78:H79)</f>
        <v>0</v>
      </c>
      <c r="I77" s="413">
        <f>SUM(I78:I79)</f>
        <v>0</v>
      </c>
      <c r="K77" s="423" t="s">
        <v>182</v>
      </c>
      <c r="L77" s="424" t="s">
        <v>2151</v>
      </c>
      <c r="M77" s="425">
        <v>0</v>
      </c>
      <c r="N77" s="396"/>
      <c r="O77" s="396"/>
    </row>
    <row r="78" spans="4:15" ht="18" customHeight="1">
      <c r="D78" s="417">
        <v>900019</v>
      </c>
      <c r="E78" s="418" t="s">
        <v>81</v>
      </c>
      <c r="F78" s="419">
        <f>SUMIF(N:N,D78,M:M)</f>
        <v>0</v>
      </c>
      <c r="G78" s="420">
        <v>0</v>
      </c>
      <c r="H78" s="420">
        <v>0</v>
      </c>
      <c r="I78" s="421">
        <v>0</v>
      </c>
      <c r="K78" s="423"/>
      <c r="L78" s="424"/>
      <c r="M78" s="425"/>
      <c r="N78" s="396"/>
      <c r="O78" s="396"/>
    </row>
    <row r="79" spans="4:15" ht="18" customHeight="1">
      <c r="D79" s="417" t="s">
        <v>82</v>
      </c>
      <c r="E79" s="418" t="s">
        <v>83</v>
      </c>
      <c r="F79" s="419">
        <f>SUMIF(N:N,D79,M:M)</f>
        <v>0</v>
      </c>
      <c r="G79" s="420">
        <v>0</v>
      </c>
      <c r="H79" s="420">
        <v>0</v>
      </c>
      <c r="I79" s="421">
        <v>0</v>
      </c>
      <c r="K79" s="414" t="s">
        <v>1657</v>
      </c>
      <c r="L79" s="415"/>
      <c r="M79" s="416">
        <v>0</v>
      </c>
      <c r="N79" s="396"/>
      <c r="O79" s="396"/>
    </row>
    <row r="80" spans="4:15" ht="18" customHeight="1">
      <c r="D80" s="426"/>
      <c r="E80" s="261" t="s">
        <v>5</v>
      </c>
      <c r="F80" s="411">
        <f>SUM(F81:F102)</f>
        <v>0</v>
      </c>
      <c r="G80" s="412">
        <f>SUM(G81:G102)</f>
        <v>0</v>
      </c>
      <c r="H80" s="412">
        <f>SUM(H81:H102)</f>
        <v>0</v>
      </c>
      <c r="I80" s="413">
        <f>SUM(I81:I102)</f>
        <v>0</v>
      </c>
      <c r="K80" s="423" t="s">
        <v>2152</v>
      </c>
      <c r="L80" s="424" t="s">
        <v>2153</v>
      </c>
      <c r="M80" s="425">
        <v>0</v>
      </c>
      <c r="N80" s="396"/>
      <c r="O80" s="396"/>
    </row>
    <row r="81" spans="4:15" ht="18" customHeight="1">
      <c r="D81" s="417">
        <v>123700</v>
      </c>
      <c r="E81" s="418" t="s">
        <v>84</v>
      </c>
      <c r="F81" s="419">
        <f t="shared" ref="F81:F102" si="3">SUMIF(N:N,D81,M:M)</f>
        <v>0</v>
      </c>
      <c r="G81" s="420">
        <v>0</v>
      </c>
      <c r="H81" s="420">
        <v>0</v>
      </c>
      <c r="I81" s="421">
        <v>0</v>
      </c>
      <c r="K81" s="423" t="s">
        <v>2154</v>
      </c>
      <c r="L81" s="424" t="s">
        <v>2153</v>
      </c>
      <c r="M81" s="425">
        <v>0</v>
      </c>
      <c r="N81" s="396"/>
      <c r="O81" s="396"/>
    </row>
    <row r="82" spans="4:15" ht="18" customHeight="1">
      <c r="D82" s="417">
        <v>123750</v>
      </c>
      <c r="E82" s="418" t="s">
        <v>85</v>
      </c>
      <c r="F82" s="419">
        <f t="shared" si="3"/>
        <v>0</v>
      </c>
      <c r="G82" s="420">
        <v>0</v>
      </c>
      <c r="H82" s="420">
        <v>0</v>
      </c>
      <c r="I82" s="421">
        <v>0</v>
      </c>
      <c r="K82" s="423" t="s">
        <v>2155</v>
      </c>
      <c r="L82" s="424" t="s">
        <v>2156</v>
      </c>
      <c r="M82" s="425">
        <v>0</v>
      </c>
      <c r="N82" s="396"/>
      <c r="O82" s="396"/>
    </row>
    <row r="83" spans="4:15" ht="18" customHeight="1">
      <c r="D83" s="417">
        <v>123900</v>
      </c>
      <c r="E83" s="418" t="s">
        <v>86</v>
      </c>
      <c r="F83" s="419">
        <f t="shared" si="3"/>
        <v>0</v>
      </c>
      <c r="G83" s="420">
        <v>0</v>
      </c>
      <c r="H83" s="420">
        <v>0</v>
      </c>
      <c r="I83" s="421">
        <v>0</v>
      </c>
      <c r="K83" s="423" t="s">
        <v>2157</v>
      </c>
      <c r="L83" s="424" t="s">
        <v>2156</v>
      </c>
      <c r="M83" s="425">
        <v>0</v>
      </c>
      <c r="N83" s="396"/>
      <c r="O83" s="396"/>
    </row>
    <row r="84" spans="4:15" ht="18" customHeight="1">
      <c r="D84" s="417">
        <v>123950</v>
      </c>
      <c r="E84" s="418" t="s">
        <v>87</v>
      </c>
      <c r="F84" s="419">
        <f t="shared" si="3"/>
        <v>0</v>
      </c>
      <c r="G84" s="420">
        <v>0</v>
      </c>
      <c r="H84" s="420">
        <v>0</v>
      </c>
      <c r="I84" s="421">
        <v>0</v>
      </c>
      <c r="K84" s="423" t="s">
        <v>2158</v>
      </c>
      <c r="L84" s="424" t="s">
        <v>2159</v>
      </c>
      <c r="M84" s="425">
        <v>0</v>
      </c>
      <c r="N84" s="396"/>
      <c r="O84" s="396"/>
    </row>
    <row r="85" spans="4:15" ht="18" customHeight="1">
      <c r="D85" s="417">
        <v>123960</v>
      </c>
      <c r="E85" s="418" t="s">
        <v>88</v>
      </c>
      <c r="F85" s="419">
        <f t="shared" si="3"/>
        <v>0</v>
      </c>
      <c r="G85" s="420">
        <v>0</v>
      </c>
      <c r="H85" s="420">
        <v>0</v>
      </c>
      <c r="I85" s="421">
        <v>0</v>
      </c>
      <c r="K85" s="423" t="s">
        <v>664</v>
      </c>
      <c r="L85" s="424" t="s">
        <v>2160</v>
      </c>
      <c r="M85" s="425">
        <v>0</v>
      </c>
      <c r="N85" s="396" t="s">
        <v>2161</v>
      </c>
      <c r="O85" s="396" t="s">
        <v>484</v>
      </c>
    </row>
    <row r="86" spans="4:15" ht="18" customHeight="1">
      <c r="D86" s="417">
        <v>124000</v>
      </c>
      <c r="E86" s="418" t="s">
        <v>89</v>
      </c>
      <c r="F86" s="419">
        <f t="shared" si="3"/>
        <v>0</v>
      </c>
      <c r="G86" s="420">
        <v>0</v>
      </c>
      <c r="H86" s="420">
        <v>0</v>
      </c>
      <c r="I86" s="421">
        <v>0</v>
      </c>
      <c r="K86" s="423" t="s">
        <v>189</v>
      </c>
      <c r="L86" s="424" t="s">
        <v>2151</v>
      </c>
      <c r="M86" s="425">
        <v>0</v>
      </c>
      <c r="N86" s="396"/>
      <c r="O86" s="396"/>
    </row>
    <row r="87" spans="4:15" ht="18" customHeight="1">
      <c r="D87" s="417">
        <v>124050</v>
      </c>
      <c r="E87" s="418" t="s">
        <v>90</v>
      </c>
      <c r="F87" s="419">
        <f t="shared" si="3"/>
        <v>0</v>
      </c>
      <c r="G87" s="420">
        <v>0</v>
      </c>
      <c r="H87" s="420">
        <v>0</v>
      </c>
      <c r="I87" s="421">
        <v>0</v>
      </c>
      <c r="K87" s="423"/>
      <c r="L87" s="424"/>
      <c r="M87" s="425"/>
      <c r="N87" s="396"/>
      <c r="O87" s="396"/>
    </row>
    <row r="88" spans="4:15" ht="18" customHeight="1">
      <c r="D88" s="417">
        <v>124160</v>
      </c>
      <c r="E88" s="418" t="s">
        <v>91</v>
      </c>
      <c r="F88" s="419">
        <f t="shared" si="3"/>
        <v>0</v>
      </c>
      <c r="G88" s="420">
        <v>0</v>
      </c>
      <c r="H88" s="420">
        <v>0</v>
      </c>
      <c r="I88" s="421">
        <v>0</v>
      </c>
      <c r="K88" s="428" t="s">
        <v>2162</v>
      </c>
      <c r="L88" s="429"/>
      <c r="M88" s="430">
        <v>23206046</v>
      </c>
      <c r="N88" s="407"/>
      <c r="O88" s="407"/>
    </row>
    <row r="89" spans="4:15" ht="18" customHeight="1">
      <c r="D89" s="417">
        <v>124200</v>
      </c>
      <c r="E89" s="418" t="s">
        <v>92</v>
      </c>
      <c r="F89" s="419">
        <f t="shared" si="3"/>
        <v>0</v>
      </c>
      <c r="G89" s="420">
        <v>0</v>
      </c>
      <c r="H89" s="420">
        <v>0</v>
      </c>
      <c r="I89" s="421">
        <v>0</v>
      </c>
      <c r="K89" s="407"/>
      <c r="L89" s="424"/>
      <c r="M89" s="425"/>
      <c r="N89" s="396"/>
      <c r="O89" s="396"/>
    </row>
    <row r="90" spans="4:15" ht="18" customHeight="1">
      <c r="D90" s="417">
        <v>124250</v>
      </c>
      <c r="E90" s="418" t="s">
        <v>93</v>
      </c>
      <c r="F90" s="419">
        <f t="shared" si="3"/>
        <v>0</v>
      </c>
      <c r="G90" s="420">
        <v>0</v>
      </c>
      <c r="H90" s="420">
        <v>0</v>
      </c>
      <c r="I90" s="421">
        <v>0</v>
      </c>
      <c r="K90" s="407" t="s">
        <v>2163</v>
      </c>
      <c r="L90" s="424"/>
      <c r="M90" s="425"/>
      <c r="N90" s="396"/>
      <c r="O90" s="396"/>
    </row>
    <row r="91" spans="4:15" ht="18" customHeight="1">
      <c r="D91" s="417">
        <v>124260</v>
      </c>
      <c r="E91" s="418" t="s">
        <v>94</v>
      </c>
      <c r="F91" s="419">
        <f t="shared" si="3"/>
        <v>0</v>
      </c>
      <c r="G91" s="420">
        <v>0</v>
      </c>
      <c r="H91" s="420">
        <v>0</v>
      </c>
      <c r="I91" s="421">
        <v>0</v>
      </c>
      <c r="K91" s="414" t="s">
        <v>2164</v>
      </c>
      <c r="L91" s="415"/>
      <c r="M91" s="416">
        <v>5000000</v>
      </c>
      <c r="N91" s="396"/>
      <c r="O91" s="396"/>
    </row>
    <row r="92" spans="4:15" ht="18" customHeight="1">
      <c r="D92" s="417">
        <v>124300</v>
      </c>
      <c r="E92" s="418" t="s">
        <v>95</v>
      </c>
      <c r="F92" s="419">
        <f t="shared" si="3"/>
        <v>0</v>
      </c>
      <c r="G92" s="420">
        <v>0</v>
      </c>
      <c r="H92" s="420">
        <v>0</v>
      </c>
      <c r="I92" s="421">
        <v>0</v>
      </c>
      <c r="J92" s="5"/>
      <c r="K92" s="423" t="s">
        <v>2165</v>
      </c>
      <c r="L92" s="424" t="s">
        <v>2166</v>
      </c>
      <c r="M92" s="425">
        <v>5000000</v>
      </c>
      <c r="N92" s="396">
        <v>310100</v>
      </c>
      <c r="O92" s="396" t="s">
        <v>190</v>
      </c>
    </row>
    <row r="93" spans="4:15" ht="18" customHeight="1">
      <c r="D93" s="417">
        <v>124350</v>
      </c>
      <c r="E93" s="418" t="s">
        <v>96</v>
      </c>
      <c r="F93" s="419">
        <f t="shared" si="3"/>
        <v>0</v>
      </c>
      <c r="G93" s="420">
        <v>0</v>
      </c>
      <c r="H93" s="420">
        <v>0</v>
      </c>
      <c r="I93" s="421">
        <v>0</v>
      </c>
      <c r="J93" s="5"/>
      <c r="K93" s="423"/>
      <c r="L93" s="424"/>
      <c r="M93" s="425"/>
      <c r="N93" s="396"/>
      <c r="O93" s="396"/>
    </row>
    <row r="94" spans="4:15" ht="18" customHeight="1">
      <c r="D94" s="417">
        <v>124360</v>
      </c>
      <c r="E94" s="418" t="s">
        <v>97</v>
      </c>
      <c r="F94" s="419">
        <f t="shared" si="3"/>
        <v>0</v>
      </c>
      <c r="G94" s="420">
        <v>0</v>
      </c>
      <c r="H94" s="420">
        <v>0</v>
      </c>
      <c r="I94" s="421">
        <v>0</v>
      </c>
      <c r="K94" s="414" t="s">
        <v>2167</v>
      </c>
      <c r="L94" s="424"/>
      <c r="M94" s="416">
        <v>0</v>
      </c>
      <c r="N94" s="396"/>
      <c r="O94" s="396"/>
    </row>
    <row r="95" spans="4:15" ht="18" customHeight="1">
      <c r="D95" s="417">
        <v>124400</v>
      </c>
      <c r="E95" s="418" t="s">
        <v>98</v>
      </c>
      <c r="F95" s="419">
        <f t="shared" si="3"/>
        <v>0</v>
      </c>
      <c r="G95" s="420">
        <v>0</v>
      </c>
      <c r="H95" s="420">
        <v>0</v>
      </c>
      <c r="I95" s="421">
        <v>0</v>
      </c>
      <c r="K95" s="423" t="s">
        <v>2168</v>
      </c>
      <c r="L95" s="424" t="s">
        <v>2169</v>
      </c>
      <c r="M95" s="425">
        <v>0</v>
      </c>
      <c r="N95" s="396"/>
      <c r="O95" s="396"/>
    </row>
    <row r="96" spans="4:15" ht="18" customHeight="1">
      <c r="D96" s="417">
        <v>124450</v>
      </c>
      <c r="E96" s="418" t="s">
        <v>99</v>
      </c>
      <c r="F96" s="419">
        <f t="shared" si="3"/>
        <v>0</v>
      </c>
      <c r="G96" s="420">
        <v>0</v>
      </c>
      <c r="H96" s="420">
        <v>0</v>
      </c>
      <c r="I96" s="421">
        <v>0</v>
      </c>
      <c r="K96" s="423"/>
      <c r="L96" s="424"/>
      <c r="M96" s="425"/>
      <c r="N96" s="396"/>
      <c r="O96" s="396"/>
    </row>
    <row r="97" spans="4:15" ht="18" customHeight="1">
      <c r="D97" s="417">
        <v>124600</v>
      </c>
      <c r="E97" s="418" t="s">
        <v>100</v>
      </c>
      <c r="F97" s="419">
        <f t="shared" si="3"/>
        <v>0</v>
      </c>
      <c r="G97" s="420">
        <v>0</v>
      </c>
      <c r="H97" s="420">
        <v>0</v>
      </c>
      <c r="I97" s="421">
        <v>0</v>
      </c>
      <c r="K97" s="414" t="s">
        <v>2170</v>
      </c>
      <c r="L97" s="396"/>
      <c r="M97" s="416">
        <v>-807600</v>
      </c>
      <c r="N97" s="396"/>
      <c r="O97" s="396"/>
    </row>
    <row r="98" spans="4:15" ht="18" customHeight="1">
      <c r="D98" s="417">
        <v>126100</v>
      </c>
      <c r="E98" s="418" t="s">
        <v>101</v>
      </c>
      <c r="F98" s="419">
        <f t="shared" si="3"/>
        <v>0</v>
      </c>
      <c r="G98" s="420">
        <v>0</v>
      </c>
      <c r="H98" s="420">
        <v>0</v>
      </c>
      <c r="I98" s="421">
        <v>0</v>
      </c>
      <c r="K98" s="423" t="s">
        <v>2171</v>
      </c>
      <c r="L98" s="423" t="s">
        <v>2171</v>
      </c>
      <c r="M98" s="425">
        <v>-807600</v>
      </c>
      <c r="N98" s="396">
        <v>320100</v>
      </c>
      <c r="O98" s="396" t="s">
        <v>191</v>
      </c>
    </row>
    <row r="99" spans="4:15" ht="18" customHeight="1">
      <c r="D99" s="417">
        <v>126110</v>
      </c>
      <c r="E99" s="418" t="s">
        <v>102</v>
      </c>
      <c r="F99" s="419">
        <f t="shared" si="3"/>
        <v>0</v>
      </c>
      <c r="G99" s="420">
        <v>0</v>
      </c>
      <c r="H99" s="420">
        <v>0</v>
      </c>
      <c r="I99" s="421">
        <v>0</v>
      </c>
      <c r="J99" s="5"/>
      <c r="K99" s="423"/>
      <c r="L99" s="424"/>
      <c r="M99" s="425"/>
      <c r="N99" s="396"/>
      <c r="O99" s="396"/>
    </row>
    <row r="100" spans="4:15" ht="18" customHeight="1">
      <c r="D100" s="417">
        <v>126200</v>
      </c>
      <c r="E100" s="418" t="s">
        <v>103</v>
      </c>
      <c r="F100" s="419">
        <f t="shared" si="3"/>
        <v>0</v>
      </c>
      <c r="G100" s="420">
        <v>0</v>
      </c>
      <c r="H100" s="420">
        <v>0</v>
      </c>
      <c r="I100" s="421">
        <v>0</v>
      </c>
      <c r="K100" s="414" t="s">
        <v>2172</v>
      </c>
      <c r="L100" s="415"/>
      <c r="M100" s="416">
        <v>31277483</v>
      </c>
      <c r="N100" s="396"/>
      <c r="O100" s="396"/>
    </row>
    <row r="101" spans="4:15" ht="18" customHeight="1">
      <c r="D101" s="417">
        <v>126210</v>
      </c>
      <c r="E101" s="418" t="s">
        <v>104</v>
      </c>
      <c r="F101" s="419">
        <f t="shared" si="3"/>
        <v>0</v>
      </c>
      <c r="G101" s="420">
        <v>0</v>
      </c>
      <c r="H101" s="420">
        <v>0</v>
      </c>
      <c r="I101" s="421">
        <v>0</v>
      </c>
      <c r="K101" s="423" t="s">
        <v>2173</v>
      </c>
      <c r="L101" s="424" t="s">
        <v>13</v>
      </c>
      <c r="M101" s="425">
        <v>0</v>
      </c>
      <c r="N101" s="396"/>
      <c r="O101" s="396"/>
    </row>
    <row r="102" spans="4:15" ht="18" customHeight="1">
      <c r="D102" s="417" t="s">
        <v>2174</v>
      </c>
      <c r="E102" s="418" t="s">
        <v>533</v>
      </c>
      <c r="F102" s="419">
        <f t="shared" si="3"/>
        <v>0</v>
      </c>
      <c r="G102" s="420">
        <v>0</v>
      </c>
      <c r="H102" s="420">
        <v>0</v>
      </c>
      <c r="I102" s="421">
        <v>0</v>
      </c>
      <c r="K102" s="423" t="s">
        <v>2175</v>
      </c>
      <c r="L102" s="424" t="s">
        <v>13</v>
      </c>
      <c r="M102" s="425">
        <v>0</v>
      </c>
      <c r="N102" s="396"/>
      <c r="O102" s="396"/>
    </row>
    <row r="103" spans="4:15" ht="18" customHeight="1">
      <c r="D103" s="426"/>
      <c r="E103" s="261" t="s">
        <v>6</v>
      </c>
      <c r="F103" s="411">
        <f>SUM(F104:F123)</f>
        <v>0</v>
      </c>
      <c r="G103" s="412">
        <f>SUM(G104:G123)</f>
        <v>0</v>
      </c>
      <c r="H103" s="412">
        <f>SUM(H104:H123)</f>
        <v>0</v>
      </c>
      <c r="I103" s="413">
        <f>SUM(I104:I123)</f>
        <v>0</v>
      </c>
      <c r="K103" s="423" t="s">
        <v>2176</v>
      </c>
      <c r="L103" s="424"/>
      <c r="M103" s="425">
        <v>31277483</v>
      </c>
      <c r="N103" s="396"/>
      <c r="O103" s="396"/>
    </row>
    <row r="104" spans="4:15" ht="18" customHeight="1">
      <c r="D104" s="417" t="s">
        <v>105</v>
      </c>
      <c r="E104" s="418" t="s">
        <v>106</v>
      </c>
      <c r="F104" s="419">
        <f t="shared" ref="F104:F123" si="4">SUMIF(N:N,D104,M:M)</f>
        <v>0</v>
      </c>
      <c r="G104" s="420">
        <v>0</v>
      </c>
      <c r="H104" s="420">
        <v>0</v>
      </c>
      <c r="I104" s="421">
        <v>0</v>
      </c>
      <c r="K104" s="433" t="s">
        <v>2177</v>
      </c>
      <c r="L104" s="424" t="s">
        <v>2178</v>
      </c>
      <c r="M104" s="425">
        <v>75278331</v>
      </c>
      <c r="N104" s="396" t="s">
        <v>1354</v>
      </c>
      <c r="O104" s="396" t="s">
        <v>207</v>
      </c>
    </row>
    <row r="105" spans="4:15" ht="18" customHeight="1">
      <c r="D105" s="417" t="s">
        <v>107</v>
      </c>
      <c r="E105" s="418" t="s">
        <v>108</v>
      </c>
      <c r="F105" s="419">
        <f t="shared" si="4"/>
        <v>0</v>
      </c>
      <c r="G105" s="420">
        <v>0</v>
      </c>
      <c r="H105" s="420">
        <v>0</v>
      </c>
      <c r="I105" s="421">
        <v>0</v>
      </c>
      <c r="K105" s="433" t="s">
        <v>2179</v>
      </c>
      <c r="L105" s="424" t="s">
        <v>2180</v>
      </c>
      <c r="M105" s="425">
        <v>0</v>
      </c>
      <c r="N105" s="396" t="s">
        <v>1355</v>
      </c>
      <c r="O105" s="396" t="s">
        <v>209</v>
      </c>
    </row>
    <row r="106" spans="4:15" ht="18" customHeight="1">
      <c r="D106" s="417" t="s">
        <v>109</v>
      </c>
      <c r="E106" s="418" t="s">
        <v>110</v>
      </c>
      <c r="F106" s="419">
        <f t="shared" si="4"/>
        <v>0</v>
      </c>
      <c r="G106" s="420">
        <v>0</v>
      </c>
      <c r="H106" s="420">
        <v>0</v>
      </c>
      <c r="I106" s="421">
        <v>0</v>
      </c>
      <c r="K106" s="433" t="s">
        <v>2181</v>
      </c>
      <c r="L106" s="424" t="s">
        <v>2178</v>
      </c>
      <c r="M106" s="425">
        <v>-44000848</v>
      </c>
      <c r="N106" s="396" t="s">
        <v>1355</v>
      </c>
      <c r="O106" s="396" t="s">
        <v>209</v>
      </c>
    </row>
    <row r="107" spans="4:15" ht="18" customHeight="1">
      <c r="D107" s="417" t="s">
        <v>111</v>
      </c>
      <c r="E107" s="418" t="s">
        <v>112</v>
      </c>
      <c r="F107" s="419">
        <f t="shared" si="4"/>
        <v>0</v>
      </c>
      <c r="G107" s="420">
        <v>0</v>
      </c>
      <c r="H107" s="420">
        <v>0</v>
      </c>
      <c r="I107" s="421">
        <v>0</v>
      </c>
      <c r="K107" s="428" t="s">
        <v>2182</v>
      </c>
      <c r="L107" s="429"/>
      <c r="M107" s="430">
        <v>35469883</v>
      </c>
      <c r="N107" s="407"/>
      <c r="O107" s="407"/>
    </row>
    <row r="108" spans="4:15" ht="18" customHeight="1">
      <c r="D108" s="417" t="s">
        <v>113</v>
      </c>
      <c r="E108" s="418" t="s">
        <v>114</v>
      </c>
      <c r="F108" s="419">
        <f t="shared" si="4"/>
        <v>0</v>
      </c>
      <c r="G108" s="420">
        <v>0</v>
      </c>
      <c r="H108" s="420">
        <v>0</v>
      </c>
      <c r="I108" s="421">
        <v>0</v>
      </c>
      <c r="J108" s="5"/>
      <c r="K108" s="428" t="s">
        <v>2183</v>
      </c>
      <c r="L108" s="429"/>
      <c r="M108" s="430">
        <v>58675929</v>
      </c>
      <c r="N108" s="407"/>
      <c r="O108" s="407"/>
    </row>
    <row r="109" spans="4:15" ht="18" customHeight="1">
      <c r="D109" s="417">
        <v>125300</v>
      </c>
      <c r="E109" s="418" t="s">
        <v>115</v>
      </c>
      <c r="F109" s="419">
        <f t="shared" si="4"/>
        <v>0</v>
      </c>
      <c r="G109" s="420">
        <v>0</v>
      </c>
      <c r="H109" s="420">
        <v>0</v>
      </c>
      <c r="I109" s="421">
        <v>0</v>
      </c>
      <c r="J109" s="5"/>
    </row>
    <row r="110" spans="4:15" ht="18" customHeight="1">
      <c r="D110" s="417" t="s">
        <v>119</v>
      </c>
      <c r="E110" s="418" t="s">
        <v>120</v>
      </c>
      <c r="F110" s="419">
        <f t="shared" si="4"/>
        <v>0</v>
      </c>
      <c r="G110" s="420">
        <v>0</v>
      </c>
      <c r="H110" s="420">
        <v>0</v>
      </c>
      <c r="I110" s="421">
        <v>0</v>
      </c>
    </row>
    <row r="111" spans="4:15" ht="18" customHeight="1">
      <c r="D111" s="417">
        <v>125400</v>
      </c>
      <c r="E111" s="418" t="s">
        <v>116</v>
      </c>
      <c r="F111" s="419">
        <f t="shared" si="4"/>
        <v>0</v>
      </c>
      <c r="G111" s="420">
        <v>0</v>
      </c>
      <c r="H111" s="420">
        <v>0</v>
      </c>
      <c r="I111" s="421">
        <v>0</v>
      </c>
      <c r="J111" s="5"/>
    </row>
    <row r="112" spans="4:15" ht="18" customHeight="1">
      <c r="D112" s="417" t="s">
        <v>117</v>
      </c>
      <c r="E112" s="418" t="s">
        <v>118</v>
      </c>
      <c r="F112" s="419">
        <f t="shared" si="4"/>
        <v>0</v>
      </c>
      <c r="G112" s="420">
        <v>0</v>
      </c>
      <c r="H112" s="420">
        <v>0</v>
      </c>
      <c r="I112" s="421">
        <v>0</v>
      </c>
      <c r="J112" s="5"/>
    </row>
    <row r="113" spans="4:10" ht="18" customHeight="1">
      <c r="D113" s="417" t="s">
        <v>121</v>
      </c>
      <c r="E113" s="418" t="s">
        <v>122</v>
      </c>
      <c r="F113" s="419">
        <f t="shared" si="4"/>
        <v>0</v>
      </c>
      <c r="G113" s="420">
        <v>0</v>
      </c>
      <c r="H113" s="420">
        <v>0</v>
      </c>
      <c r="I113" s="421">
        <v>0</v>
      </c>
    </row>
    <row r="114" spans="4:10" ht="18" customHeight="1">
      <c r="D114" s="417">
        <v>125900</v>
      </c>
      <c r="E114" s="418" t="s">
        <v>123</v>
      </c>
      <c r="F114" s="419">
        <f t="shared" si="4"/>
        <v>0</v>
      </c>
      <c r="G114" s="420">
        <v>0</v>
      </c>
      <c r="H114" s="420">
        <v>0</v>
      </c>
      <c r="I114" s="421">
        <v>0</v>
      </c>
    </row>
    <row r="115" spans="4:10" ht="18" customHeight="1">
      <c r="D115" s="417" t="s">
        <v>126</v>
      </c>
      <c r="E115" s="418" t="s">
        <v>127</v>
      </c>
      <c r="F115" s="419">
        <f t="shared" si="4"/>
        <v>0</v>
      </c>
      <c r="G115" s="420">
        <v>0</v>
      </c>
      <c r="H115" s="420">
        <v>0</v>
      </c>
      <c r="I115" s="421">
        <v>0</v>
      </c>
      <c r="J115" s="5"/>
    </row>
    <row r="116" spans="4:10" ht="18" customHeight="1">
      <c r="D116" s="417" t="s">
        <v>124</v>
      </c>
      <c r="E116" s="418" t="s">
        <v>125</v>
      </c>
      <c r="F116" s="419">
        <f t="shared" si="4"/>
        <v>0</v>
      </c>
      <c r="G116" s="420">
        <v>0</v>
      </c>
      <c r="H116" s="420">
        <v>0</v>
      </c>
      <c r="I116" s="421">
        <v>0</v>
      </c>
      <c r="J116" s="5"/>
    </row>
    <row r="117" spans="4:10" ht="18" customHeight="1">
      <c r="D117" s="417" t="s">
        <v>128</v>
      </c>
      <c r="E117" s="418" t="s">
        <v>129</v>
      </c>
      <c r="F117" s="419">
        <f t="shared" si="4"/>
        <v>0</v>
      </c>
      <c r="G117" s="420">
        <v>0</v>
      </c>
      <c r="H117" s="420">
        <v>0</v>
      </c>
      <c r="I117" s="421">
        <v>0</v>
      </c>
    </row>
    <row r="118" spans="4:10" ht="18" customHeight="1">
      <c r="D118" s="417" t="s">
        <v>130</v>
      </c>
      <c r="E118" s="418" t="s">
        <v>131</v>
      </c>
      <c r="F118" s="419">
        <f t="shared" si="4"/>
        <v>0</v>
      </c>
      <c r="G118" s="420">
        <v>0</v>
      </c>
      <c r="H118" s="420">
        <v>0</v>
      </c>
      <c r="I118" s="421">
        <v>0</v>
      </c>
    </row>
    <row r="119" spans="4:10" ht="18" customHeight="1">
      <c r="D119" s="417">
        <v>125950</v>
      </c>
      <c r="E119" s="418" t="s">
        <v>132</v>
      </c>
      <c r="F119" s="419">
        <f t="shared" si="4"/>
        <v>0</v>
      </c>
      <c r="G119" s="420">
        <v>0</v>
      </c>
      <c r="H119" s="420">
        <v>0</v>
      </c>
      <c r="I119" s="421">
        <v>0</v>
      </c>
    </row>
    <row r="120" spans="4:10" ht="18" customHeight="1">
      <c r="D120" s="417">
        <v>125960</v>
      </c>
      <c r="E120" s="418" t="s">
        <v>133</v>
      </c>
      <c r="F120" s="419">
        <f t="shared" si="4"/>
        <v>0</v>
      </c>
      <c r="G120" s="420">
        <v>0</v>
      </c>
      <c r="H120" s="420">
        <v>0</v>
      </c>
      <c r="I120" s="421">
        <v>0</v>
      </c>
    </row>
    <row r="121" spans="4:10" ht="18" customHeight="1">
      <c r="D121" s="417">
        <v>125970</v>
      </c>
      <c r="E121" s="418" t="s">
        <v>134</v>
      </c>
      <c r="F121" s="419">
        <f t="shared" si="4"/>
        <v>0</v>
      </c>
      <c r="G121" s="420">
        <v>0</v>
      </c>
      <c r="H121" s="420">
        <v>0</v>
      </c>
      <c r="I121" s="421">
        <v>0</v>
      </c>
    </row>
    <row r="122" spans="4:10" ht="18" customHeight="1">
      <c r="D122" s="417">
        <v>125980</v>
      </c>
      <c r="E122" s="418" t="s">
        <v>135</v>
      </c>
      <c r="F122" s="419">
        <f t="shared" si="4"/>
        <v>0</v>
      </c>
      <c r="G122" s="420">
        <v>0</v>
      </c>
      <c r="H122" s="420">
        <v>0</v>
      </c>
      <c r="I122" s="421">
        <v>0</v>
      </c>
    </row>
    <row r="123" spans="4:10" ht="18" customHeight="1">
      <c r="D123" s="417" t="s">
        <v>486</v>
      </c>
      <c r="E123" s="418" t="s">
        <v>2184</v>
      </c>
      <c r="F123" s="419">
        <f t="shared" si="4"/>
        <v>0</v>
      </c>
      <c r="G123" s="420">
        <v>0</v>
      </c>
      <c r="H123" s="420">
        <v>0</v>
      </c>
      <c r="I123" s="421">
        <v>0</v>
      </c>
    </row>
    <row r="124" spans="4:10" ht="18" customHeight="1">
      <c r="D124" s="426"/>
      <c r="E124" s="261" t="s">
        <v>7</v>
      </c>
      <c r="F124" s="411">
        <f>F125</f>
        <v>0</v>
      </c>
      <c r="G124" s="412">
        <f>G125</f>
        <v>0</v>
      </c>
      <c r="H124" s="412">
        <f>H125</f>
        <v>0</v>
      </c>
      <c r="I124" s="413">
        <f>I125</f>
        <v>0</v>
      </c>
    </row>
    <row r="125" spans="4:10" ht="18" customHeight="1">
      <c r="D125" s="417">
        <v>121850</v>
      </c>
      <c r="E125" s="418" t="s">
        <v>136</v>
      </c>
      <c r="F125" s="419">
        <f>SUMIF(N:N,D125,M:M)</f>
        <v>0</v>
      </c>
      <c r="G125" s="420">
        <v>0</v>
      </c>
      <c r="H125" s="420">
        <v>0</v>
      </c>
      <c r="I125" s="421">
        <v>0</v>
      </c>
    </row>
    <row r="126" spans="4:10" ht="18" customHeight="1">
      <c r="D126" s="434"/>
      <c r="E126" s="259" t="s">
        <v>8</v>
      </c>
      <c r="F126" s="398">
        <f>F127+F180</f>
        <v>23206046</v>
      </c>
      <c r="G126" s="399">
        <f>G127+G180</f>
        <v>0</v>
      </c>
      <c r="H126" s="399">
        <f>H127+H180</f>
        <v>23206046</v>
      </c>
      <c r="I126" s="400">
        <f>I127+I180</f>
        <v>23206046</v>
      </c>
    </row>
    <row r="127" spans="4:10" ht="18" customHeight="1">
      <c r="D127" s="432"/>
      <c r="E127" s="260" t="s">
        <v>9</v>
      </c>
      <c r="F127" s="404">
        <f>SUM(F128,F147,F154,F176,F178)</f>
        <v>23206046</v>
      </c>
      <c r="G127" s="405">
        <f>SUM(G128,G147,G154,G176,G178)</f>
        <v>0</v>
      </c>
      <c r="H127" s="405">
        <f>SUM(H128,H147,H154,H176,H178)</f>
        <v>23206046</v>
      </c>
      <c r="I127" s="406">
        <f>SUM(I128,I147,I154,I176,I178)</f>
        <v>23206046</v>
      </c>
    </row>
    <row r="128" spans="4:10" ht="18" customHeight="1">
      <c r="D128" s="426">
        <v>211000</v>
      </c>
      <c r="E128" s="261" t="s">
        <v>137</v>
      </c>
      <c r="F128" s="411">
        <f>SUM(F129:F146)</f>
        <v>4353781</v>
      </c>
      <c r="G128" s="412">
        <f>SUM(G129:G146)</f>
        <v>0</v>
      </c>
      <c r="H128" s="412">
        <f>SUM(H129:H146)</f>
        <v>4353781</v>
      </c>
      <c r="I128" s="413">
        <f>SUM(I129:I146)</f>
        <v>4353781</v>
      </c>
    </row>
    <row r="129" spans="4:9" ht="18" customHeight="1">
      <c r="D129" s="417">
        <v>211111</v>
      </c>
      <c r="E129" s="418" t="s">
        <v>138</v>
      </c>
      <c r="F129" s="419">
        <f t="shared" ref="F129:F146" si="5">SUMIF(N:N,D129,M:M)</f>
        <v>33957</v>
      </c>
      <c r="G129" s="420">
        <v>0</v>
      </c>
      <c r="H129" s="420">
        <v>33957</v>
      </c>
      <c r="I129" s="421">
        <v>33957</v>
      </c>
    </row>
    <row r="130" spans="4:9" ht="18" customHeight="1">
      <c r="D130" s="417">
        <v>211121</v>
      </c>
      <c r="E130" s="418" t="s">
        <v>139</v>
      </c>
      <c r="F130" s="419">
        <f t="shared" si="5"/>
        <v>0</v>
      </c>
      <c r="G130" s="420">
        <v>0</v>
      </c>
      <c r="H130" s="420">
        <v>0</v>
      </c>
      <c r="I130" s="421">
        <v>0</v>
      </c>
    </row>
    <row r="131" spans="4:9" ht="18" customHeight="1">
      <c r="D131" s="417">
        <v>211131</v>
      </c>
      <c r="E131" s="418" t="s">
        <v>140</v>
      </c>
      <c r="F131" s="419">
        <f t="shared" si="5"/>
        <v>0</v>
      </c>
      <c r="G131" s="420">
        <v>0</v>
      </c>
      <c r="H131" s="420">
        <v>0</v>
      </c>
      <c r="I131" s="421">
        <v>0</v>
      </c>
    </row>
    <row r="132" spans="4:9" ht="18" customHeight="1">
      <c r="D132" s="417">
        <v>211141</v>
      </c>
      <c r="E132" s="418" t="s">
        <v>141</v>
      </c>
      <c r="F132" s="419">
        <f t="shared" si="5"/>
        <v>0</v>
      </c>
      <c r="G132" s="420">
        <v>0</v>
      </c>
      <c r="H132" s="420">
        <v>0</v>
      </c>
      <c r="I132" s="421">
        <v>0</v>
      </c>
    </row>
    <row r="133" spans="4:9" ht="18" customHeight="1">
      <c r="D133" s="417">
        <v>211151</v>
      </c>
      <c r="E133" s="418" t="s">
        <v>142</v>
      </c>
      <c r="F133" s="419">
        <f t="shared" si="5"/>
        <v>0</v>
      </c>
      <c r="G133" s="420">
        <v>0</v>
      </c>
      <c r="H133" s="420">
        <v>0</v>
      </c>
      <c r="I133" s="421">
        <v>0</v>
      </c>
    </row>
    <row r="134" spans="4:9" ht="18" customHeight="1">
      <c r="D134" s="417">
        <v>211161</v>
      </c>
      <c r="E134" s="418" t="s">
        <v>143</v>
      </c>
      <c r="F134" s="419">
        <f t="shared" si="5"/>
        <v>0</v>
      </c>
      <c r="G134" s="420">
        <v>0</v>
      </c>
      <c r="H134" s="420">
        <v>0</v>
      </c>
      <c r="I134" s="421">
        <v>0</v>
      </c>
    </row>
    <row r="135" spans="4:9" ht="18" customHeight="1">
      <c r="D135" s="417">
        <v>213100</v>
      </c>
      <c r="E135" s="418" t="s">
        <v>144</v>
      </c>
      <c r="F135" s="419">
        <f t="shared" si="5"/>
        <v>580200</v>
      </c>
      <c r="G135" s="420">
        <v>0</v>
      </c>
      <c r="H135" s="420">
        <v>580200</v>
      </c>
      <c r="I135" s="421">
        <v>580200</v>
      </c>
    </row>
    <row r="136" spans="4:9" ht="18" customHeight="1">
      <c r="D136" s="417">
        <v>213150</v>
      </c>
      <c r="E136" s="418" t="s">
        <v>145</v>
      </c>
      <c r="F136" s="419">
        <f t="shared" si="5"/>
        <v>0</v>
      </c>
      <c r="G136" s="420">
        <v>0</v>
      </c>
      <c r="H136" s="420">
        <v>0</v>
      </c>
      <c r="I136" s="421">
        <v>0</v>
      </c>
    </row>
    <row r="137" spans="4:9" ht="18" customHeight="1">
      <c r="D137" s="417">
        <v>213900</v>
      </c>
      <c r="E137" s="418" t="s">
        <v>146</v>
      </c>
      <c r="F137" s="419">
        <f t="shared" si="5"/>
        <v>0</v>
      </c>
      <c r="G137" s="420">
        <v>0</v>
      </c>
      <c r="H137" s="420">
        <v>0</v>
      </c>
      <c r="I137" s="421">
        <v>0</v>
      </c>
    </row>
    <row r="138" spans="4:9" ht="18" customHeight="1">
      <c r="D138" s="417">
        <v>213800</v>
      </c>
      <c r="E138" s="418" t="s">
        <v>147</v>
      </c>
      <c r="F138" s="419">
        <f t="shared" si="5"/>
        <v>0</v>
      </c>
      <c r="G138" s="420">
        <v>0</v>
      </c>
      <c r="H138" s="420">
        <v>0</v>
      </c>
      <c r="I138" s="421">
        <v>0</v>
      </c>
    </row>
    <row r="139" spans="4:9" ht="18" customHeight="1">
      <c r="D139" s="417">
        <v>213101</v>
      </c>
      <c r="E139" s="418" t="s">
        <v>148</v>
      </c>
      <c r="F139" s="419">
        <f t="shared" si="5"/>
        <v>0</v>
      </c>
      <c r="G139" s="420">
        <v>0</v>
      </c>
      <c r="H139" s="420">
        <v>0</v>
      </c>
      <c r="I139" s="421">
        <v>0</v>
      </c>
    </row>
    <row r="140" spans="4:9" ht="18" customHeight="1">
      <c r="D140" s="417">
        <v>213200</v>
      </c>
      <c r="E140" s="418" t="s">
        <v>149</v>
      </c>
      <c r="F140" s="419">
        <f t="shared" si="5"/>
        <v>0</v>
      </c>
      <c r="G140" s="420">
        <v>0</v>
      </c>
      <c r="H140" s="420">
        <v>0</v>
      </c>
      <c r="I140" s="421">
        <v>0</v>
      </c>
    </row>
    <row r="141" spans="4:9" ht="18" customHeight="1">
      <c r="D141" s="417">
        <v>217900</v>
      </c>
      <c r="E141" s="418" t="s">
        <v>150</v>
      </c>
      <c r="F141" s="419">
        <f t="shared" si="5"/>
        <v>3739624</v>
      </c>
      <c r="G141" s="420">
        <v>0</v>
      </c>
      <c r="H141" s="420">
        <v>3739624</v>
      </c>
      <c r="I141" s="421">
        <v>3739624</v>
      </c>
    </row>
    <row r="142" spans="4:9" ht="18" customHeight="1">
      <c r="D142" s="417">
        <v>217200</v>
      </c>
      <c r="E142" s="418" t="s">
        <v>151</v>
      </c>
      <c r="F142" s="419">
        <f t="shared" si="5"/>
        <v>0</v>
      </c>
      <c r="G142" s="420">
        <v>0</v>
      </c>
      <c r="H142" s="420">
        <v>0</v>
      </c>
      <c r="I142" s="421">
        <v>0</v>
      </c>
    </row>
    <row r="143" spans="4:9" ht="18" customHeight="1">
      <c r="D143" s="417">
        <v>217300</v>
      </c>
      <c r="E143" s="418" t="s">
        <v>152</v>
      </c>
      <c r="F143" s="419">
        <f t="shared" si="5"/>
        <v>0</v>
      </c>
      <c r="G143" s="420">
        <v>0</v>
      </c>
      <c r="H143" s="420">
        <v>0</v>
      </c>
      <c r="I143" s="421">
        <v>0</v>
      </c>
    </row>
    <row r="144" spans="4:9" ht="18" customHeight="1">
      <c r="D144" s="417">
        <v>217400</v>
      </c>
      <c r="E144" s="418" t="s">
        <v>153</v>
      </c>
      <c r="F144" s="419">
        <f t="shared" si="5"/>
        <v>0</v>
      </c>
      <c r="G144" s="420">
        <v>0</v>
      </c>
      <c r="H144" s="420">
        <v>0</v>
      </c>
      <c r="I144" s="421">
        <v>0</v>
      </c>
    </row>
    <row r="145" spans="4:9" ht="18" customHeight="1">
      <c r="D145" s="417">
        <v>217500</v>
      </c>
      <c r="E145" s="418" t="s">
        <v>154</v>
      </c>
      <c r="F145" s="419">
        <f t="shared" si="5"/>
        <v>0</v>
      </c>
      <c r="G145" s="420">
        <v>0</v>
      </c>
      <c r="H145" s="420">
        <v>0</v>
      </c>
      <c r="I145" s="421">
        <v>0</v>
      </c>
    </row>
    <row r="146" spans="4:9" ht="18" customHeight="1">
      <c r="D146" s="417">
        <v>223150</v>
      </c>
      <c r="E146" s="418" t="s">
        <v>155</v>
      </c>
      <c r="F146" s="419">
        <f t="shared" si="5"/>
        <v>0</v>
      </c>
      <c r="G146" s="420">
        <v>0</v>
      </c>
      <c r="H146" s="420">
        <v>0</v>
      </c>
      <c r="I146" s="421">
        <v>0</v>
      </c>
    </row>
    <row r="147" spans="4:9" ht="18" customHeight="1">
      <c r="D147" s="426"/>
      <c r="E147" s="261" t="s">
        <v>156</v>
      </c>
      <c r="F147" s="411">
        <f>SUM(F148:F153)</f>
        <v>2105000</v>
      </c>
      <c r="G147" s="412">
        <f>SUM(G148:G153)</f>
        <v>0</v>
      </c>
      <c r="H147" s="412">
        <f>SUM(H148:H153)</f>
        <v>2105000</v>
      </c>
      <c r="I147" s="413">
        <f>SUM(I148:I153)</f>
        <v>2105000</v>
      </c>
    </row>
    <row r="148" spans="4:9" ht="18" customHeight="1">
      <c r="D148" s="417">
        <v>212300</v>
      </c>
      <c r="E148" s="418" t="s">
        <v>157</v>
      </c>
      <c r="F148" s="419">
        <f t="shared" ref="F148:F153" si="6">SUMIF(N:N,D148,M:M)</f>
        <v>2105000</v>
      </c>
      <c r="G148" s="420">
        <v>0</v>
      </c>
      <c r="H148" s="420">
        <v>2105000</v>
      </c>
      <c r="I148" s="421">
        <v>2105000</v>
      </c>
    </row>
    <row r="149" spans="4:9" ht="18" customHeight="1">
      <c r="D149" s="417">
        <v>212500</v>
      </c>
      <c r="E149" s="418" t="s">
        <v>1547</v>
      </c>
      <c r="F149" s="419">
        <f t="shared" si="6"/>
        <v>0</v>
      </c>
      <c r="G149" s="420">
        <v>0</v>
      </c>
      <c r="H149" s="420">
        <v>0</v>
      </c>
      <c r="I149" s="421">
        <v>0</v>
      </c>
    </row>
    <row r="150" spans="4:9" ht="18" customHeight="1">
      <c r="D150" s="417">
        <v>230320</v>
      </c>
      <c r="E150" s="418" t="s">
        <v>158</v>
      </c>
      <c r="F150" s="419">
        <f t="shared" si="6"/>
        <v>0</v>
      </c>
      <c r="G150" s="420">
        <v>0</v>
      </c>
      <c r="H150" s="420">
        <v>0</v>
      </c>
      <c r="I150" s="421">
        <v>0</v>
      </c>
    </row>
    <row r="151" spans="4:9" ht="18" customHeight="1">
      <c r="D151" s="417">
        <v>230321</v>
      </c>
      <c r="E151" s="418" t="s">
        <v>159</v>
      </c>
      <c r="F151" s="419">
        <f t="shared" si="6"/>
        <v>0</v>
      </c>
      <c r="G151" s="420">
        <v>0</v>
      </c>
      <c r="H151" s="420">
        <v>0</v>
      </c>
      <c r="I151" s="421">
        <v>0</v>
      </c>
    </row>
    <row r="152" spans="4:9" ht="18" customHeight="1">
      <c r="D152" s="417">
        <v>230322</v>
      </c>
      <c r="E152" s="418" t="s">
        <v>160</v>
      </c>
      <c r="F152" s="419">
        <f t="shared" si="6"/>
        <v>0</v>
      </c>
      <c r="G152" s="420">
        <v>0</v>
      </c>
      <c r="H152" s="420">
        <v>0</v>
      </c>
      <c r="I152" s="421">
        <v>0</v>
      </c>
    </row>
    <row r="153" spans="4:9" ht="18" customHeight="1">
      <c r="D153" s="417">
        <v>230325</v>
      </c>
      <c r="E153" s="418" t="s">
        <v>161</v>
      </c>
      <c r="F153" s="419">
        <f t="shared" si="6"/>
        <v>0</v>
      </c>
      <c r="G153" s="420">
        <v>0</v>
      </c>
      <c r="H153" s="420">
        <v>0</v>
      </c>
      <c r="I153" s="421">
        <v>0</v>
      </c>
    </row>
    <row r="154" spans="4:9" ht="18" customHeight="1">
      <c r="D154" s="426"/>
      <c r="E154" s="261" t="s">
        <v>162</v>
      </c>
      <c r="F154" s="411">
        <f>SUM(F155:F175)</f>
        <v>16747265</v>
      </c>
      <c r="G154" s="412">
        <f>SUM(G155:G175)</f>
        <v>0</v>
      </c>
      <c r="H154" s="412">
        <f>SUM(H155:H175)</f>
        <v>16747265</v>
      </c>
      <c r="I154" s="413">
        <f>SUM(I155:I175)</f>
        <v>16747265</v>
      </c>
    </row>
    <row r="155" spans="4:9" ht="18" customHeight="1">
      <c r="D155" s="417">
        <v>214100</v>
      </c>
      <c r="E155" s="418" t="s">
        <v>163</v>
      </c>
      <c r="F155" s="419">
        <f t="shared" ref="F155:F175" si="7">SUMIF(N:N,D155,M:M)</f>
        <v>4118990</v>
      </c>
      <c r="G155" s="420">
        <v>0</v>
      </c>
      <c r="H155" s="420">
        <v>4118990</v>
      </c>
      <c r="I155" s="421">
        <v>4118990</v>
      </c>
    </row>
    <row r="156" spans="4:9" ht="18" customHeight="1">
      <c r="D156" s="417">
        <v>214200</v>
      </c>
      <c r="E156" s="418" t="s">
        <v>164</v>
      </c>
      <c r="F156" s="419">
        <f t="shared" si="7"/>
        <v>0</v>
      </c>
      <c r="G156" s="420">
        <v>0</v>
      </c>
      <c r="H156" s="420">
        <v>0</v>
      </c>
      <c r="I156" s="421">
        <v>0</v>
      </c>
    </row>
    <row r="157" spans="4:9" ht="18" customHeight="1">
      <c r="D157" s="417">
        <v>214350</v>
      </c>
      <c r="E157" s="418" t="s">
        <v>165</v>
      </c>
      <c r="F157" s="419">
        <f t="shared" si="7"/>
        <v>0</v>
      </c>
      <c r="G157" s="420">
        <v>0</v>
      </c>
      <c r="H157" s="420">
        <v>0</v>
      </c>
      <c r="I157" s="421">
        <v>0</v>
      </c>
    </row>
    <row r="158" spans="4:9" ht="18" customHeight="1">
      <c r="D158" s="417">
        <v>214360</v>
      </c>
      <c r="E158" s="418" t="s">
        <v>166</v>
      </c>
      <c r="F158" s="419">
        <f t="shared" si="7"/>
        <v>0</v>
      </c>
      <c r="G158" s="420">
        <v>0</v>
      </c>
      <c r="H158" s="420">
        <v>0</v>
      </c>
      <c r="I158" s="421">
        <v>0</v>
      </c>
    </row>
    <row r="159" spans="4:9" ht="18" customHeight="1">
      <c r="D159" s="417">
        <v>214150</v>
      </c>
      <c r="E159" s="418" t="s">
        <v>167</v>
      </c>
      <c r="F159" s="419">
        <f t="shared" si="7"/>
        <v>0</v>
      </c>
      <c r="G159" s="420">
        <v>0</v>
      </c>
      <c r="H159" s="420">
        <v>0</v>
      </c>
      <c r="I159" s="421">
        <v>0</v>
      </c>
    </row>
    <row r="160" spans="4:9" ht="18" customHeight="1">
      <c r="D160" s="417">
        <v>214250</v>
      </c>
      <c r="E160" s="418" t="s">
        <v>2185</v>
      </c>
      <c r="F160" s="419">
        <f t="shared" si="7"/>
        <v>0</v>
      </c>
      <c r="G160" s="420">
        <v>0</v>
      </c>
      <c r="H160" s="420">
        <v>0</v>
      </c>
      <c r="I160" s="421">
        <v>0</v>
      </c>
    </row>
    <row r="161" spans="4:12" ht="18" customHeight="1">
      <c r="D161" s="417">
        <v>214400</v>
      </c>
      <c r="E161" s="418" t="s">
        <v>168</v>
      </c>
      <c r="F161" s="419">
        <f t="shared" si="7"/>
        <v>5580000</v>
      </c>
      <c r="G161" s="420">
        <v>0</v>
      </c>
      <c r="H161" s="420">
        <v>5580000</v>
      </c>
      <c r="I161" s="421">
        <v>5580000</v>
      </c>
    </row>
    <row r="162" spans="4:12" ht="18" customHeight="1">
      <c r="D162" s="417">
        <v>214600</v>
      </c>
      <c r="E162" s="418" t="s">
        <v>169</v>
      </c>
      <c r="F162" s="419">
        <f t="shared" si="7"/>
        <v>0</v>
      </c>
      <c r="G162" s="420">
        <v>0</v>
      </c>
      <c r="H162" s="420">
        <v>0</v>
      </c>
      <c r="I162" s="421">
        <v>0</v>
      </c>
    </row>
    <row r="163" spans="4:12" ht="18" customHeight="1">
      <c r="D163" s="417">
        <v>214700</v>
      </c>
      <c r="E163" s="418" t="s">
        <v>170</v>
      </c>
      <c r="F163" s="419">
        <f t="shared" si="7"/>
        <v>0</v>
      </c>
      <c r="G163" s="420">
        <v>0</v>
      </c>
      <c r="H163" s="420">
        <v>0</v>
      </c>
      <c r="I163" s="421">
        <v>0</v>
      </c>
    </row>
    <row r="164" spans="4:12" ht="18" customHeight="1">
      <c r="D164" s="417">
        <v>215100</v>
      </c>
      <c r="E164" s="418" t="s">
        <v>171</v>
      </c>
      <c r="F164" s="419">
        <f t="shared" si="7"/>
        <v>0</v>
      </c>
      <c r="G164" s="420">
        <v>0</v>
      </c>
      <c r="H164" s="420">
        <v>0</v>
      </c>
      <c r="I164" s="421">
        <v>0</v>
      </c>
    </row>
    <row r="165" spans="4:12" ht="18" customHeight="1">
      <c r="D165" s="417">
        <v>215200</v>
      </c>
      <c r="E165" s="418" t="s">
        <v>172</v>
      </c>
      <c r="F165" s="419">
        <f t="shared" si="7"/>
        <v>0</v>
      </c>
      <c r="G165" s="420">
        <v>0</v>
      </c>
      <c r="H165" s="420">
        <v>0</v>
      </c>
      <c r="I165" s="421">
        <v>0</v>
      </c>
    </row>
    <row r="166" spans="4:12" ht="18" customHeight="1">
      <c r="D166" s="417">
        <v>215300</v>
      </c>
      <c r="E166" s="418" t="s">
        <v>173</v>
      </c>
      <c r="F166" s="419">
        <f t="shared" si="7"/>
        <v>0</v>
      </c>
      <c r="G166" s="420">
        <v>0</v>
      </c>
      <c r="H166" s="420">
        <v>0</v>
      </c>
      <c r="I166" s="421">
        <v>0</v>
      </c>
    </row>
    <row r="167" spans="4:12" ht="18" customHeight="1">
      <c r="D167" s="417">
        <v>215400</v>
      </c>
      <c r="E167" s="418" t="s">
        <v>174</v>
      </c>
      <c r="F167" s="419">
        <f t="shared" si="7"/>
        <v>0</v>
      </c>
      <c r="G167" s="420">
        <v>0</v>
      </c>
      <c r="H167" s="420">
        <v>0</v>
      </c>
      <c r="I167" s="421">
        <v>0</v>
      </c>
    </row>
    <row r="168" spans="4:12" ht="18" customHeight="1">
      <c r="D168" s="417">
        <v>215500</v>
      </c>
      <c r="E168" s="418" t="s">
        <v>175</v>
      </c>
      <c r="F168" s="419">
        <f t="shared" si="7"/>
        <v>0</v>
      </c>
      <c r="G168" s="420">
        <v>0</v>
      </c>
      <c r="H168" s="420">
        <v>0</v>
      </c>
      <c r="I168" s="421">
        <v>0</v>
      </c>
    </row>
    <row r="169" spans="4:12" ht="18" customHeight="1">
      <c r="D169" s="417">
        <v>215900</v>
      </c>
      <c r="E169" s="418" t="s">
        <v>176</v>
      </c>
      <c r="F169" s="419">
        <f t="shared" si="7"/>
        <v>692280</v>
      </c>
      <c r="G169" s="420">
        <v>0</v>
      </c>
      <c r="H169" s="420">
        <v>692280</v>
      </c>
      <c r="I169" s="421">
        <v>692280</v>
      </c>
    </row>
    <row r="170" spans="4:12" ht="18" customHeight="1">
      <c r="D170" s="417">
        <v>215700</v>
      </c>
      <c r="E170" s="418" t="s">
        <v>177</v>
      </c>
      <c r="F170" s="419">
        <f t="shared" si="7"/>
        <v>0</v>
      </c>
      <c r="G170" s="420">
        <v>0</v>
      </c>
      <c r="H170" s="420">
        <v>0</v>
      </c>
      <c r="I170" s="421">
        <v>0</v>
      </c>
    </row>
    <row r="171" spans="4:12" ht="18" customHeight="1">
      <c r="D171" s="417">
        <v>215800</v>
      </c>
      <c r="E171" s="418" t="s">
        <v>178</v>
      </c>
      <c r="F171" s="419">
        <f t="shared" si="7"/>
        <v>0</v>
      </c>
      <c r="G171" s="420">
        <v>0</v>
      </c>
      <c r="H171" s="420">
        <v>0</v>
      </c>
      <c r="I171" s="421">
        <v>0</v>
      </c>
    </row>
    <row r="172" spans="4:12" ht="18" customHeight="1">
      <c r="D172" s="417">
        <v>219000</v>
      </c>
      <c r="E172" s="418" t="s">
        <v>179</v>
      </c>
      <c r="F172" s="419">
        <f t="shared" si="7"/>
        <v>6355995</v>
      </c>
      <c r="G172" s="420">
        <v>0</v>
      </c>
      <c r="H172" s="420">
        <v>6355995</v>
      </c>
      <c r="I172" s="421">
        <v>6355995</v>
      </c>
      <c r="K172" s="3">
        <v>5740313</v>
      </c>
      <c r="L172" s="441">
        <f>K172-F172</f>
        <v>-615682</v>
      </c>
    </row>
    <row r="173" spans="4:12" ht="18" customHeight="1">
      <c r="D173" s="417">
        <v>220000</v>
      </c>
      <c r="E173" s="418" t="s">
        <v>1861</v>
      </c>
      <c r="F173" s="419">
        <f t="shared" si="7"/>
        <v>0</v>
      </c>
      <c r="G173" s="420">
        <v>0</v>
      </c>
      <c r="H173" s="420">
        <v>0</v>
      </c>
      <c r="I173" s="421">
        <v>0</v>
      </c>
    </row>
    <row r="174" spans="4:12" ht="18" customHeight="1">
      <c r="D174" s="417">
        <v>223100</v>
      </c>
      <c r="E174" s="418" t="s">
        <v>180</v>
      </c>
      <c r="F174" s="419">
        <f t="shared" si="7"/>
        <v>0</v>
      </c>
      <c r="G174" s="420">
        <v>0</v>
      </c>
      <c r="H174" s="420">
        <v>0</v>
      </c>
      <c r="I174" s="421">
        <v>0</v>
      </c>
    </row>
    <row r="175" spans="4:12" ht="18" customHeight="1">
      <c r="D175" s="417">
        <v>223130</v>
      </c>
      <c r="E175" s="418" t="s">
        <v>181</v>
      </c>
      <c r="F175" s="419">
        <f t="shared" si="7"/>
        <v>0</v>
      </c>
      <c r="G175" s="420">
        <v>0</v>
      </c>
      <c r="H175" s="420">
        <v>0</v>
      </c>
      <c r="I175" s="421">
        <v>0</v>
      </c>
    </row>
    <row r="176" spans="4:12" ht="18" customHeight="1">
      <c r="D176" s="426"/>
      <c r="E176" s="261" t="s">
        <v>182</v>
      </c>
      <c r="F176" s="411">
        <f>F177</f>
        <v>0</v>
      </c>
      <c r="G176" s="412">
        <f>G177</f>
        <v>0</v>
      </c>
      <c r="H176" s="412">
        <f>H177</f>
        <v>0</v>
      </c>
      <c r="I176" s="413">
        <f>I177</f>
        <v>0</v>
      </c>
    </row>
    <row r="177" spans="4:9" ht="18" customHeight="1">
      <c r="D177" s="417">
        <v>223110</v>
      </c>
      <c r="E177" s="418" t="s">
        <v>182</v>
      </c>
      <c r="F177" s="419">
        <f>SUMIF(N:N,D177,M:M)</f>
        <v>0</v>
      </c>
      <c r="G177" s="420">
        <v>0</v>
      </c>
      <c r="H177" s="420">
        <v>0</v>
      </c>
      <c r="I177" s="421">
        <v>0</v>
      </c>
    </row>
    <row r="178" spans="4:9" ht="18" customHeight="1">
      <c r="D178" s="426"/>
      <c r="E178" s="261" t="s">
        <v>218</v>
      </c>
      <c r="F178" s="411">
        <f>F179</f>
        <v>0</v>
      </c>
      <c r="G178" s="412">
        <f>G179</f>
        <v>0</v>
      </c>
      <c r="H178" s="412">
        <f>H179</f>
        <v>0</v>
      </c>
      <c r="I178" s="413">
        <f>I179</f>
        <v>0</v>
      </c>
    </row>
    <row r="179" spans="4:9" ht="18" customHeight="1">
      <c r="D179" s="417" t="s">
        <v>2186</v>
      </c>
      <c r="E179" s="418" t="s">
        <v>218</v>
      </c>
      <c r="F179" s="419">
        <f>SUMIF(N:N,D179,M:M)</f>
        <v>0</v>
      </c>
      <c r="G179" s="420">
        <v>0</v>
      </c>
      <c r="H179" s="420">
        <v>0</v>
      </c>
      <c r="I179" s="421">
        <v>0</v>
      </c>
    </row>
    <row r="180" spans="4:9" ht="18" customHeight="1">
      <c r="D180" s="432"/>
      <c r="E180" s="260" t="s">
        <v>183</v>
      </c>
      <c r="F180" s="404">
        <f>SUM(F181,F184,F186)+F188</f>
        <v>0</v>
      </c>
      <c r="G180" s="405">
        <f>SUM(G181,G184,G186)+G188</f>
        <v>0</v>
      </c>
      <c r="H180" s="405">
        <f>SUM(H181,H184,H186)+H188</f>
        <v>0</v>
      </c>
      <c r="I180" s="406">
        <f>SUM(I181,I184,I186)+I188</f>
        <v>0</v>
      </c>
    </row>
    <row r="181" spans="4:9" ht="18" customHeight="1">
      <c r="D181" s="426"/>
      <c r="E181" s="261" t="s">
        <v>184</v>
      </c>
      <c r="F181" s="411">
        <f>SUM(F182:F183)</f>
        <v>0</v>
      </c>
      <c r="G181" s="412">
        <f>SUM(G182:G183)</f>
        <v>0</v>
      </c>
      <c r="H181" s="412">
        <f>SUM(H182:H183)</f>
        <v>0</v>
      </c>
      <c r="I181" s="413">
        <f>SUM(I182:I183)</f>
        <v>0</v>
      </c>
    </row>
    <row r="182" spans="4:9" ht="18" customHeight="1">
      <c r="D182" s="417">
        <v>230700</v>
      </c>
      <c r="E182" s="418" t="s">
        <v>185</v>
      </c>
      <c r="F182" s="419">
        <f>SUMIF(N:N,D182,M:M)</f>
        <v>0</v>
      </c>
      <c r="G182" s="420">
        <v>0</v>
      </c>
      <c r="H182" s="420">
        <v>0</v>
      </c>
      <c r="I182" s="421">
        <v>0</v>
      </c>
    </row>
    <row r="183" spans="4:9" ht="18" customHeight="1">
      <c r="D183" s="417">
        <v>122110</v>
      </c>
      <c r="E183" s="418" t="s">
        <v>186</v>
      </c>
      <c r="F183" s="419">
        <f>SUMIF(N:N,D183,M:M)</f>
        <v>0</v>
      </c>
      <c r="G183" s="420">
        <v>0</v>
      </c>
      <c r="H183" s="420">
        <v>0</v>
      </c>
      <c r="I183" s="421">
        <v>0</v>
      </c>
    </row>
    <row r="184" spans="4:9" ht="18" customHeight="1">
      <c r="D184" s="426"/>
      <c r="E184" s="261" t="s">
        <v>187</v>
      </c>
      <c r="F184" s="411">
        <f>F185</f>
        <v>0</v>
      </c>
      <c r="G184" s="412">
        <f>G185</f>
        <v>0</v>
      </c>
      <c r="H184" s="412">
        <f>H185</f>
        <v>0</v>
      </c>
      <c r="I184" s="413">
        <f>I185</f>
        <v>0</v>
      </c>
    </row>
    <row r="185" spans="4:9" ht="18" customHeight="1">
      <c r="D185" s="417">
        <v>230900</v>
      </c>
      <c r="E185" s="418" t="s">
        <v>188</v>
      </c>
      <c r="F185" s="419">
        <f>SUMIF(N:N,D185,M:M)</f>
        <v>0</v>
      </c>
      <c r="G185" s="420">
        <v>0</v>
      </c>
      <c r="H185" s="420">
        <v>0</v>
      </c>
      <c r="I185" s="421">
        <v>0</v>
      </c>
    </row>
    <row r="186" spans="4:9" ht="18" customHeight="1">
      <c r="D186" s="426"/>
      <c r="E186" s="261" t="s">
        <v>189</v>
      </c>
      <c r="F186" s="411">
        <f>F187</f>
        <v>0</v>
      </c>
      <c r="G186" s="412">
        <f>G187</f>
        <v>0</v>
      </c>
      <c r="H186" s="412">
        <f>H187</f>
        <v>0</v>
      </c>
      <c r="I186" s="413">
        <f>I187</f>
        <v>0</v>
      </c>
    </row>
    <row r="187" spans="4:9" ht="18" customHeight="1">
      <c r="D187" s="417">
        <v>231600</v>
      </c>
      <c r="E187" s="418" t="s">
        <v>189</v>
      </c>
      <c r="F187" s="419">
        <f>SUMIF(N:N,D187,M:M)</f>
        <v>0</v>
      </c>
      <c r="G187" s="420">
        <v>0</v>
      </c>
      <c r="H187" s="420">
        <v>0</v>
      </c>
      <c r="I187" s="421">
        <v>0</v>
      </c>
    </row>
    <row r="188" spans="4:9" ht="18" customHeight="1">
      <c r="D188" s="426"/>
      <c r="E188" s="261" t="s">
        <v>484</v>
      </c>
      <c r="F188" s="411">
        <f>F189</f>
        <v>0</v>
      </c>
      <c r="G188" s="412">
        <f>G189</f>
        <v>0</v>
      </c>
      <c r="H188" s="412">
        <f>H189</f>
        <v>0</v>
      </c>
      <c r="I188" s="413">
        <f>I189</f>
        <v>0</v>
      </c>
    </row>
    <row r="189" spans="4:9" ht="18" customHeight="1">
      <c r="D189" s="417" t="s">
        <v>2161</v>
      </c>
      <c r="E189" s="418" t="s">
        <v>484</v>
      </c>
      <c r="F189" s="419">
        <f>SUMIF(N:N,D189,M:M)</f>
        <v>0</v>
      </c>
      <c r="G189" s="420">
        <v>0</v>
      </c>
      <c r="H189" s="420">
        <v>0</v>
      </c>
      <c r="I189" s="421">
        <v>0</v>
      </c>
    </row>
    <row r="190" spans="4:9" ht="18" customHeight="1">
      <c r="D190" s="434"/>
      <c r="E190" s="259" t="s">
        <v>14</v>
      </c>
      <c r="F190" s="398">
        <f>SUM(F191,F212)</f>
        <v>35469883</v>
      </c>
      <c r="G190" s="399">
        <f>SUM(G191,G212)</f>
        <v>0</v>
      </c>
      <c r="H190" s="399">
        <f>SUM(H191,H212)</f>
        <v>35469883</v>
      </c>
      <c r="I190" s="400">
        <f>SUM(I191,I212)</f>
        <v>35469883</v>
      </c>
    </row>
    <row r="191" spans="4:9" ht="18" customHeight="1">
      <c r="D191" s="432"/>
      <c r="E191" s="260" t="s">
        <v>11</v>
      </c>
      <c r="F191" s="404">
        <f>SUM(F192,F194,F198,F208)</f>
        <v>35469883</v>
      </c>
      <c r="G191" s="405">
        <f>SUM(G192,G194,G198,G208)</f>
        <v>0</v>
      </c>
      <c r="H191" s="405">
        <f>SUM(H192,H194,H198,H208)</f>
        <v>35469883</v>
      </c>
      <c r="I191" s="406">
        <f>SUM(I192,I194,I198,I208)</f>
        <v>35469883</v>
      </c>
    </row>
    <row r="192" spans="4:9" ht="18" customHeight="1">
      <c r="D192" s="426"/>
      <c r="E192" s="261" t="s">
        <v>10</v>
      </c>
      <c r="F192" s="411">
        <f>F193</f>
        <v>5000000</v>
      </c>
      <c r="G192" s="412">
        <f>G193</f>
        <v>0</v>
      </c>
      <c r="H192" s="412">
        <f>H193</f>
        <v>5000000</v>
      </c>
      <c r="I192" s="413">
        <f>I193</f>
        <v>5000000</v>
      </c>
    </row>
    <row r="193" spans="4:10" ht="18" customHeight="1">
      <c r="D193" s="417">
        <v>310100</v>
      </c>
      <c r="E193" s="418" t="s">
        <v>190</v>
      </c>
      <c r="F193" s="419">
        <f>SUMIF(N:N,D193,M:M)</f>
        <v>5000000</v>
      </c>
      <c r="G193" s="420">
        <v>0</v>
      </c>
      <c r="H193" s="420">
        <v>5000000</v>
      </c>
      <c r="I193" s="421">
        <v>5000000</v>
      </c>
    </row>
    <row r="194" spans="4:10" ht="18" customHeight="1">
      <c r="D194" s="426"/>
      <c r="E194" s="261" t="s">
        <v>12</v>
      </c>
      <c r="F194" s="411">
        <f>SUM(F195:F197)</f>
        <v>-807600</v>
      </c>
      <c r="G194" s="412">
        <f>SUM(G195:G197)</f>
        <v>0</v>
      </c>
      <c r="H194" s="412">
        <f>SUM(H195:H197)</f>
        <v>-807600</v>
      </c>
      <c r="I194" s="413">
        <f>SUM(I195:I197)</f>
        <v>-807600</v>
      </c>
    </row>
    <row r="195" spans="4:10" ht="18" customHeight="1">
      <c r="D195" s="417">
        <v>320100</v>
      </c>
      <c r="E195" s="418" t="s">
        <v>191</v>
      </c>
      <c r="F195" s="419">
        <f>SUMIF(N:N,D195,M:M)</f>
        <v>-807600</v>
      </c>
      <c r="G195" s="420">
        <v>0</v>
      </c>
      <c r="H195" s="420">
        <v>-807600</v>
      </c>
      <c r="I195" s="421">
        <v>-807600</v>
      </c>
    </row>
    <row r="196" spans="4:10" ht="18" customHeight="1">
      <c r="D196" s="417">
        <v>320500</v>
      </c>
      <c r="E196" s="418" t="s">
        <v>192</v>
      </c>
      <c r="F196" s="419">
        <f>SUMIF(N:N,D196,M:M)</f>
        <v>0</v>
      </c>
      <c r="G196" s="420">
        <v>0</v>
      </c>
      <c r="H196" s="420">
        <v>0</v>
      </c>
      <c r="I196" s="421">
        <v>0</v>
      </c>
    </row>
    <row r="197" spans="4:10" ht="18" customHeight="1">
      <c r="D197" s="417">
        <v>320300</v>
      </c>
      <c r="E197" s="418" t="s">
        <v>193</v>
      </c>
      <c r="F197" s="419">
        <f>SUMIF(N:N,D197,M:M)</f>
        <v>0</v>
      </c>
      <c r="G197" s="420">
        <v>0</v>
      </c>
      <c r="H197" s="420">
        <v>0</v>
      </c>
      <c r="I197" s="421">
        <v>0</v>
      </c>
    </row>
    <row r="198" spans="4:10" ht="18" customHeight="1">
      <c r="D198" s="426"/>
      <c r="E198" s="261" t="s">
        <v>194</v>
      </c>
      <c r="F198" s="411">
        <f>SUM(F199:F207)</f>
        <v>0</v>
      </c>
      <c r="G198" s="412">
        <f>SUM(G199:G207)</f>
        <v>0</v>
      </c>
      <c r="H198" s="412">
        <f>SUM(H199:H207)</f>
        <v>0</v>
      </c>
      <c r="I198" s="413">
        <f>SUM(I199:I207)</f>
        <v>0</v>
      </c>
    </row>
    <row r="199" spans="4:10" ht="18" customHeight="1">
      <c r="D199" s="417">
        <v>350300</v>
      </c>
      <c r="E199" s="418" t="s">
        <v>195</v>
      </c>
      <c r="F199" s="419">
        <f t="shared" ref="F199:F207" si="8">SUMIF(N:N,D199,M:M)</f>
        <v>0</v>
      </c>
      <c r="G199" s="420">
        <v>0</v>
      </c>
      <c r="H199" s="420">
        <v>0</v>
      </c>
      <c r="I199" s="421">
        <v>0</v>
      </c>
    </row>
    <row r="200" spans="4:10" ht="18" customHeight="1">
      <c r="D200" s="417">
        <v>350350</v>
      </c>
      <c r="E200" s="418" t="s">
        <v>196</v>
      </c>
      <c r="F200" s="419">
        <f t="shared" si="8"/>
        <v>0</v>
      </c>
      <c r="G200" s="420">
        <v>0</v>
      </c>
      <c r="H200" s="420">
        <v>0</v>
      </c>
      <c r="I200" s="421">
        <v>0</v>
      </c>
    </row>
    <row r="201" spans="4:10" ht="18" customHeight="1">
      <c r="D201" s="417" t="s">
        <v>1347</v>
      </c>
      <c r="E201" s="418" t="s">
        <v>225</v>
      </c>
      <c r="F201" s="419">
        <f t="shared" si="8"/>
        <v>0</v>
      </c>
      <c r="G201" s="420">
        <v>0</v>
      </c>
      <c r="H201" s="420">
        <v>0</v>
      </c>
      <c r="I201" s="421">
        <v>0</v>
      </c>
    </row>
    <row r="202" spans="4:10" ht="18" customHeight="1">
      <c r="D202" s="417">
        <v>350400</v>
      </c>
      <c r="E202" s="418" t="s">
        <v>197</v>
      </c>
      <c r="F202" s="419">
        <f t="shared" si="8"/>
        <v>0</v>
      </c>
      <c r="G202" s="420">
        <v>0</v>
      </c>
      <c r="H202" s="420">
        <v>0</v>
      </c>
      <c r="I202" s="421">
        <v>0</v>
      </c>
    </row>
    <row r="203" spans="4:10" ht="18" customHeight="1">
      <c r="D203" s="417">
        <v>350210</v>
      </c>
      <c r="E203" s="418" t="s">
        <v>198</v>
      </c>
      <c r="F203" s="419">
        <f t="shared" si="8"/>
        <v>0</v>
      </c>
      <c r="G203" s="420">
        <v>0</v>
      </c>
      <c r="H203" s="420">
        <v>0</v>
      </c>
      <c r="I203" s="421">
        <v>0</v>
      </c>
      <c r="J203" s="2"/>
    </row>
    <row r="204" spans="4:10" ht="18" customHeight="1">
      <c r="D204" s="417" t="s">
        <v>1350</v>
      </c>
      <c r="E204" s="418" t="s">
        <v>200</v>
      </c>
      <c r="F204" s="419">
        <f t="shared" si="8"/>
        <v>0</v>
      </c>
      <c r="G204" s="420">
        <v>0</v>
      </c>
      <c r="H204" s="420">
        <v>0</v>
      </c>
      <c r="I204" s="421">
        <v>0</v>
      </c>
      <c r="J204" s="5"/>
    </row>
    <row r="205" spans="4:10" ht="18" customHeight="1">
      <c r="D205" s="417" t="s">
        <v>1351</v>
      </c>
      <c r="E205" s="418" t="s">
        <v>202</v>
      </c>
      <c r="F205" s="419">
        <f t="shared" si="8"/>
        <v>0</v>
      </c>
      <c r="G205" s="420">
        <v>0</v>
      </c>
      <c r="H205" s="420">
        <v>0</v>
      </c>
      <c r="I205" s="421">
        <v>0</v>
      </c>
      <c r="J205" s="5"/>
    </row>
    <row r="206" spans="4:10" ht="18" customHeight="1">
      <c r="D206" s="417" t="s">
        <v>1352</v>
      </c>
      <c r="E206" s="418" t="s">
        <v>1348</v>
      </c>
      <c r="F206" s="419">
        <f t="shared" si="8"/>
        <v>0</v>
      </c>
      <c r="G206" s="420">
        <v>0</v>
      </c>
      <c r="H206" s="420">
        <v>0</v>
      </c>
      <c r="I206" s="421">
        <v>0</v>
      </c>
      <c r="J206" s="5"/>
    </row>
    <row r="207" spans="4:10" ht="18" customHeight="1">
      <c r="D207" s="417" t="s">
        <v>1353</v>
      </c>
      <c r="E207" s="418" t="s">
        <v>1349</v>
      </c>
      <c r="F207" s="419">
        <f t="shared" si="8"/>
        <v>0</v>
      </c>
      <c r="G207" s="420">
        <v>0</v>
      </c>
      <c r="H207" s="420"/>
      <c r="I207" s="421">
        <v>0</v>
      </c>
    </row>
    <row r="208" spans="4:10" ht="18" customHeight="1">
      <c r="D208" s="426"/>
      <c r="E208" s="261" t="s">
        <v>13</v>
      </c>
      <c r="F208" s="411">
        <f>SUM(F209:F211)</f>
        <v>31277483</v>
      </c>
      <c r="G208" s="412">
        <f>SUM(G209:G211)</f>
        <v>0</v>
      </c>
      <c r="H208" s="412">
        <f>SUM(H209:H211)</f>
        <v>31277483</v>
      </c>
      <c r="I208" s="413">
        <f>SUM(I209:I211)</f>
        <v>31277483</v>
      </c>
    </row>
    <row r="209" spans="4:9" ht="18" customHeight="1">
      <c r="D209" s="417">
        <v>350951</v>
      </c>
      <c r="E209" s="418" t="s">
        <v>205</v>
      </c>
      <c r="F209" s="419">
        <f>SUMIF(N:N,D209,M:M)</f>
        <v>0</v>
      </c>
      <c r="G209" s="420">
        <v>0</v>
      </c>
      <c r="H209" s="420">
        <v>0</v>
      </c>
      <c r="I209" s="421">
        <v>0</v>
      </c>
    </row>
    <row r="210" spans="4:9" ht="18" customHeight="1">
      <c r="D210" s="417" t="s">
        <v>1354</v>
      </c>
      <c r="E210" s="418" t="s">
        <v>207</v>
      </c>
      <c r="F210" s="419">
        <f>SUMIF(N:N,D210,M:M)</f>
        <v>75278331</v>
      </c>
      <c r="G210" s="420">
        <v>0</v>
      </c>
      <c r="H210" s="420">
        <v>75278331</v>
      </c>
      <c r="I210" s="421">
        <v>75278331</v>
      </c>
    </row>
    <row r="211" spans="4:9" ht="18" customHeight="1">
      <c r="D211" s="417" t="s">
        <v>1355</v>
      </c>
      <c r="E211" s="418" t="s">
        <v>209</v>
      </c>
      <c r="F211" s="419">
        <f>SUMIF(N:N,D211,M:M)</f>
        <v>-44000848</v>
      </c>
      <c r="G211" s="420">
        <v>0</v>
      </c>
      <c r="H211" s="420">
        <v>-44000848</v>
      </c>
      <c r="I211" s="421">
        <v>-44000848</v>
      </c>
    </row>
    <row r="212" spans="4:9" ht="18" customHeight="1">
      <c r="D212" s="432"/>
      <c r="E212" s="260" t="s">
        <v>210</v>
      </c>
      <c r="F212" s="404">
        <f>F213</f>
        <v>0</v>
      </c>
      <c r="G212" s="405">
        <f>G213</f>
        <v>0</v>
      </c>
      <c r="H212" s="405">
        <f>H213</f>
        <v>0</v>
      </c>
      <c r="I212" s="406">
        <f>I213</f>
        <v>0</v>
      </c>
    </row>
    <row r="213" spans="4:9" ht="18" customHeight="1">
      <c r="D213" s="435" t="s">
        <v>492</v>
      </c>
      <c r="E213" s="4" t="s">
        <v>210</v>
      </c>
      <c r="F213" s="419"/>
      <c r="G213" s="420"/>
      <c r="H213" s="420">
        <f>SUM(F213:G213)</f>
        <v>0</v>
      </c>
      <c r="I213" s="421">
        <f>ROUND(H213*$I$3,0)</f>
        <v>0</v>
      </c>
    </row>
    <row r="214" spans="4:9" ht="18" customHeight="1" thickBot="1">
      <c r="D214" s="436"/>
      <c r="E214" s="437" t="s">
        <v>212</v>
      </c>
      <c r="F214" s="438">
        <f>SUM(F191,F126)</f>
        <v>58675929</v>
      </c>
      <c r="G214" s="439">
        <f>SUM(G191,G126)</f>
        <v>0</v>
      </c>
      <c r="H214" s="439">
        <f>SUM(H191,H126)</f>
        <v>58675929</v>
      </c>
      <c r="I214" s="440">
        <f>SUM(I191,I126)</f>
        <v>58675929</v>
      </c>
    </row>
    <row r="215" spans="4:9" ht="18" customHeight="1">
      <c r="D215" s="258"/>
      <c r="I215" s="373"/>
    </row>
    <row r="216" spans="4:9" ht="18" customHeight="1">
      <c r="D216" s="258"/>
      <c r="F216" s="5"/>
      <c r="G216" s="5"/>
      <c r="H216" s="441"/>
      <c r="I216" s="441"/>
    </row>
    <row r="217" spans="4:9" ht="18" customHeight="1">
      <c r="D217" s="258"/>
      <c r="F217" s="5"/>
      <c r="H217" s="442">
        <v>0</v>
      </c>
      <c r="I217" s="442">
        <v>0</v>
      </c>
    </row>
    <row r="218" spans="4:9" ht="18" customHeight="1">
      <c r="D218" s="258"/>
      <c r="I218" s="443"/>
    </row>
    <row r="219" spans="4:9" ht="18" customHeight="1">
      <c r="D219" s="258"/>
      <c r="G219" s="5"/>
      <c r="H219" s="252"/>
    </row>
    <row r="220" spans="4:9" ht="18" customHeight="1">
      <c r="D220" s="258"/>
      <c r="H220" s="252"/>
    </row>
    <row r="221" spans="4:9" ht="18" customHeight="1">
      <c r="D221" s="258"/>
    </row>
    <row r="222" spans="4:9" ht="18" customHeight="1">
      <c r="D222" s="258"/>
      <c r="H222" s="373">
        <v>-269597302</v>
      </c>
      <c r="I222" s="373">
        <v>-3550252625</v>
      </c>
    </row>
    <row r="223" spans="4:9" ht="18" customHeight="1">
      <c r="D223" s="258"/>
      <c r="H223" s="444"/>
    </row>
    <row r="224" spans="4:9" ht="18" customHeight="1">
      <c r="D224" s="258"/>
      <c r="H224" s="445"/>
    </row>
    <row r="225" spans="4:4" ht="18" customHeight="1">
      <c r="D225" s="258"/>
    </row>
    <row r="226" spans="4:4" ht="18" customHeight="1">
      <c r="D226" s="258"/>
    </row>
    <row r="227" spans="4:4" ht="18" customHeight="1">
      <c r="D227" s="258"/>
    </row>
    <row r="228" spans="4:4" ht="18" customHeight="1">
      <c r="D228" s="258"/>
    </row>
    <row r="229" spans="4:4" ht="18" customHeight="1">
      <c r="D229" s="258"/>
    </row>
    <row r="230" spans="4:4" ht="18" customHeight="1">
      <c r="D230" s="258"/>
    </row>
    <row r="231" spans="4:4" ht="18" customHeight="1">
      <c r="D231" s="258"/>
    </row>
    <row r="232" spans="4:4" ht="18" customHeight="1">
      <c r="D232" s="258"/>
    </row>
    <row r="233" spans="4:4" ht="18" customHeight="1">
      <c r="D233" s="258"/>
    </row>
    <row r="234" spans="4:4" ht="18" customHeight="1">
      <c r="D234" s="258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002060"/>
  </sheetPr>
  <dimension ref="D2:U315"/>
  <sheetViews>
    <sheetView showGridLines="0" topLeftCell="A2" zoomScale="80" zoomScaleNormal="80" workbookViewId="0">
      <pane xSplit="8" ySplit="3" topLeftCell="I5" activePane="bottomRight" state="frozen"/>
      <selection activeCell="F26" sqref="F26"/>
      <selection pane="topRight" activeCell="F26" sqref="F26"/>
      <selection pane="bottomLeft" activeCell="F26" sqref="F26"/>
      <selection pane="bottomRight" activeCell="T289" sqref="T289"/>
    </sheetView>
  </sheetViews>
  <sheetFormatPr defaultColWidth="8.75" defaultRowHeight="18" customHeight="1"/>
  <cols>
    <col min="1" max="3" width="2.375" style="498" customWidth="1"/>
    <col min="4" max="4" width="9.875" style="1245" customWidth="1"/>
    <col min="5" max="7" width="9.875" style="1246" customWidth="1"/>
    <col min="8" max="8" width="37.375" style="1246" bestFit="1" customWidth="1"/>
    <col min="9" max="9" width="2.875" style="1246" customWidth="1"/>
    <col min="10" max="10" width="18.125" style="1246" customWidth="1"/>
    <col min="11" max="13" width="17.625" style="1246" customWidth="1"/>
    <col min="14" max="14" width="2.625" style="498" customWidth="1"/>
    <col min="15" max="15" width="19.625" style="524" customWidth="1"/>
    <col min="16" max="16" width="15" style="1246" customWidth="1"/>
    <col min="17" max="17" width="17.375" style="565" customWidth="1"/>
    <col min="18" max="18" width="2.625" style="498" customWidth="1"/>
    <col min="19" max="19" width="11.25" style="498" customWidth="1"/>
    <col min="20" max="20" width="14.875" style="498" customWidth="1"/>
    <col min="21" max="21" width="10.875" style="498" bestFit="1" customWidth="1"/>
    <col min="22" max="16384" width="8.75" style="498"/>
  </cols>
  <sheetData>
    <row r="2" spans="4:20" ht="18" customHeight="1">
      <c r="K2" s="1247"/>
    </row>
    <row r="3" spans="4:20" s="540" customFormat="1" ht="18" customHeight="1" thickBot="1">
      <c r="D3" s="1248"/>
      <c r="K3" s="540" t="b">
        <f>K315=0</f>
        <v>0</v>
      </c>
      <c r="L3" s="540" t="b">
        <f>L315=0</f>
        <v>0</v>
      </c>
      <c r="M3" s="540" t="b">
        <f>M315=0</f>
        <v>1</v>
      </c>
      <c r="O3" s="530" t="s">
        <v>2888</v>
      </c>
      <c r="P3" s="524"/>
      <c r="Q3" s="495"/>
    </row>
    <row r="4" spans="4:20" s="519" customFormat="1" ht="18" customHeight="1" thickBot="1">
      <c r="D4" s="1249" t="s">
        <v>1478</v>
      </c>
      <c r="E4" s="1250" t="s">
        <v>1479</v>
      </c>
      <c r="F4" s="1250" t="s">
        <v>1480</v>
      </c>
      <c r="G4" s="1250" t="s">
        <v>1481</v>
      </c>
      <c r="H4" s="1250" t="s">
        <v>691</v>
      </c>
      <c r="I4" s="1250"/>
      <c r="J4" s="1250" t="s">
        <v>1482</v>
      </c>
      <c r="K4" s="1250" t="s">
        <v>1530</v>
      </c>
      <c r="L4" s="1250" t="s">
        <v>1529</v>
      </c>
      <c r="M4" s="1251" t="s">
        <v>1528</v>
      </c>
      <c r="O4" s="1252" t="s">
        <v>18</v>
      </c>
      <c r="P4" s="1253" t="s">
        <v>610</v>
      </c>
      <c r="Q4" s="1254" t="s">
        <v>477</v>
      </c>
    </row>
    <row r="5" spans="4:20" ht="18" customHeight="1">
      <c r="D5" s="1255">
        <v>2022</v>
      </c>
      <c r="E5" s="1256">
        <v>3</v>
      </c>
      <c r="F5" s="1256" t="s">
        <v>1483</v>
      </c>
      <c r="G5" s="1256" t="s">
        <v>692</v>
      </c>
      <c r="H5" s="1256" t="s">
        <v>693</v>
      </c>
      <c r="I5" s="1256">
        <v>1</v>
      </c>
      <c r="J5" s="1256" t="s">
        <v>1484</v>
      </c>
      <c r="K5" s="1256">
        <f>SUM(K6,K8,K62,K105,K149)</f>
        <v>11176346398</v>
      </c>
      <c r="L5" s="1256">
        <f>SUM(L6,L8,L62,L105,L149)</f>
        <v>11176346398</v>
      </c>
      <c r="M5" s="1257">
        <f>SUM(M6,M8,M62,M105,M149)</f>
        <v>0</v>
      </c>
      <c r="O5" s="1258"/>
      <c r="P5" s="1259">
        <f>O5-L5</f>
        <v>-11176346398</v>
      </c>
      <c r="Q5" s="1260"/>
      <c r="S5" s="498" t="s">
        <v>1914</v>
      </c>
      <c r="T5" s="498">
        <f>-SUMIF(T198_TB!$M:$M,'CFS(연간)'!S5,T198_TB!$L:$L)</f>
        <v>222552493271</v>
      </c>
    </row>
    <row r="6" spans="4:20" ht="18" customHeight="1">
      <c r="D6" s="1261">
        <v>2022</v>
      </c>
      <c r="E6" s="1262">
        <v>3</v>
      </c>
      <c r="F6" s="1262" t="s">
        <v>632</v>
      </c>
      <c r="G6" s="1262" t="s">
        <v>694</v>
      </c>
      <c r="H6" s="1262" t="s">
        <v>209</v>
      </c>
      <c r="I6" s="1262">
        <v>2</v>
      </c>
      <c r="J6" s="1262" t="s">
        <v>473</v>
      </c>
      <c r="K6" s="1262">
        <f>K7</f>
        <v>46029036772</v>
      </c>
      <c r="L6" s="1262">
        <f>L7</f>
        <v>46029036772</v>
      </c>
      <c r="M6" s="1263">
        <f>L6-K6</f>
        <v>0</v>
      </c>
      <c r="O6" s="1258"/>
      <c r="P6" s="1259">
        <f t="shared" ref="P6:P67" si="0">O6-L6</f>
        <v>-46029036772</v>
      </c>
      <c r="Q6" s="1260"/>
      <c r="S6" s="498" t="s">
        <v>2061</v>
      </c>
      <c r="T6" s="498">
        <f>-SUMIF(T198_TB!$M:$M,'CFS(연간)'!S6,T198_TB!$L:$L)</f>
        <v>-172448604423</v>
      </c>
    </row>
    <row r="7" spans="4:20" ht="18" customHeight="1">
      <c r="D7" s="1264">
        <v>2022</v>
      </c>
      <c r="E7" s="1259">
        <v>3</v>
      </c>
      <c r="F7" s="1259" t="s">
        <v>632</v>
      </c>
      <c r="G7" s="1259" t="s">
        <v>695</v>
      </c>
      <c r="H7" s="1259" t="s">
        <v>696</v>
      </c>
      <c r="I7" s="1259">
        <v>3</v>
      </c>
      <c r="J7" s="1259" t="s">
        <v>473</v>
      </c>
      <c r="K7" s="1259">
        <f>SUMIF(CF.1!$D:$D,'CFS(연간)'!G7,CF.1!$U:$U)</f>
        <v>46029036772</v>
      </c>
      <c r="L7" s="1259">
        <f>K7</f>
        <v>46029036772</v>
      </c>
      <c r="M7" s="1265">
        <f>L7-K7</f>
        <v>0</v>
      </c>
      <c r="O7" s="1258"/>
      <c r="P7" s="1259">
        <f t="shared" si="0"/>
        <v>-46029036772</v>
      </c>
      <c r="Q7" s="1260"/>
      <c r="S7" s="498" t="s">
        <v>2063</v>
      </c>
      <c r="T7" s="498">
        <f>-SUMIF(T198_TB!$M:$M,'CFS(연간)'!S7,T198_TB!$L:$L)</f>
        <v>-52133436542</v>
      </c>
    </row>
    <row r="8" spans="4:20" ht="18" customHeight="1">
      <c r="D8" s="1266">
        <v>2022</v>
      </c>
      <c r="E8" s="1267">
        <v>3</v>
      </c>
      <c r="F8" s="1267" t="s">
        <v>632</v>
      </c>
      <c r="G8" s="1267" t="s">
        <v>697</v>
      </c>
      <c r="H8" s="1267" t="s">
        <v>2572</v>
      </c>
      <c r="I8" s="1267">
        <v>2</v>
      </c>
      <c r="J8" s="1267" t="s">
        <v>473</v>
      </c>
      <c r="K8" s="1267">
        <f>SUM(K9:K61)</f>
        <v>12059052888</v>
      </c>
      <c r="L8" s="1267">
        <f>SUM(L9:L61)</f>
        <v>12059052888</v>
      </c>
      <c r="M8" s="1268">
        <f>SUM(M9:M61)</f>
        <v>0</v>
      </c>
      <c r="O8" s="1258"/>
      <c r="P8" s="1259">
        <f t="shared" si="0"/>
        <v>-12059052888</v>
      </c>
      <c r="Q8" s="1260"/>
      <c r="S8" s="498" t="s">
        <v>2064</v>
      </c>
      <c r="T8" s="498">
        <f>-SUMIF(T198_TB!$M:$M,'CFS(연간)'!S8,T198_TB!$L:$L)</f>
        <v>49986285752</v>
      </c>
    </row>
    <row r="9" spans="4:20" s="543" customFormat="1" ht="18" customHeight="1">
      <c r="D9" s="1269">
        <v>2022</v>
      </c>
      <c r="E9" s="1270">
        <v>3</v>
      </c>
      <c r="F9" s="1270" t="s">
        <v>632</v>
      </c>
      <c r="G9" s="1270" t="s">
        <v>699</v>
      </c>
      <c r="H9" s="1270" t="s">
        <v>488</v>
      </c>
      <c r="I9" s="1270">
        <v>3</v>
      </c>
      <c r="J9" s="1270" t="s">
        <v>473</v>
      </c>
      <c r="K9" s="1270">
        <f>SUMIF(CF.1!$D:$D,'CFS(연간)'!G9,CF.1!$U:$U)</f>
        <v>1054349734</v>
      </c>
      <c r="L9" s="1270">
        <f t="shared" ref="L9:L44" si="1">K9</f>
        <v>1054349734</v>
      </c>
      <c r="M9" s="1271">
        <f t="shared" ref="M9:M25" si="2">L9-K9</f>
        <v>0</v>
      </c>
      <c r="O9" s="1272"/>
      <c r="P9" s="1259">
        <f t="shared" si="0"/>
        <v>-1054349734</v>
      </c>
      <c r="Q9" s="1273"/>
      <c r="S9" s="498" t="s">
        <v>2065</v>
      </c>
      <c r="T9" s="498">
        <f>-SUMIF(T198_TB!$M:$M,'CFS(연간)'!S9,T198_TB!$L:$L)</f>
        <v>-2259746993</v>
      </c>
    </row>
    <row r="10" spans="4:20" ht="18" customHeight="1">
      <c r="D10" s="1269">
        <v>2022</v>
      </c>
      <c r="E10" s="1270">
        <v>3</v>
      </c>
      <c r="F10" s="1270" t="s">
        <v>632</v>
      </c>
      <c r="G10" s="1270" t="s">
        <v>700</v>
      </c>
      <c r="H10" s="1270" t="s">
        <v>386</v>
      </c>
      <c r="I10" s="1270">
        <v>3</v>
      </c>
      <c r="J10" s="1270" t="s">
        <v>473</v>
      </c>
      <c r="K10" s="1270">
        <f>SUMIF(CF.1!$D:$D,'CFS(연간)'!G10,CF.1!$U:$U)</f>
        <v>2714238500</v>
      </c>
      <c r="L10" s="1270">
        <f t="shared" si="1"/>
        <v>2714238500</v>
      </c>
      <c r="M10" s="1271">
        <f t="shared" si="2"/>
        <v>0</v>
      </c>
      <c r="O10" s="1274"/>
      <c r="P10" s="1259">
        <f t="shared" si="0"/>
        <v>-2714238500</v>
      </c>
      <c r="Q10" s="1260"/>
      <c r="S10" s="543" t="s">
        <v>1916</v>
      </c>
      <c r="T10" s="543">
        <f>SUM(T5:T9)</f>
        <v>45696991065</v>
      </c>
    </row>
    <row r="11" spans="4:20" s="543" customFormat="1" ht="18" customHeight="1">
      <c r="D11" s="1275">
        <v>2022</v>
      </c>
      <c r="E11" s="1270">
        <v>3</v>
      </c>
      <c r="F11" s="1270" t="s">
        <v>632</v>
      </c>
      <c r="G11" s="1270" t="s">
        <v>2563</v>
      </c>
      <c r="H11" s="1270" t="s">
        <v>2561</v>
      </c>
      <c r="I11" s="1270">
        <v>3</v>
      </c>
      <c r="J11" s="1270" t="s">
        <v>473</v>
      </c>
      <c r="K11" s="1270">
        <f>SUMIF(CF.1!$D:$D,'CFS(연간)'!G11,CF.1!$U:$U)</f>
        <v>2127018031</v>
      </c>
      <c r="L11" s="1270">
        <f t="shared" si="1"/>
        <v>2127018031</v>
      </c>
      <c r="M11" s="1271">
        <f t="shared" si="2"/>
        <v>0</v>
      </c>
      <c r="O11" s="1272"/>
      <c r="P11" s="1259">
        <f t="shared" si="0"/>
        <v>-2127018031</v>
      </c>
      <c r="Q11" s="1273"/>
      <c r="S11" s="498"/>
      <c r="T11" s="498">
        <f>L7-T10</f>
        <v>332045707</v>
      </c>
    </row>
    <row r="12" spans="4:20" ht="18" customHeight="1">
      <c r="D12" s="1269">
        <v>2022</v>
      </c>
      <c r="E12" s="1270">
        <v>3</v>
      </c>
      <c r="F12" s="1270" t="s">
        <v>632</v>
      </c>
      <c r="G12" s="1270" t="s">
        <v>701</v>
      </c>
      <c r="H12" s="1270" t="s">
        <v>262</v>
      </c>
      <c r="I12" s="1270">
        <v>3</v>
      </c>
      <c r="J12" s="1270" t="s">
        <v>473</v>
      </c>
      <c r="K12" s="1270">
        <f>SUMIF(CF.1!$D:$D,'CFS(연간)'!G12,CF.1!$U:$U)</f>
        <v>1438114849</v>
      </c>
      <c r="L12" s="1270">
        <f t="shared" si="1"/>
        <v>1438114849</v>
      </c>
      <c r="M12" s="1271">
        <f t="shared" si="2"/>
        <v>0</v>
      </c>
      <c r="O12" s="1272"/>
      <c r="P12" s="1259">
        <f t="shared" si="0"/>
        <v>-1438114849</v>
      </c>
      <c r="Q12" s="1260"/>
      <c r="S12" s="543"/>
      <c r="T12" s="543"/>
    </row>
    <row r="13" spans="4:20" ht="18" customHeight="1">
      <c r="D13" s="1269">
        <v>2022</v>
      </c>
      <c r="E13" s="1270">
        <v>3</v>
      </c>
      <c r="F13" s="1270" t="s">
        <v>632</v>
      </c>
      <c r="G13" s="1270" t="s">
        <v>702</v>
      </c>
      <c r="H13" s="1270" t="s">
        <v>302</v>
      </c>
      <c r="I13" s="1270">
        <v>3</v>
      </c>
      <c r="J13" s="1270" t="s">
        <v>473</v>
      </c>
      <c r="K13" s="1270">
        <f>SUMIF(CF.1!$D:$D,'CFS(연간)'!G13,CF.1!$U:$U)</f>
        <v>11147782</v>
      </c>
      <c r="L13" s="1270">
        <f t="shared" si="1"/>
        <v>11147782</v>
      </c>
      <c r="M13" s="1271">
        <f t="shared" si="2"/>
        <v>0</v>
      </c>
      <c r="O13" s="1272"/>
      <c r="P13" s="1259">
        <f t="shared" si="0"/>
        <v>-11147782</v>
      </c>
      <c r="Q13" s="1260"/>
    </row>
    <row r="14" spans="4:20" ht="18" customHeight="1">
      <c r="D14" s="1269">
        <v>2022</v>
      </c>
      <c r="E14" s="1270">
        <v>3</v>
      </c>
      <c r="F14" s="1270" t="s">
        <v>632</v>
      </c>
      <c r="G14" s="1270" t="s">
        <v>703</v>
      </c>
      <c r="H14" s="1270" t="s">
        <v>683</v>
      </c>
      <c r="I14" s="1270">
        <v>3</v>
      </c>
      <c r="J14" s="1270" t="s">
        <v>473</v>
      </c>
      <c r="K14" s="1270">
        <f>SUMIF(CF.1!$D:$D,'CFS(연간)'!G14,CF.1!$U:$U)</f>
        <v>103356804</v>
      </c>
      <c r="L14" s="1270">
        <f t="shared" si="1"/>
        <v>103356804</v>
      </c>
      <c r="M14" s="1271">
        <f t="shared" si="2"/>
        <v>0</v>
      </c>
      <c r="O14" s="1272"/>
      <c r="P14" s="1259">
        <f t="shared" si="0"/>
        <v>-103356804</v>
      </c>
      <c r="Q14" s="1260"/>
      <c r="S14" s="543"/>
      <c r="T14" s="543"/>
    </row>
    <row r="15" spans="4:20" ht="18" customHeight="1">
      <c r="D15" s="1269">
        <v>2022</v>
      </c>
      <c r="E15" s="1270">
        <v>3</v>
      </c>
      <c r="F15" s="1270" t="s">
        <v>632</v>
      </c>
      <c r="G15" s="1270" t="s">
        <v>704</v>
      </c>
      <c r="H15" s="1270" t="s">
        <v>705</v>
      </c>
      <c r="I15" s="1270">
        <v>3</v>
      </c>
      <c r="J15" s="1270" t="s">
        <v>473</v>
      </c>
      <c r="K15" s="1270">
        <f>SUMIF(CF.1!$D:$D,'CFS(연간)'!G15,CF.1!$U:$U)</f>
        <v>0</v>
      </c>
      <c r="L15" s="1270">
        <f t="shared" si="1"/>
        <v>0</v>
      </c>
      <c r="M15" s="1271">
        <f t="shared" si="2"/>
        <v>0</v>
      </c>
      <c r="O15" s="1272"/>
      <c r="P15" s="1259">
        <f t="shared" si="0"/>
        <v>0</v>
      </c>
      <c r="Q15" s="1260"/>
    </row>
    <row r="16" spans="4:20" ht="18" customHeight="1">
      <c r="D16" s="1275">
        <v>2022</v>
      </c>
      <c r="E16" s="1276">
        <v>3</v>
      </c>
      <c r="F16" s="1276" t="s">
        <v>632</v>
      </c>
      <c r="G16" s="1276" t="s">
        <v>788</v>
      </c>
      <c r="H16" s="1276" t="s">
        <v>789</v>
      </c>
      <c r="I16" s="1270">
        <v>3</v>
      </c>
      <c r="J16" s="1270" t="s">
        <v>473</v>
      </c>
      <c r="K16" s="1270">
        <f>SUMIF(CF.1!$D:$D,'CFS(연간)'!G16,CF.1!$U:$U)</f>
        <v>2394018200</v>
      </c>
      <c r="L16" s="1270">
        <f t="shared" si="1"/>
        <v>2394018200</v>
      </c>
      <c r="M16" s="1271">
        <f t="shared" si="2"/>
        <v>0</v>
      </c>
      <c r="O16" s="1272"/>
      <c r="P16" s="1259">
        <f t="shared" si="0"/>
        <v>-2394018200</v>
      </c>
      <c r="Q16" s="1260"/>
    </row>
    <row r="17" spans="4:17" ht="18" customHeight="1">
      <c r="D17" s="1269">
        <v>2022</v>
      </c>
      <c r="E17" s="1270">
        <v>3</v>
      </c>
      <c r="F17" s="1270" t="s">
        <v>632</v>
      </c>
      <c r="G17" s="1270" t="s">
        <v>708</v>
      </c>
      <c r="H17" s="1270" t="s">
        <v>709</v>
      </c>
      <c r="I17" s="1270">
        <v>3</v>
      </c>
      <c r="J17" s="1270" t="s">
        <v>473</v>
      </c>
      <c r="K17" s="1270">
        <f>SUMIF(CF.1!$D:$D,'CFS(연간)'!G17,CF.1!$U:$U)</f>
        <v>0</v>
      </c>
      <c r="L17" s="1270">
        <f t="shared" si="1"/>
        <v>0</v>
      </c>
      <c r="M17" s="1271">
        <f t="shared" si="2"/>
        <v>0</v>
      </c>
      <c r="O17" s="1272"/>
      <c r="P17" s="1259">
        <f t="shared" si="0"/>
        <v>0</v>
      </c>
      <c r="Q17" s="1260"/>
    </row>
    <row r="18" spans="4:17" ht="18" customHeight="1">
      <c r="D18" s="1269">
        <v>2022</v>
      </c>
      <c r="E18" s="1270">
        <v>3</v>
      </c>
      <c r="F18" s="1270" t="s">
        <v>632</v>
      </c>
      <c r="G18" s="1270" t="s">
        <v>710</v>
      </c>
      <c r="H18" s="1270" t="s">
        <v>711</v>
      </c>
      <c r="I18" s="1270">
        <v>3</v>
      </c>
      <c r="J18" s="1270" t="s">
        <v>473</v>
      </c>
      <c r="K18" s="1270">
        <f>SUMIF(CF.1!$D:$D,'CFS(연간)'!G18,CF.1!$U:$U)</f>
        <v>0</v>
      </c>
      <c r="L18" s="1270">
        <f t="shared" si="1"/>
        <v>0</v>
      </c>
      <c r="M18" s="1271">
        <f t="shared" si="2"/>
        <v>0</v>
      </c>
      <c r="O18" s="1272"/>
      <c r="P18" s="1259">
        <f t="shared" si="0"/>
        <v>0</v>
      </c>
      <c r="Q18" s="1260"/>
    </row>
    <row r="19" spans="4:17" ht="18" customHeight="1">
      <c r="D19" s="1269">
        <v>2022</v>
      </c>
      <c r="E19" s="1270">
        <v>3</v>
      </c>
      <c r="F19" s="1270" t="s">
        <v>632</v>
      </c>
      <c r="G19" s="1270" t="s">
        <v>712</v>
      </c>
      <c r="H19" s="1270" t="s">
        <v>713</v>
      </c>
      <c r="I19" s="1270">
        <v>3</v>
      </c>
      <c r="J19" s="1270" t="s">
        <v>473</v>
      </c>
      <c r="K19" s="1270">
        <f>SUMIF(CF.1!$D:$D,'CFS(연간)'!G19,CF.1!$U:$U)</f>
        <v>0</v>
      </c>
      <c r="L19" s="1270">
        <f t="shared" si="1"/>
        <v>0</v>
      </c>
      <c r="M19" s="1271">
        <f t="shared" si="2"/>
        <v>0</v>
      </c>
      <c r="O19" s="1272"/>
      <c r="P19" s="1259">
        <f t="shared" si="0"/>
        <v>0</v>
      </c>
      <c r="Q19" s="1260"/>
    </row>
    <row r="20" spans="4:17" ht="18" customHeight="1">
      <c r="D20" s="1269">
        <v>2022</v>
      </c>
      <c r="E20" s="1270">
        <v>3</v>
      </c>
      <c r="F20" s="1270" t="s">
        <v>632</v>
      </c>
      <c r="G20" s="1270" t="s">
        <v>714</v>
      </c>
      <c r="H20" s="1270" t="s">
        <v>715</v>
      </c>
      <c r="I20" s="1270">
        <v>3</v>
      </c>
      <c r="J20" s="1270" t="s">
        <v>473</v>
      </c>
      <c r="K20" s="1270">
        <f>SUMIF(CF.1!$D:$D,'CFS(연간)'!G20,CF.1!$U:$U)</f>
        <v>766553853</v>
      </c>
      <c r="L20" s="1270">
        <f t="shared" si="1"/>
        <v>766553853</v>
      </c>
      <c r="M20" s="1271">
        <f t="shared" si="2"/>
        <v>0</v>
      </c>
      <c r="O20" s="1272"/>
      <c r="P20" s="1259">
        <f t="shared" si="0"/>
        <v>-766553853</v>
      </c>
      <c r="Q20" s="1260"/>
    </row>
    <row r="21" spans="4:17" ht="18" customHeight="1">
      <c r="D21" s="1269">
        <v>2022</v>
      </c>
      <c r="E21" s="1270">
        <v>3</v>
      </c>
      <c r="F21" s="1270" t="s">
        <v>632</v>
      </c>
      <c r="G21" s="1270" t="s">
        <v>716</v>
      </c>
      <c r="H21" s="1270" t="s">
        <v>717</v>
      </c>
      <c r="I21" s="1270">
        <v>3</v>
      </c>
      <c r="J21" s="1270" t="s">
        <v>473</v>
      </c>
      <c r="K21" s="1270">
        <f>SUMIF(CF.1!$D:$D,'CFS(연간)'!G21,CF.1!$U:$U)</f>
        <v>0</v>
      </c>
      <c r="L21" s="1270">
        <f t="shared" si="1"/>
        <v>0</v>
      </c>
      <c r="M21" s="1271">
        <f t="shared" si="2"/>
        <v>0</v>
      </c>
      <c r="O21" s="1272"/>
      <c r="P21" s="1259">
        <f t="shared" si="0"/>
        <v>0</v>
      </c>
      <c r="Q21" s="1260"/>
    </row>
    <row r="22" spans="4:17" ht="18" customHeight="1">
      <c r="D22" s="1269">
        <v>2022</v>
      </c>
      <c r="E22" s="1270">
        <v>3</v>
      </c>
      <c r="F22" s="1270" t="s">
        <v>632</v>
      </c>
      <c r="G22" s="1270" t="s">
        <v>718</v>
      </c>
      <c r="H22" s="1270" t="s">
        <v>719</v>
      </c>
      <c r="I22" s="1270">
        <v>3</v>
      </c>
      <c r="J22" s="1270" t="s">
        <v>473</v>
      </c>
      <c r="K22" s="1270">
        <f>SUMIF(CF.1!$D:$D,'CFS(연간)'!G22,CF.1!$U:$U)</f>
        <v>0</v>
      </c>
      <c r="L22" s="1270">
        <f t="shared" si="1"/>
        <v>0</v>
      </c>
      <c r="M22" s="1271">
        <f t="shared" si="2"/>
        <v>0</v>
      </c>
      <c r="O22" s="1272"/>
      <c r="P22" s="1259">
        <f t="shared" si="0"/>
        <v>0</v>
      </c>
      <c r="Q22" s="1260"/>
    </row>
    <row r="23" spans="4:17" ht="18" customHeight="1">
      <c r="D23" s="1269">
        <v>2022</v>
      </c>
      <c r="E23" s="1270">
        <v>3</v>
      </c>
      <c r="F23" s="1270" t="s">
        <v>632</v>
      </c>
      <c r="G23" s="1270" t="s">
        <v>720</v>
      </c>
      <c r="H23" s="1270" t="s">
        <v>721</v>
      </c>
      <c r="I23" s="1270">
        <v>3</v>
      </c>
      <c r="J23" s="1270" t="s">
        <v>473</v>
      </c>
      <c r="K23" s="1270">
        <f>SUMIF(CF.1!$D:$D,'CFS(연간)'!G23,CF.1!$U:$U)</f>
        <v>0</v>
      </c>
      <c r="L23" s="1270">
        <f t="shared" si="1"/>
        <v>0</v>
      </c>
      <c r="M23" s="1271">
        <f t="shared" si="2"/>
        <v>0</v>
      </c>
      <c r="O23" s="1272"/>
      <c r="P23" s="1259">
        <f t="shared" si="0"/>
        <v>0</v>
      </c>
      <c r="Q23" s="1260"/>
    </row>
    <row r="24" spans="4:17" ht="18" customHeight="1">
      <c r="D24" s="1269">
        <v>2022</v>
      </c>
      <c r="E24" s="1270">
        <v>3</v>
      </c>
      <c r="F24" s="1270" t="s">
        <v>632</v>
      </c>
      <c r="G24" s="1270" t="s">
        <v>722</v>
      </c>
      <c r="H24" s="1270" t="s">
        <v>723</v>
      </c>
      <c r="I24" s="1270">
        <v>3</v>
      </c>
      <c r="J24" s="1270" t="s">
        <v>473</v>
      </c>
      <c r="K24" s="1270">
        <f>SUMIF(CF.1!$D:$D,'CFS(연간)'!G24,CF.1!$U:$U)</f>
        <v>0</v>
      </c>
      <c r="L24" s="1270">
        <f t="shared" si="1"/>
        <v>0</v>
      </c>
      <c r="M24" s="1271">
        <f t="shared" si="2"/>
        <v>0</v>
      </c>
      <c r="O24" s="1272"/>
      <c r="P24" s="1259">
        <f t="shared" si="0"/>
        <v>0</v>
      </c>
      <c r="Q24" s="1260"/>
    </row>
    <row r="25" spans="4:17" ht="18" customHeight="1">
      <c r="D25" s="1269">
        <v>2022</v>
      </c>
      <c r="E25" s="1270">
        <v>3</v>
      </c>
      <c r="F25" s="1270" t="s">
        <v>632</v>
      </c>
      <c r="G25" s="1270" t="s">
        <v>724</v>
      </c>
      <c r="H25" s="1270" t="s">
        <v>725</v>
      </c>
      <c r="I25" s="1270">
        <v>3</v>
      </c>
      <c r="J25" s="1270" t="s">
        <v>473</v>
      </c>
      <c r="K25" s="1270">
        <f>SUMIF(CF.1!$D:$D,'CFS(연간)'!G25,CF.1!$U:$U)</f>
        <v>0</v>
      </c>
      <c r="L25" s="1270">
        <f t="shared" si="1"/>
        <v>0</v>
      </c>
      <c r="M25" s="1271">
        <f t="shared" si="2"/>
        <v>0</v>
      </c>
      <c r="O25" s="1272"/>
      <c r="P25" s="1259">
        <f t="shared" si="0"/>
        <v>0</v>
      </c>
      <c r="Q25" s="1260"/>
    </row>
    <row r="26" spans="4:17" ht="18" customHeight="1">
      <c r="D26" s="1269">
        <v>2022</v>
      </c>
      <c r="E26" s="1270">
        <v>3</v>
      </c>
      <c r="F26" s="1270" t="s">
        <v>632</v>
      </c>
      <c r="G26" s="1270" t="s">
        <v>726</v>
      </c>
      <c r="H26" s="1270" t="s">
        <v>727</v>
      </c>
      <c r="I26" s="1270">
        <v>3</v>
      </c>
      <c r="J26" s="1270" t="s">
        <v>473</v>
      </c>
      <c r="K26" s="1270">
        <f>SUMIF(CF.1!$D:$D,'CFS(연간)'!G26,CF.1!$U:$U)</f>
        <v>0</v>
      </c>
      <c r="L26" s="1270">
        <f t="shared" si="1"/>
        <v>0</v>
      </c>
      <c r="M26" s="1271">
        <f t="shared" ref="M26:M61" si="3">L26-K26</f>
        <v>0</v>
      </c>
      <c r="O26" s="1272"/>
      <c r="P26" s="1259">
        <f t="shared" si="0"/>
        <v>0</v>
      </c>
      <c r="Q26" s="1260"/>
    </row>
    <row r="27" spans="4:17" ht="18" customHeight="1">
      <c r="D27" s="1269">
        <v>2022</v>
      </c>
      <c r="E27" s="1270">
        <v>3</v>
      </c>
      <c r="F27" s="1270" t="s">
        <v>632</v>
      </c>
      <c r="G27" s="1270" t="s">
        <v>728</v>
      </c>
      <c r="H27" s="1270" t="s">
        <v>729</v>
      </c>
      <c r="I27" s="1270">
        <v>3</v>
      </c>
      <c r="J27" s="1270" t="s">
        <v>473</v>
      </c>
      <c r="K27" s="1270">
        <f>SUMIF(CF.1!$D:$D,'CFS(연간)'!G27,CF.1!$U:$U)</f>
        <v>0</v>
      </c>
      <c r="L27" s="1270">
        <f t="shared" si="1"/>
        <v>0</v>
      </c>
      <c r="M27" s="1271">
        <f t="shared" si="3"/>
        <v>0</v>
      </c>
      <c r="O27" s="1272"/>
      <c r="P27" s="1259">
        <f t="shared" si="0"/>
        <v>0</v>
      </c>
      <c r="Q27" s="1260"/>
    </row>
    <row r="28" spans="4:17" ht="18" customHeight="1">
      <c r="D28" s="1269">
        <v>2022</v>
      </c>
      <c r="E28" s="1270">
        <v>3</v>
      </c>
      <c r="F28" s="1270" t="s">
        <v>632</v>
      </c>
      <c r="G28" s="1270" t="s">
        <v>730</v>
      </c>
      <c r="H28" s="1270" t="s">
        <v>687</v>
      </c>
      <c r="I28" s="1270">
        <v>3</v>
      </c>
      <c r="J28" s="1270" t="s">
        <v>473</v>
      </c>
      <c r="K28" s="1270">
        <f>SUMIF(CF.1!$D:$D,'CFS(연간)'!G28,CF.1!$U:$U)</f>
        <v>0</v>
      </c>
      <c r="L28" s="1270">
        <f t="shared" si="1"/>
        <v>0</v>
      </c>
      <c r="M28" s="1271">
        <f t="shared" si="3"/>
        <v>0</v>
      </c>
      <c r="O28" s="1272"/>
      <c r="P28" s="1259">
        <f t="shared" si="0"/>
        <v>0</v>
      </c>
      <c r="Q28" s="1260"/>
    </row>
    <row r="29" spans="4:17" ht="18" customHeight="1">
      <c r="D29" s="1269">
        <v>2022</v>
      </c>
      <c r="E29" s="1270">
        <v>3</v>
      </c>
      <c r="F29" s="1270" t="s">
        <v>632</v>
      </c>
      <c r="G29" s="1270" t="s">
        <v>731</v>
      </c>
      <c r="H29" s="1270" t="s">
        <v>732</v>
      </c>
      <c r="I29" s="1270">
        <v>3</v>
      </c>
      <c r="J29" s="1270" t="s">
        <v>473</v>
      </c>
      <c r="K29" s="1270">
        <f>SUMIF(CF.1!$D:$D,'CFS(연간)'!G29,CF.1!$U:$U)</f>
        <v>62881122</v>
      </c>
      <c r="L29" s="1270">
        <f t="shared" si="1"/>
        <v>62881122</v>
      </c>
      <c r="M29" s="1271">
        <f t="shared" si="3"/>
        <v>0</v>
      </c>
      <c r="O29" s="1272"/>
      <c r="P29" s="1259">
        <f t="shared" si="0"/>
        <v>-62881122</v>
      </c>
      <c r="Q29" s="1260"/>
    </row>
    <row r="30" spans="4:17" ht="18" customHeight="1">
      <c r="D30" s="1269">
        <v>2022</v>
      </c>
      <c r="E30" s="1270">
        <v>3</v>
      </c>
      <c r="F30" s="1270" t="s">
        <v>632</v>
      </c>
      <c r="G30" s="1270" t="s">
        <v>733</v>
      </c>
      <c r="H30" s="1270" t="s">
        <v>734</v>
      </c>
      <c r="I30" s="1270">
        <v>3</v>
      </c>
      <c r="J30" s="1270" t="s">
        <v>473</v>
      </c>
      <c r="K30" s="1270">
        <f>SUMIF(CF.1!$D:$D,'CFS(연간)'!G30,CF.1!$U:$U)</f>
        <v>216671</v>
      </c>
      <c r="L30" s="1270">
        <f t="shared" si="1"/>
        <v>216671</v>
      </c>
      <c r="M30" s="1271">
        <f t="shared" si="3"/>
        <v>0</v>
      </c>
      <c r="O30" s="1272"/>
      <c r="P30" s="1259">
        <f t="shared" si="0"/>
        <v>-216671</v>
      </c>
      <c r="Q30" s="1260"/>
    </row>
    <row r="31" spans="4:17" ht="18" customHeight="1">
      <c r="D31" s="1269">
        <v>2022</v>
      </c>
      <c r="E31" s="1270">
        <v>3</v>
      </c>
      <c r="F31" s="1270" t="s">
        <v>632</v>
      </c>
      <c r="G31" s="1270" t="s">
        <v>735</v>
      </c>
      <c r="H31" s="1270" t="s">
        <v>481</v>
      </c>
      <c r="I31" s="1270">
        <v>3</v>
      </c>
      <c r="J31" s="1270" t="s">
        <v>473</v>
      </c>
      <c r="K31" s="1270">
        <f>SUMIF(CF.1!$D:$D,'CFS(연간)'!G31,CF.1!$U:$U)</f>
        <v>0</v>
      </c>
      <c r="L31" s="1270">
        <f t="shared" si="1"/>
        <v>0</v>
      </c>
      <c r="M31" s="1271">
        <f t="shared" si="3"/>
        <v>0</v>
      </c>
      <c r="O31" s="1272"/>
      <c r="P31" s="1259">
        <f t="shared" si="0"/>
        <v>0</v>
      </c>
      <c r="Q31" s="1260"/>
    </row>
    <row r="32" spans="4:17" ht="18" customHeight="1">
      <c r="D32" s="1269">
        <v>2022</v>
      </c>
      <c r="E32" s="1270">
        <v>3</v>
      </c>
      <c r="F32" s="1270" t="s">
        <v>632</v>
      </c>
      <c r="G32" s="1270" t="s">
        <v>736</v>
      </c>
      <c r="H32" s="1270" t="s">
        <v>686</v>
      </c>
      <c r="I32" s="1270">
        <v>3</v>
      </c>
      <c r="J32" s="1270" t="s">
        <v>473</v>
      </c>
      <c r="K32" s="1270">
        <f>SUMIF(CF.1!$D:$D,'CFS(연간)'!G32,CF.1!$U:$U)</f>
        <v>242686686</v>
      </c>
      <c r="L32" s="1270">
        <f t="shared" si="1"/>
        <v>242686686</v>
      </c>
      <c r="M32" s="1271">
        <f t="shared" si="3"/>
        <v>0</v>
      </c>
      <c r="O32" s="1272"/>
      <c r="P32" s="1259">
        <f t="shared" si="0"/>
        <v>-242686686</v>
      </c>
      <c r="Q32" s="1260"/>
    </row>
    <row r="33" spans="4:17" ht="18" customHeight="1">
      <c r="D33" s="1269">
        <v>2022</v>
      </c>
      <c r="E33" s="1270">
        <v>3</v>
      </c>
      <c r="F33" s="1270" t="s">
        <v>632</v>
      </c>
      <c r="G33" s="1270" t="s">
        <v>737</v>
      </c>
      <c r="H33" s="1270" t="s">
        <v>738</v>
      </c>
      <c r="I33" s="1270">
        <v>3</v>
      </c>
      <c r="J33" s="1270" t="s">
        <v>473</v>
      </c>
      <c r="K33" s="1270">
        <f>SUMIF(CF.1!$D:$D,'CFS(연간)'!G33,CF.1!$U:$U)</f>
        <v>150801848</v>
      </c>
      <c r="L33" s="1270">
        <f t="shared" si="1"/>
        <v>150801848</v>
      </c>
      <c r="M33" s="1271">
        <f t="shared" si="3"/>
        <v>0</v>
      </c>
      <c r="O33" s="1272"/>
      <c r="P33" s="1259">
        <f t="shared" si="0"/>
        <v>-150801848</v>
      </c>
      <c r="Q33" s="1260"/>
    </row>
    <row r="34" spans="4:17" ht="18" customHeight="1">
      <c r="D34" s="1269">
        <v>2022</v>
      </c>
      <c r="E34" s="1270">
        <v>3</v>
      </c>
      <c r="F34" s="1270" t="s">
        <v>632</v>
      </c>
      <c r="G34" s="1270" t="s">
        <v>739</v>
      </c>
      <c r="H34" s="1270" t="s">
        <v>740</v>
      </c>
      <c r="I34" s="1270">
        <v>3</v>
      </c>
      <c r="J34" s="1270" t="s">
        <v>473</v>
      </c>
      <c r="K34" s="1270">
        <f>SUMIF(CF.1!$D:$D,'CFS(연간)'!G34,CF.1!$U:$U)</f>
        <v>0</v>
      </c>
      <c r="L34" s="1270">
        <f t="shared" si="1"/>
        <v>0</v>
      </c>
      <c r="M34" s="1271">
        <f t="shared" si="3"/>
        <v>0</v>
      </c>
      <c r="O34" s="1272"/>
      <c r="P34" s="1259">
        <f t="shared" si="0"/>
        <v>0</v>
      </c>
      <c r="Q34" s="1260"/>
    </row>
    <row r="35" spans="4:17" ht="18" customHeight="1">
      <c r="D35" s="1269">
        <v>2022</v>
      </c>
      <c r="E35" s="1270">
        <v>3</v>
      </c>
      <c r="F35" s="1270" t="s">
        <v>632</v>
      </c>
      <c r="G35" s="1270" t="s">
        <v>741</v>
      </c>
      <c r="H35" s="1270" t="s">
        <v>742</v>
      </c>
      <c r="I35" s="1270">
        <v>3</v>
      </c>
      <c r="J35" s="1270" t="s">
        <v>473</v>
      </c>
      <c r="K35" s="1270">
        <f>SUMIF(CF.1!$D:$D,'CFS(연간)'!G35,CF.1!$U:$U)</f>
        <v>0</v>
      </c>
      <c r="L35" s="1270">
        <f t="shared" si="1"/>
        <v>0</v>
      </c>
      <c r="M35" s="1271">
        <f t="shared" si="3"/>
        <v>0</v>
      </c>
      <c r="O35" s="1272"/>
      <c r="P35" s="1259">
        <f t="shared" si="0"/>
        <v>0</v>
      </c>
      <c r="Q35" s="1260"/>
    </row>
    <row r="36" spans="4:17" ht="18" customHeight="1">
      <c r="D36" s="1269">
        <v>2022</v>
      </c>
      <c r="E36" s="1270">
        <v>3</v>
      </c>
      <c r="F36" s="1270" t="s">
        <v>632</v>
      </c>
      <c r="G36" s="1270" t="s">
        <v>743</v>
      </c>
      <c r="H36" s="1270" t="s">
        <v>744</v>
      </c>
      <c r="I36" s="1270">
        <v>3</v>
      </c>
      <c r="J36" s="1270" t="s">
        <v>473</v>
      </c>
      <c r="K36" s="1270">
        <f>SUMIF(CF.1!$D:$D,'CFS(연간)'!G36,CF.1!$U:$U)</f>
        <v>418674455</v>
      </c>
      <c r="L36" s="1270">
        <f t="shared" si="1"/>
        <v>418674455</v>
      </c>
      <c r="M36" s="1271">
        <f t="shared" si="3"/>
        <v>0</v>
      </c>
      <c r="O36" s="1272"/>
      <c r="P36" s="1259">
        <f t="shared" si="0"/>
        <v>-418674455</v>
      </c>
      <c r="Q36" s="1260"/>
    </row>
    <row r="37" spans="4:17" ht="18" customHeight="1">
      <c r="D37" s="1269">
        <v>2022</v>
      </c>
      <c r="E37" s="1270">
        <v>3</v>
      </c>
      <c r="F37" s="1270" t="s">
        <v>632</v>
      </c>
      <c r="G37" s="1270" t="s">
        <v>745</v>
      </c>
      <c r="H37" s="1270" t="s">
        <v>746</v>
      </c>
      <c r="I37" s="1270">
        <v>3</v>
      </c>
      <c r="J37" s="1270" t="s">
        <v>473</v>
      </c>
      <c r="K37" s="1270">
        <f>SUMIF(CF.1!$D:$D,'CFS(연간)'!G37,CF.1!$U:$U)</f>
        <v>0</v>
      </c>
      <c r="L37" s="1270">
        <f t="shared" si="1"/>
        <v>0</v>
      </c>
      <c r="M37" s="1271">
        <f t="shared" si="3"/>
        <v>0</v>
      </c>
      <c r="O37" s="1272"/>
      <c r="P37" s="1259">
        <f t="shared" si="0"/>
        <v>0</v>
      </c>
      <c r="Q37" s="1260"/>
    </row>
    <row r="38" spans="4:17" ht="18" customHeight="1">
      <c r="D38" s="1269">
        <v>2022</v>
      </c>
      <c r="E38" s="1270">
        <v>3</v>
      </c>
      <c r="F38" s="1270" t="s">
        <v>632</v>
      </c>
      <c r="G38" s="1270" t="s">
        <v>747</v>
      </c>
      <c r="H38" s="1270" t="s">
        <v>748</v>
      </c>
      <c r="I38" s="1270">
        <v>3</v>
      </c>
      <c r="J38" s="1270" t="s">
        <v>473</v>
      </c>
      <c r="K38" s="1270">
        <f>SUMIF(CF.1!$D:$D,'CFS(연간)'!G38,CF.1!$U:$U)</f>
        <v>0</v>
      </c>
      <c r="L38" s="1270">
        <f t="shared" si="1"/>
        <v>0</v>
      </c>
      <c r="M38" s="1271">
        <f t="shared" si="3"/>
        <v>0</v>
      </c>
      <c r="O38" s="1272"/>
      <c r="P38" s="1259">
        <f t="shared" si="0"/>
        <v>0</v>
      </c>
      <c r="Q38" s="1260"/>
    </row>
    <row r="39" spans="4:17" ht="18" customHeight="1">
      <c r="D39" s="1269">
        <v>2022</v>
      </c>
      <c r="E39" s="1270">
        <v>3</v>
      </c>
      <c r="F39" s="1270" t="s">
        <v>632</v>
      </c>
      <c r="G39" s="1270" t="s">
        <v>749</v>
      </c>
      <c r="H39" s="1270" t="s">
        <v>750</v>
      </c>
      <c r="I39" s="1270">
        <v>3</v>
      </c>
      <c r="J39" s="1270" t="s">
        <v>473</v>
      </c>
      <c r="K39" s="1270">
        <f>SUMIF(CF.1!$D:$D,'CFS(연간)'!G39,CF.1!$U:$U)</f>
        <v>0</v>
      </c>
      <c r="L39" s="1270">
        <f t="shared" si="1"/>
        <v>0</v>
      </c>
      <c r="M39" s="1271">
        <f t="shared" si="3"/>
        <v>0</v>
      </c>
      <c r="O39" s="1272"/>
      <c r="P39" s="1259">
        <f t="shared" si="0"/>
        <v>0</v>
      </c>
      <c r="Q39" s="1260"/>
    </row>
    <row r="40" spans="4:17" ht="18" customHeight="1">
      <c r="D40" s="1269">
        <v>2022</v>
      </c>
      <c r="E40" s="1270">
        <v>3</v>
      </c>
      <c r="F40" s="1270" t="s">
        <v>632</v>
      </c>
      <c r="G40" s="1270" t="s">
        <v>751</v>
      </c>
      <c r="H40" s="1270" t="s">
        <v>752</v>
      </c>
      <c r="I40" s="1270">
        <v>3</v>
      </c>
      <c r="J40" s="1270" t="s">
        <v>473</v>
      </c>
      <c r="K40" s="1270">
        <f>SUMIF(CF.1!$D:$D,'CFS(연간)'!G40,CF.1!$U:$U)</f>
        <v>0</v>
      </c>
      <c r="L40" s="1270">
        <f t="shared" si="1"/>
        <v>0</v>
      </c>
      <c r="M40" s="1271">
        <f t="shared" si="3"/>
        <v>0</v>
      </c>
      <c r="O40" s="1272"/>
      <c r="P40" s="1259">
        <f t="shared" si="0"/>
        <v>0</v>
      </c>
      <c r="Q40" s="1260"/>
    </row>
    <row r="41" spans="4:17" ht="18" customHeight="1">
      <c r="D41" s="1269">
        <v>2022</v>
      </c>
      <c r="E41" s="1270">
        <v>3</v>
      </c>
      <c r="F41" s="1270" t="s">
        <v>632</v>
      </c>
      <c r="G41" s="1270" t="s">
        <v>753</v>
      </c>
      <c r="H41" s="1270" t="s">
        <v>754</v>
      </c>
      <c r="I41" s="1270">
        <v>3</v>
      </c>
      <c r="J41" s="1270" t="s">
        <v>473</v>
      </c>
      <c r="K41" s="1270">
        <f>SUMIF(CF.1!$D:$D,'CFS(연간)'!G41,CF.1!$U:$U)</f>
        <v>0</v>
      </c>
      <c r="L41" s="1270">
        <f t="shared" si="1"/>
        <v>0</v>
      </c>
      <c r="M41" s="1271">
        <f t="shared" si="3"/>
        <v>0</v>
      </c>
      <c r="O41" s="1272"/>
      <c r="P41" s="1259">
        <f t="shared" si="0"/>
        <v>0</v>
      </c>
      <c r="Q41" s="1260"/>
    </row>
    <row r="42" spans="4:17" ht="18" customHeight="1">
      <c r="D42" s="1269">
        <v>2022</v>
      </c>
      <c r="E42" s="1270">
        <v>3</v>
      </c>
      <c r="F42" s="1270" t="s">
        <v>632</v>
      </c>
      <c r="G42" s="1270" t="s">
        <v>755</v>
      </c>
      <c r="H42" s="1270" t="s">
        <v>756</v>
      </c>
      <c r="I42" s="1270">
        <v>3</v>
      </c>
      <c r="J42" s="1270" t="s">
        <v>473</v>
      </c>
      <c r="K42" s="1270">
        <f>SUMIF(CF.1!$D:$D,'CFS(연간)'!G42,CF.1!$U:$U)</f>
        <v>0</v>
      </c>
      <c r="L42" s="1270">
        <f t="shared" si="1"/>
        <v>0</v>
      </c>
      <c r="M42" s="1271">
        <f t="shared" si="3"/>
        <v>0</v>
      </c>
      <c r="O42" s="1272"/>
      <c r="P42" s="1259">
        <f t="shared" si="0"/>
        <v>0</v>
      </c>
      <c r="Q42" s="1260"/>
    </row>
    <row r="43" spans="4:17" ht="18" customHeight="1">
      <c r="D43" s="1269">
        <v>2022</v>
      </c>
      <c r="E43" s="1270">
        <v>3</v>
      </c>
      <c r="F43" s="1270" t="s">
        <v>632</v>
      </c>
      <c r="G43" s="1270" t="s">
        <v>757</v>
      </c>
      <c r="H43" s="1270" t="s">
        <v>758</v>
      </c>
      <c r="I43" s="1270">
        <v>3</v>
      </c>
      <c r="J43" s="1270" t="s">
        <v>473</v>
      </c>
      <c r="K43" s="1270">
        <f>SUMIF(CF.1!$D:$D,'CFS(연간)'!G43,CF.1!$U:$U)</f>
        <v>-56133700</v>
      </c>
      <c r="L43" s="1270">
        <f>K43</f>
        <v>-56133700</v>
      </c>
      <c r="M43" s="1271">
        <f t="shared" si="3"/>
        <v>0</v>
      </c>
      <c r="O43" s="1272"/>
      <c r="P43" s="1259">
        <f t="shared" si="0"/>
        <v>56133700</v>
      </c>
      <c r="Q43" s="1260"/>
    </row>
    <row r="44" spans="4:17" ht="18" customHeight="1">
      <c r="D44" s="1269">
        <v>2022</v>
      </c>
      <c r="E44" s="1270">
        <v>3</v>
      </c>
      <c r="F44" s="1270" t="s">
        <v>632</v>
      </c>
      <c r="G44" s="1270" t="s">
        <v>759</v>
      </c>
      <c r="H44" s="1270" t="s">
        <v>760</v>
      </c>
      <c r="I44" s="1270">
        <v>3</v>
      </c>
      <c r="J44" s="1270" t="s">
        <v>473</v>
      </c>
      <c r="K44" s="1270">
        <f>SUMIF(CF.1!$D:$D,'CFS(연간)'!G44,CF.1!$U:$U)</f>
        <v>0</v>
      </c>
      <c r="L44" s="1270">
        <f t="shared" si="1"/>
        <v>0</v>
      </c>
      <c r="M44" s="1271">
        <f t="shared" si="3"/>
        <v>0</v>
      </c>
      <c r="O44" s="1272"/>
      <c r="P44" s="1259">
        <f t="shared" si="0"/>
        <v>0</v>
      </c>
      <c r="Q44" s="1260"/>
    </row>
    <row r="45" spans="4:17" ht="18" customHeight="1">
      <c r="D45" s="1269">
        <v>2022</v>
      </c>
      <c r="E45" s="1270">
        <v>3</v>
      </c>
      <c r="F45" s="1270" t="s">
        <v>632</v>
      </c>
      <c r="G45" s="1270" t="s">
        <v>761</v>
      </c>
      <c r="H45" s="1270" t="s">
        <v>762</v>
      </c>
      <c r="I45" s="1270">
        <v>3</v>
      </c>
      <c r="J45" s="1270" t="s">
        <v>473</v>
      </c>
      <c r="K45" s="1270">
        <f>SUMIF(CF.1!$D:$D,'CFS(연간)'!G45,CF.1!$U:$U)</f>
        <v>0</v>
      </c>
      <c r="L45" s="1270">
        <f>K45</f>
        <v>0</v>
      </c>
      <c r="M45" s="1271">
        <f t="shared" si="3"/>
        <v>0</v>
      </c>
      <c r="N45" s="543"/>
      <c r="O45" s="1272"/>
      <c r="P45" s="1259">
        <f t="shared" si="0"/>
        <v>0</v>
      </c>
      <c r="Q45" s="1273"/>
    </row>
    <row r="46" spans="4:17" ht="18" customHeight="1">
      <c r="D46" s="1269">
        <v>2022</v>
      </c>
      <c r="E46" s="1270">
        <v>3</v>
      </c>
      <c r="F46" s="1270" t="s">
        <v>632</v>
      </c>
      <c r="G46" s="1270" t="s">
        <v>763</v>
      </c>
      <c r="H46" s="1270" t="s">
        <v>764</v>
      </c>
      <c r="I46" s="1270">
        <v>3</v>
      </c>
      <c r="J46" s="1270" t="s">
        <v>473</v>
      </c>
      <c r="K46" s="1270">
        <f>SUMIF(CF.1!$D:$D,'CFS(연간)'!G46,CF.1!$U:$U)</f>
        <v>0</v>
      </c>
      <c r="L46" s="1270">
        <f t="shared" ref="L46:L61" si="4">K46</f>
        <v>0</v>
      </c>
      <c r="M46" s="1271">
        <f t="shared" si="3"/>
        <v>0</v>
      </c>
      <c r="O46" s="1272"/>
      <c r="P46" s="1259">
        <f t="shared" si="0"/>
        <v>0</v>
      </c>
      <c r="Q46" s="1260"/>
    </row>
    <row r="47" spans="4:17" ht="18" customHeight="1">
      <c r="D47" s="1269">
        <v>2022</v>
      </c>
      <c r="E47" s="1270">
        <v>3</v>
      </c>
      <c r="F47" s="1270" t="s">
        <v>632</v>
      </c>
      <c r="G47" s="1270" t="s">
        <v>765</v>
      </c>
      <c r="H47" s="1270" t="s">
        <v>1490</v>
      </c>
      <c r="I47" s="1270">
        <v>3</v>
      </c>
      <c r="J47" s="1270" t="s">
        <v>473</v>
      </c>
      <c r="K47" s="1270">
        <f>SUMIF(CF.1!$D:$D,'CFS(연간)'!G47,CF.1!$U:$U)</f>
        <v>77779216</v>
      </c>
      <c r="L47" s="1270">
        <f t="shared" si="4"/>
        <v>77779216</v>
      </c>
      <c r="M47" s="1271">
        <f t="shared" si="3"/>
        <v>0</v>
      </c>
      <c r="O47" s="1272"/>
      <c r="P47" s="1259">
        <f t="shared" si="0"/>
        <v>-77779216</v>
      </c>
      <c r="Q47" s="1260"/>
    </row>
    <row r="48" spans="4:17" ht="18" customHeight="1">
      <c r="D48" s="1269">
        <v>2022</v>
      </c>
      <c r="E48" s="1270">
        <v>3</v>
      </c>
      <c r="F48" s="1270" t="s">
        <v>632</v>
      </c>
      <c r="G48" s="1270" t="s">
        <v>766</v>
      </c>
      <c r="H48" s="1270" t="s">
        <v>767</v>
      </c>
      <c r="I48" s="1270">
        <v>3</v>
      </c>
      <c r="J48" s="1270" t="s">
        <v>473</v>
      </c>
      <c r="K48" s="1270">
        <f>SUMIF(CF.1!$D:$D,'CFS(연간)'!G48,CF.1!$U:$U)</f>
        <v>0</v>
      </c>
      <c r="L48" s="1270">
        <f t="shared" si="4"/>
        <v>0</v>
      </c>
      <c r="M48" s="1271">
        <f t="shared" si="3"/>
        <v>0</v>
      </c>
      <c r="O48" s="1272"/>
      <c r="P48" s="1259">
        <f t="shared" si="0"/>
        <v>0</v>
      </c>
      <c r="Q48" s="1260"/>
    </row>
    <row r="49" spans="4:20" ht="18" customHeight="1">
      <c r="D49" s="1269">
        <v>2022</v>
      </c>
      <c r="E49" s="1270">
        <v>3</v>
      </c>
      <c r="F49" s="1270" t="s">
        <v>632</v>
      </c>
      <c r="G49" s="1270" t="s">
        <v>768</v>
      </c>
      <c r="H49" s="1270" t="s">
        <v>769</v>
      </c>
      <c r="I49" s="1270">
        <v>3</v>
      </c>
      <c r="J49" s="1270" t="s">
        <v>473</v>
      </c>
      <c r="K49" s="1270">
        <f>SUMIF(CF.1!$D:$D,'CFS(연간)'!G49,CF.1!$U:$U)</f>
        <v>0</v>
      </c>
      <c r="L49" s="1270">
        <f t="shared" si="4"/>
        <v>0</v>
      </c>
      <c r="M49" s="1271">
        <f t="shared" si="3"/>
        <v>0</v>
      </c>
      <c r="O49" s="1272"/>
      <c r="P49" s="1259">
        <f t="shared" si="0"/>
        <v>0</v>
      </c>
      <c r="Q49" s="1260"/>
    </row>
    <row r="50" spans="4:20" ht="18" customHeight="1">
      <c r="D50" s="1269">
        <v>2022</v>
      </c>
      <c r="E50" s="1270">
        <v>3</v>
      </c>
      <c r="F50" s="1270" t="s">
        <v>632</v>
      </c>
      <c r="G50" s="1270" t="s">
        <v>770</v>
      </c>
      <c r="H50" s="1270" t="s">
        <v>771</v>
      </c>
      <c r="I50" s="1270">
        <v>3</v>
      </c>
      <c r="J50" s="1270" t="s">
        <v>473</v>
      </c>
      <c r="K50" s="1270">
        <f>SUMIF(CF.1!$D:$D,'CFS(연간)'!G50,CF.1!$U:$U)</f>
        <v>0</v>
      </c>
      <c r="L50" s="1270">
        <f t="shared" si="4"/>
        <v>0</v>
      </c>
      <c r="M50" s="1271">
        <f t="shared" si="3"/>
        <v>0</v>
      </c>
      <c r="O50" s="1272"/>
      <c r="P50" s="1259">
        <f t="shared" si="0"/>
        <v>0</v>
      </c>
      <c r="Q50" s="1260"/>
    </row>
    <row r="51" spans="4:20" ht="18" customHeight="1">
      <c r="D51" s="1269">
        <v>2022</v>
      </c>
      <c r="E51" s="1270">
        <v>3</v>
      </c>
      <c r="F51" s="1270" t="s">
        <v>632</v>
      </c>
      <c r="G51" s="1270" t="s">
        <v>772</v>
      </c>
      <c r="H51" s="1270" t="s">
        <v>260</v>
      </c>
      <c r="I51" s="1270">
        <v>3</v>
      </c>
      <c r="J51" s="1270" t="s">
        <v>473</v>
      </c>
      <c r="K51" s="1270">
        <f>SUMIF(CF.1!$D:$D,'CFS(연간)'!G51,CF.1!$U:$U)</f>
        <v>0</v>
      </c>
      <c r="L51" s="1270">
        <f t="shared" si="4"/>
        <v>0</v>
      </c>
      <c r="M51" s="1271">
        <f t="shared" si="3"/>
        <v>0</v>
      </c>
      <c r="O51" s="1272"/>
      <c r="P51" s="1259">
        <f t="shared" si="0"/>
        <v>0</v>
      </c>
      <c r="Q51" s="1260"/>
    </row>
    <row r="52" spans="4:20" ht="18" customHeight="1">
      <c r="D52" s="1269">
        <v>2022</v>
      </c>
      <c r="E52" s="1270">
        <v>3</v>
      </c>
      <c r="F52" s="1270" t="s">
        <v>632</v>
      </c>
      <c r="G52" s="1270" t="s">
        <v>773</v>
      </c>
      <c r="H52" s="1270" t="s">
        <v>774</v>
      </c>
      <c r="I52" s="1270">
        <v>3</v>
      </c>
      <c r="J52" s="1270" t="s">
        <v>473</v>
      </c>
      <c r="K52" s="1270">
        <f>SUMIF(CF.1!$D:$D,'CFS(연간)'!G52,CF.1!$U:$U)</f>
        <v>0</v>
      </c>
      <c r="L52" s="1270">
        <f t="shared" si="4"/>
        <v>0</v>
      </c>
      <c r="M52" s="1271">
        <f t="shared" si="3"/>
        <v>0</v>
      </c>
      <c r="O52" s="1272"/>
      <c r="P52" s="1259">
        <f t="shared" si="0"/>
        <v>0</v>
      </c>
      <c r="Q52" s="1260"/>
    </row>
    <row r="53" spans="4:20" ht="18" customHeight="1">
      <c r="D53" s="1269">
        <v>2022</v>
      </c>
      <c r="E53" s="1270">
        <v>3</v>
      </c>
      <c r="F53" s="1270" t="s">
        <v>632</v>
      </c>
      <c r="G53" s="1270" t="s">
        <v>775</v>
      </c>
      <c r="H53" s="1270" t="s">
        <v>776</v>
      </c>
      <c r="I53" s="1270">
        <v>3</v>
      </c>
      <c r="J53" s="1270" t="s">
        <v>473</v>
      </c>
      <c r="K53" s="1270">
        <f>SUMIF(CF.1!$D:$D,'CFS(연간)'!G53,CF.1!$U:$U)</f>
        <v>0</v>
      </c>
      <c r="L53" s="1270">
        <f t="shared" si="4"/>
        <v>0</v>
      </c>
      <c r="M53" s="1271">
        <f t="shared" si="3"/>
        <v>0</v>
      </c>
      <c r="O53" s="1272"/>
      <c r="P53" s="1259">
        <f t="shared" si="0"/>
        <v>0</v>
      </c>
      <c r="Q53" s="1260"/>
    </row>
    <row r="54" spans="4:20" ht="18" customHeight="1">
      <c r="D54" s="1269">
        <v>2022</v>
      </c>
      <c r="E54" s="1270">
        <v>3</v>
      </c>
      <c r="F54" s="1270" t="s">
        <v>632</v>
      </c>
      <c r="G54" s="1270" t="s">
        <v>777</v>
      </c>
      <c r="H54" s="1270" t="s">
        <v>778</v>
      </c>
      <c r="I54" s="1270">
        <v>3</v>
      </c>
      <c r="J54" s="1270" t="s">
        <v>473</v>
      </c>
      <c r="K54" s="1270">
        <f>SUMIF(CF.1!$D:$D,'CFS(연간)'!G54,CF.1!$U:$U)</f>
        <v>0</v>
      </c>
      <c r="L54" s="1270">
        <f t="shared" si="4"/>
        <v>0</v>
      </c>
      <c r="M54" s="1271">
        <f t="shared" si="3"/>
        <v>0</v>
      </c>
      <c r="O54" s="1272"/>
      <c r="P54" s="1259">
        <f t="shared" si="0"/>
        <v>0</v>
      </c>
      <c r="Q54" s="1260"/>
    </row>
    <row r="55" spans="4:20" ht="18" customHeight="1">
      <c r="D55" s="1269">
        <v>2022</v>
      </c>
      <c r="E55" s="1270">
        <v>3</v>
      </c>
      <c r="F55" s="1270" t="s">
        <v>632</v>
      </c>
      <c r="G55" s="1270" t="s">
        <v>779</v>
      </c>
      <c r="H55" s="1270" t="s">
        <v>780</v>
      </c>
      <c r="I55" s="1270">
        <v>3</v>
      </c>
      <c r="J55" s="1270" t="s">
        <v>473</v>
      </c>
      <c r="K55" s="1270">
        <f>SUMIF(CF.1!$D:$D,'CFS(연간)'!G55,CF.1!$U:$U)</f>
        <v>0</v>
      </c>
      <c r="L55" s="1270">
        <f t="shared" si="4"/>
        <v>0</v>
      </c>
      <c r="M55" s="1271">
        <f t="shared" si="3"/>
        <v>0</v>
      </c>
      <c r="O55" s="1272"/>
      <c r="P55" s="1259">
        <f t="shared" si="0"/>
        <v>0</v>
      </c>
      <c r="Q55" s="1260"/>
    </row>
    <row r="56" spans="4:20" ht="18" customHeight="1">
      <c r="D56" s="1269">
        <v>2022</v>
      </c>
      <c r="E56" s="1270">
        <v>3</v>
      </c>
      <c r="F56" s="1270" t="s">
        <v>632</v>
      </c>
      <c r="G56" s="1270" t="s">
        <v>781</v>
      </c>
      <c r="H56" s="1270" t="s">
        <v>688</v>
      </c>
      <c r="I56" s="1270">
        <v>3</v>
      </c>
      <c r="J56" s="1270" t="s">
        <v>473</v>
      </c>
      <c r="K56" s="1270">
        <f>SUMIF(CF.1!$D:$D,'CFS(연간)'!G56,CF.1!$U:$U)</f>
        <v>0</v>
      </c>
      <c r="L56" s="1270">
        <f t="shared" si="4"/>
        <v>0</v>
      </c>
      <c r="M56" s="1271">
        <f t="shared" si="3"/>
        <v>0</v>
      </c>
      <c r="O56" s="1272"/>
      <c r="P56" s="1259">
        <f t="shared" si="0"/>
        <v>0</v>
      </c>
      <c r="Q56" s="1260"/>
    </row>
    <row r="57" spans="4:20" ht="18" customHeight="1">
      <c r="D57" s="1269">
        <v>2022</v>
      </c>
      <c r="E57" s="1270">
        <v>3</v>
      </c>
      <c r="F57" s="1270" t="s">
        <v>632</v>
      </c>
      <c r="G57" s="1270" t="s">
        <v>782</v>
      </c>
      <c r="H57" s="1270" t="s">
        <v>681</v>
      </c>
      <c r="I57" s="1270">
        <v>3</v>
      </c>
      <c r="J57" s="1270" t="s">
        <v>473</v>
      </c>
      <c r="K57" s="1270">
        <f>SUMIF(CF.1!$D:$D,'CFS(연간)'!G57,CF.1!$U:$U)</f>
        <v>195958275</v>
      </c>
      <c r="L57" s="1270">
        <f t="shared" si="4"/>
        <v>195958275</v>
      </c>
      <c r="M57" s="1271">
        <f t="shared" si="3"/>
        <v>0</v>
      </c>
      <c r="O57" s="1272"/>
      <c r="P57" s="1259">
        <f t="shared" si="0"/>
        <v>-195958275</v>
      </c>
      <c r="Q57" s="1260"/>
    </row>
    <row r="58" spans="4:20" ht="18" customHeight="1">
      <c r="D58" s="1269">
        <v>2022</v>
      </c>
      <c r="E58" s="1270">
        <v>3</v>
      </c>
      <c r="F58" s="1270" t="s">
        <v>632</v>
      </c>
      <c r="G58" s="1270" t="s">
        <v>783</v>
      </c>
      <c r="H58" s="1270" t="s">
        <v>380</v>
      </c>
      <c r="I58" s="1270">
        <v>3</v>
      </c>
      <c r="J58" s="1270" t="s">
        <v>473</v>
      </c>
      <c r="K58" s="1270">
        <f>SUMIF(CF.1!$D:$D,'CFS(연간)'!G58,CF.1!$U:$U)</f>
        <v>315254908</v>
      </c>
      <c r="L58" s="1270">
        <f t="shared" si="4"/>
        <v>315254908</v>
      </c>
      <c r="M58" s="1271">
        <f t="shared" si="3"/>
        <v>0</v>
      </c>
      <c r="O58" s="1272"/>
      <c r="P58" s="1259">
        <f t="shared" si="0"/>
        <v>-315254908</v>
      </c>
      <c r="Q58" s="1260"/>
    </row>
    <row r="59" spans="4:20" ht="18" customHeight="1">
      <c r="D59" s="1269">
        <v>2022</v>
      </c>
      <c r="E59" s="1270">
        <v>3</v>
      </c>
      <c r="F59" s="1270" t="s">
        <v>632</v>
      </c>
      <c r="G59" s="1270" t="s">
        <v>1491</v>
      </c>
      <c r="H59" s="1270" t="s">
        <v>1492</v>
      </c>
      <c r="I59" s="1270">
        <v>3</v>
      </c>
      <c r="J59" s="1270" t="s">
        <v>473</v>
      </c>
      <c r="K59" s="1270">
        <f>SUMIF(CF.1!$D:$D,'CFS(연간)'!G59,CF.1!$U:$U)</f>
        <v>0</v>
      </c>
      <c r="L59" s="1270">
        <f t="shared" si="4"/>
        <v>0</v>
      </c>
      <c r="M59" s="1271">
        <f t="shared" si="3"/>
        <v>0</v>
      </c>
      <c r="O59" s="1272"/>
      <c r="P59" s="1259">
        <f t="shared" si="0"/>
        <v>0</v>
      </c>
      <c r="Q59" s="1260"/>
    </row>
    <row r="60" spans="4:20" ht="18" customHeight="1">
      <c r="D60" s="1264">
        <v>2022</v>
      </c>
      <c r="E60" s="1259">
        <v>3</v>
      </c>
      <c r="F60" s="1259" t="s">
        <v>632</v>
      </c>
      <c r="G60" s="1259" t="s">
        <v>2203</v>
      </c>
      <c r="H60" s="1259" t="s">
        <v>801</v>
      </c>
      <c r="I60" s="1277">
        <v>3</v>
      </c>
      <c r="J60" s="1259" t="s">
        <v>473</v>
      </c>
      <c r="K60" s="1259">
        <f>SUMIF(CF.1!$D:$D,'CFS(연간)'!G60,CF.1!$U:$U)</f>
        <v>0</v>
      </c>
      <c r="L60" s="1259">
        <f>K60</f>
        <v>0</v>
      </c>
      <c r="M60" s="1265">
        <f>L60-K60</f>
        <v>0</v>
      </c>
      <c r="O60" s="1272"/>
      <c r="P60" s="1259">
        <f t="shared" si="0"/>
        <v>0</v>
      </c>
      <c r="Q60" s="1260"/>
    </row>
    <row r="61" spans="4:20" ht="18" customHeight="1">
      <c r="D61" s="1264">
        <v>2022</v>
      </c>
      <c r="E61" s="1259">
        <v>3</v>
      </c>
      <c r="F61" s="1259" t="s">
        <v>632</v>
      </c>
      <c r="G61" s="1259" t="s">
        <v>802</v>
      </c>
      <c r="H61" s="1259" t="s">
        <v>2573</v>
      </c>
      <c r="I61" s="1277">
        <v>3</v>
      </c>
      <c r="J61" s="1259" t="s">
        <v>473</v>
      </c>
      <c r="K61" s="1259">
        <f>SUMIF(CF.1!$D:$D,'CFS(연간)'!G61,CF.1!$U:$U)</f>
        <v>42135654</v>
      </c>
      <c r="L61" s="1259">
        <f t="shared" si="4"/>
        <v>42135654</v>
      </c>
      <c r="M61" s="1265">
        <f t="shared" si="3"/>
        <v>0</v>
      </c>
      <c r="O61" s="1272"/>
      <c r="P61" s="1259">
        <f t="shared" si="0"/>
        <v>-42135654</v>
      </c>
      <c r="Q61" s="1260"/>
    </row>
    <row r="62" spans="4:20" ht="18" customHeight="1">
      <c r="D62" s="1261">
        <v>2022</v>
      </c>
      <c r="E62" s="1262">
        <v>3</v>
      </c>
      <c r="F62" s="1262" t="s">
        <v>632</v>
      </c>
      <c r="G62" s="1262" t="s">
        <v>804</v>
      </c>
      <c r="H62" s="1262" t="s">
        <v>2574</v>
      </c>
      <c r="I62" s="1262">
        <v>2</v>
      </c>
      <c r="J62" s="1262" t="s">
        <v>473</v>
      </c>
      <c r="K62" s="1262">
        <f>SUM(K63:K104)</f>
        <v>-50628705828</v>
      </c>
      <c r="L62" s="1262">
        <f>SUM(L63:L104)</f>
        <v>-50628705828</v>
      </c>
      <c r="M62" s="1263">
        <f>SUM(M63:M104)</f>
        <v>0</v>
      </c>
      <c r="O62" s="1258"/>
      <c r="P62" s="1259">
        <f t="shared" si="0"/>
        <v>50628705828</v>
      </c>
      <c r="Q62" s="1260"/>
    </row>
    <row r="63" spans="4:20" ht="18" customHeight="1">
      <c r="D63" s="1278">
        <v>2022</v>
      </c>
      <c r="E63" s="1277">
        <v>3</v>
      </c>
      <c r="F63" s="1277" t="s">
        <v>632</v>
      </c>
      <c r="G63" s="1277" t="s">
        <v>806</v>
      </c>
      <c r="H63" s="1277" t="s">
        <v>675</v>
      </c>
      <c r="I63" s="1277">
        <v>3</v>
      </c>
      <c r="J63" s="1277" t="s">
        <v>473</v>
      </c>
      <c r="K63" s="1277">
        <f>SUMIF(CF.1!$D:$D,'CFS(연간)'!G63,CF.1!$U:$U)</f>
        <v>-1557307639</v>
      </c>
      <c r="L63" s="1259">
        <f t="shared" ref="L63:L104" si="5">K63</f>
        <v>-1557307639</v>
      </c>
      <c r="M63" s="1279">
        <f t="shared" ref="M63:M104" si="6">L63-K63</f>
        <v>0</v>
      </c>
      <c r="O63" s="1272"/>
      <c r="P63" s="1259">
        <f t="shared" si="0"/>
        <v>1557307639</v>
      </c>
      <c r="Q63" s="1260"/>
    </row>
    <row r="64" spans="4:20" s="543" customFormat="1" ht="18" customHeight="1">
      <c r="D64" s="1278">
        <v>2022</v>
      </c>
      <c r="E64" s="1277">
        <v>3</v>
      </c>
      <c r="F64" s="1277" t="s">
        <v>632</v>
      </c>
      <c r="G64" s="1277" t="s">
        <v>807</v>
      </c>
      <c r="H64" s="1277" t="s">
        <v>808</v>
      </c>
      <c r="I64" s="1277">
        <v>3</v>
      </c>
      <c r="J64" s="1277" t="s">
        <v>473</v>
      </c>
      <c r="K64" s="1277">
        <v>0</v>
      </c>
      <c r="L64" s="1259">
        <f t="shared" si="5"/>
        <v>0</v>
      </c>
      <c r="M64" s="1279">
        <f t="shared" si="6"/>
        <v>0</v>
      </c>
      <c r="O64" s="1272"/>
      <c r="P64" s="1259">
        <f t="shared" si="0"/>
        <v>0</v>
      </c>
      <c r="Q64" s="1273"/>
      <c r="S64" s="498"/>
      <c r="T64" s="1837"/>
    </row>
    <row r="65" spans="4:20" s="543" customFormat="1" ht="18" customHeight="1">
      <c r="D65" s="1278">
        <v>2022</v>
      </c>
      <c r="E65" s="1277">
        <v>3</v>
      </c>
      <c r="F65" s="1277" t="s">
        <v>632</v>
      </c>
      <c r="G65" s="1277" t="s">
        <v>809</v>
      </c>
      <c r="H65" s="1277" t="s">
        <v>810</v>
      </c>
      <c r="I65" s="1277">
        <v>3</v>
      </c>
      <c r="J65" s="1277" t="s">
        <v>473</v>
      </c>
      <c r="K65" s="1277">
        <f>SUMIF(CF.1!$D:$D,'CFS(연간)'!G65,CF.1!$U:$U)</f>
        <v>0</v>
      </c>
      <c r="L65" s="1259">
        <f t="shared" si="5"/>
        <v>0</v>
      </c>
      <c r="M65" s="1279">
        <f t="shared" si="6"/>
        <v>0</v>
      </c>
      <c r="O65" s="1272"/>
      <c r="P65" s="1259">
        <f t="shared" si="0"/>
        <v>0</v>
      </c>
      <c r="Q65" s="1273"/>
      <c r="S65" s="498"/>
      <c r="T65" s="1837"/>
    </row>
    <row r="66" spans="4:20" ht="18" customHeight="1">
      <c r="D66" s="1278">
        <v>2022</v>
      </c>
      <c r="E66" s="1277">
        <v>3</v>
      </c>
      <c r="F66" s="1277" t="s">
        <v>632</v>
      </c>
      <c r="G66" s="1277" t="s">
        <v>811</v>
      </c>
      <c r="H66" s="1277" t="s">
        <v>812</v>
      </c>
      <c r="I66" s="1277">
        <v>3</v>
      </c>
      <c r="J66" s="1277" t="s">
        <v>473</v>
      </c>
      <c r="K66" s="1277">
        <f>SUMIF(CF.1!$D:$D,'CFS(연간)'!G66,CF.1!$U:$U)</f>
        <v>0</v>
      </c>
      <c r="L66" s="1259">
        <f t="shared" si="5"/>
        <v>0</v>
      </c>
      <c r="M66" s="1279">
        <f t="shared" si="6"/>
        <v>0</v>
      </c>
      <c r="O66" s="1272"/>
      <c r="P66" s="1259">
        <f t="shared" si="0"/>
        <v>0</v>
      </c>
      <c r="Q66" s="1260"/>
      <c r="S66" s="543"/>
      <c r="T66" s="543"/>
    </row>
    <row r="67" spans="4:20" ht="18" customHeight="1">
      <c r="D67" s="1278">
        <v>2022</v>
      </c>
      <c r="E67" s="1277">
        <v>3</v>
      </c>
      <c r="F67" s="1277" t="s">
        <v>632</v>
      </c>
      <c r="G67" s="1277" t="s">
        <v>880</v>
      </c>
      <c r="H67" s="1277" t="s">
        <v>881</v>
      </c>
      <c r="I67" s="1277">
        <v>3</v>
      </c>
      <c r="J67" s="1277" t="s">
        <v>473</v>
      </c>
      <c r="K67" s="1277">
        <f>SUMIF(CF.1!$D:$D,'CFS(연간)'!G67,CF.1!$U:$U)</f>
        <v>0</v>
      </c>
      <c r="L67" s="1259">
        <f t="shared" si="5"/>
        <v>0</v>
      </c>
      <c r="M67" s="1279"/>
      <c r="O67" s="1272"/>
      <c r="P67" s="1259">
        <f t="shared" si="0"/>
        <v>0</v>
      </c>
      <c r="Q67" s="1260"/>
      <c r="S67" s="543"/>
      <c r="T67" s="543"/>
    </row>
    <row r="68" spans="4:20" ht="18" customHeight="1">
      <c r="D68" s="1264">
        <v>2022</v>
      </c>
      <c r="E68" s="1259">
        <v>3</v>
      </c>
      <c r="F68" s="1259" t="s">
        <v>632</v>
      </c>
      <c r="G68" s="1259" t="s">
        <v>813</v>
      </c>
      <c r="H68" s="1259" t="s">
        <v>814</v>
      </c>
      <c r="I68" s="1259">
        <v>3</v>
      </c>
      <c r="J68" s="1259" t="s">
        <v>473</v>
      </c>
      <c r="K68" s="1259">
        <f>SUMIF(CF.1!$D:$D,'CFS(연간)'!G68,CF.1!$U:$U)</f>
        <v>0</v>
      </c>
      <c r="L68" s="1259">
        <f t="shared" si="5"/>
        <v>0</v>
      </c>
      <c r="M68" s="1265">
        <f t="shared" si="6"/>
        <v>0</v>
      </c>
      <c r="O68" s="1272"/>
      <c r="P68" s="1259">
        <f t="shared" ref="P68:P135" si="7">O68-L68</f>
        <v>0</v>
      </c>
      <c r="Q68" s="1260"/>
    </row>
    <row r="69" spans="4:20" ht="18" customHeight="1">
      <c r="D69" s="1264">
        <v>2022</v>
      </c>
      <c r="E69" s="1259">
        <v>3</v>
      </c>
      <c r="F69" s="1259" t="s">
        <v>632</v>
      </c>
      <c r="G69" s="1259" t="s">
        <v>815</v>
      </c>
      <c r="H69" s="1259" t="s">
        <v>816</v>
      </c>
      <c r="I69" s="1259">
        <v>3</v>
      </c>
      <c r="J69" s="1259" t="s">
        <v>473</v>
      </c>
      <c r="K69" s="1259">
        <f>SUMIF(CF.1!$D:$D,'CFS(연간)'!G69,CF.1!$U:$U)</f>
        <v>-1413694186</v>
      </c>
      <c r="L69" s="1259">
        <f t="shared" si="5"/>
        <v>-1413694186</v>
      </c>
      <c r="M69" s="1265">
        <f t="shared" si="6"/>
        <v>0</v>
      </c>
      <c r="O69" s="1272"/>
      <c r="P69" s="1259">
        <f t="shared" si="7"/>
        <v>1413694186</v>
      </c>
      <c r="Q69" s="1260"/>
    </row>
    <row r="70" spans="4:20" ht="18" customHeight="1">
      <c r="D70" s="1264">
        <v>2022</v>
      </c>
      <c r="E70" s="1259">
        <v>3</v>
      </c>
      <c r="F70" s="1259" t="s">
        <v>632</v>
      </c>
      <c r="G70" s="1259" t="s">
        <v>817</v>
      </c>
      <c r="H70" s="1259" t="s">
        <v>818</v>
      </c>
      <c r="I70" s="1259">
        <v>3</v>
      </c>
      <c r="J70" s="1259" t="s">
        <v>473</v>
      </c>
      <c r="K70" s="1259">
        <f>SUMIF(CF.1!$D:$D,'CFS(연간)'!G70,CF.1!$U:$U)</f>
        <v>0</v>
      </c>
      <c r="L70" s="1259">
        <f t="shared" si="5"/>
        <v>0</v>
      </c>
      <c r="M70" s="1265">
        <f t="shared" si="6"/>
        <v>0</v>
      </c>
      <c r="O70" s="1272"/>
      <c r="P70" s="1259">
        <f t="shared" si="7"/>
        <v>0</v>
      </c>
      <c r="Q70" s="1260"/>
    </row>
    <row r="71" spans="4:20" ht="18" customHeight="1">
      <c r="D71" s="1264">
        <v>2022</v>
      </c>
      <c r="E71" s="1259">
        <v>3</v>
      </c>
      <c r="F71" s="1259" t="s">
        <v>632</v>
      </c>
      <c r="G71" s="1259" t="s">
        <v>819</v>
      </c>
      <c r="H71" s="1259" t="s">
        <v>820</v>
      </c>
      <c r="I71" s="1259">
        <v>3</v>
      </c>
      <c r="J71" s="1259" t="s">
        <v>473</v>
      </c>
      <c r="K71" s="1259">
        <f>SUMIF(CF.1!$D:$D,'CFS(연간)'!G71,CF.1!$U:$U)</f>
        <v>0</v>
      </c>
      <c r="L71" s="1259">
        <f t="shared" si="5"/>
        <v>0</v>
      </c>
      <c r="M71" s="1265">
        <f t="shared" si="6"/>
        <v>0</v>
      </c>
      <c r="O71" s="1272"/>
      <c r="P71" s="1259">
        <f t="shared" si="7"/>
        <v>0</v>
      </c>
      <c r="Q71" s="1260"/>
    </row>
    <row r="72" spans="4:20" ht="18" customHeight="1">
      <c r="D72" s="1264">
        <v>2022</v>
      </c>
      <c r="E72" s="1259">
        <v>3</v>
      </c>
      <c r="F72" s="1259" t="s">
        <v>632</v>
      </c>
      <c r="G72" s="1259" t="s">
        <v>821</v>
      </c>
      <c r="H72" s="1259" t="s">
        <v>822</v>
      </c>
      <c r="I72" s="1259">
        <v>3</v>
      </c>
      <c r="J72" s="1259" t="s">
        <v>473</v>
      </c>
      <c r="K72" s="1259">
        <f>SUMIF(CF.1!$D:$D,'CFS(연간)'!G72,CF.1!$U:$U)</f>
        <v>0</v>
      </c>
      <c r="L72" s="1259">
        <f t="shared" si="5"/>
        <v>0</v>
      </c>
      <c r="M72" s="1265">
        <f t="shared" si="6"/>
        <v>0</v>
      </c>
      <c r="O72" s="1272"/>
      <c r="P72" s="1259">
        <f t="shared" si="7"/>
        <v>0</v>
      </c>
      <c r="Q72" s="1260"/>
    </row>
    <row r="73" spans="4:20" ht="18" customHeight="1">
      <c r="D73" s="1264">
        <v>2022</v>
      </c>
      <c r="E73" s="1259">
        <v>3</v>
      </c>
      <c r="F73" s="1259" t="s">
        <v>632</v>
      </c>
      <c r="G73" s="1259" t="s">
        <v>823</v>
      </c>
      <c r="H73" s="1259" t="s">
        <v>824</v>
      </c>
      <c r="I73" s="1259">
        <v>3</v>
      </c>
      <c r="J73" s="1259" t="s">
        <v>473</v>
      </c>
      <c r="K73" s="1259">
        <f>SUMIF(CF.1!$D:$D,'CFS(연간)'!G73,CF.1!$U:$U)</f>
        <v>0</v>
      </c>
      <c r="L73" s="1259">
        <f t="shared" si="5"/>
        <v>0</v>
      </c>
      <c r="M73" s="1265">
        <f t="shared" si="6"/>
        <v>0</v>
      </c>
      <c r="O73" s="1272"/>
      <c r="P73" s="1259">
        <f t="shared" si="7"/>
        <v>0</v>
      </c>
      <c r="Q73" s="1260"/>
    </row>
    <row r="74" spans="4:20" ht="18" customHeight="1">
      <c r="D74" s="1264">
        <v>2022</v>
      </c>
      <c r="E74" s="1259">
        <v>3</v>
      </c>
      <c r="F74" s="1259" t="s">
        <v>632</v>
      </c>
      <c r="G74" s="1259" t="s">
        <v>825</v>
      </c>
      <c r="H74" s="1259" t="s">
        <v>826</v>
      </c>
      <c r="I74" s="1259">
        <v>3</v>
      </c>
      <c r="J74" s="1259" t="s">
        <v>473</v>
      </c>
      <c r="K74" s="1259">
        <f>SUMIF(CF.1!$D:$D,'CFS(연간)'!G74,CF.1!$U:$U)</f>
        <v>0</v>
      </c>
      <c r="L74" s="1259">
        <f t="shared" si="5"/>
        <v>0</v>
      </c>
      <c r="M74" s="1265">
        <f t="shared" si="6"/>
        <v>0</v>
      </c>
      <c r="O74" s="1272"/>
      <c r="P74" s="1259">
        <f t="shared" si="7"/>
        <v>0</v>
      </c>
      <c r="Q74" s="1260"/>
    </row>
    <row r="75" spans="4:20" ht="18" customHeight="1">
      <c r="D75" s="1264">
        <v>2022</v>
      </c>
      <c r="E75" s="1259">
        <v>3</v>
      </c>
      <c r="F75" s="1259" t="s">
        <v>632</v>
      </c>
      <c r="G75" s="1259" t="s">
        <v>827</v>
      </c>
      <c r="H75" s="1259" t="s">
        <v>828</v>
      </c>
      <c r="I75" s="1259">
        <v>3</v>
      </c>
      <c r="J75" s="1259" t="s">
        <v>473</v>
      </c>
      <c r="K75" s="1259">
        <f>SUMIF(CF.1!$D:$D,'CFS(연간)'!G75,CF.1!$U:$U)</f>
        <v>0</v>
      </c>
      <c r="L75" s="1259">
        <f t="shared" si="5"/>
        <v>0</v>
      </c>
      <c r="M75" s="1265">
        <f t="shared" si="6"/>
        <v>0</v>
      </c>
      <c r="O75" s="1272"/>
      <c r="P75" s="1259">
        <f t="shared" si="7"/>
        <v>0</v>
      </c>
      <c r="Q75" s="1260"/>
    </row>
    <row r="76" spans="4:20" ht="18" customHeight="1">
      <c r="D76" s="1264">
        <v>2022</v>
      </c>
      <c r="E76" s="1259">
        <v>3</v>
      </c>
      <c r="F76" s="1259" t="s">
        <v>632</v>
      </c>
      <c r="G76" s="1259" t="s">
        <v>829</v>
      </c>
      <c r="H76" s="1259" t="s">
        <v>830</v>
      </c>
      <c r="I76" s="1259">
        <v>3</v>
      </c>
      <c r="J76" s="1259" t="s">
        <v>473</v>
      </c>
      <c r="K76" s="1259">
        <f>SUMIF(CF.1!$D:$D,'CFS(연간)'!G76,CF.1!$U:$U)</f>
        <v>0</v>
      </c>
      <c r="L76" s="1259">
        <f t="shared" si="5"/>
        <v>0</v>
      </c>
      <c r="M76" s="1265">
        <f t="shared" si="6"/>
        <v>0</v>
      </c>
      <c r="O76" s="1272"/>
      <c r="P76" s="1259">
        <f t="shared" si="7"/>
        <v>0</v>
      </c>
      <c r="Q76" s="1260"/>
    </row>
    <row r="77" spans="4:20" ht="18" customHeight="1">
      <c r="D77" s="1264">
        <v>2022</v>
      </c>
      <c r="E77" s="1259">
        <v>3</v>
      </c>
      <c r="F77" s="1259" t="s">
        <v>632</v>
      </c>
      <c r="G77" s="1259" t="s">
        <v>831</v>
      </c>
      <c r="H77" s="1259" t="s">
        <v>832</v>
      </c>
      <c r="I77" s="1259">
        <v>3</v>
      </c>
      <c r="J77" s="1259" t="s">
        <v>473</v>
      </c>
      <c r="K77" s="1259">
        <f>SUMIF(CF.1!$D:$D,'CFS(연간)'!G77,CF.1!$U:$U)</f>
        <v>0</v>
      </c>
      <c r="L77" s="1259">
        <f t="shared" si="5"/>
        <v>0</v>
      </c>
      <c r="M77" s="1265">
        <f t="shared" si="6"/>
        <v>0</v>
      </c>
      <c r="O77" s="1272"/>
      <c r="P77" s="1259">
        <f t="shared" si="7"/>
        <v>0</v>
      </c>
      <c r="Q77" s="1260"/>
    </row>
    <row r="78" spans="4:20" ht="18" customHeight="1">
      <c r="D78" s="1264">
        <v>2022</v>
      </c>
      <c r="E78" s="1259">
        <v>3</v>
      </c>
      <c r="F78" s="1259" t="s">
        <v>632</v>
      </c>
      <c r="G78" s="1259" t="s">
        <v>833</v>
      </c>
      <c r="H78" s="1259" t="s">
        <v>678</v>
      </c>
      <c r="I78" s="1259">
        <v>3</v>
      </c>
      <c r="J78" s="1259" t="s">
        <v>473</v>
      </c>
      <c r="K78" s="1259">
        <f>SUMIF(CF.1!$D:$D,'CFS(연간)'!G78,CF.1!$U:$U)</f>
        <v>-63636363</v>
      </c>
      <c r="L78" s="1259">
        <f t="shared" si="5"/>
        <v>-63636363</v>
      </c>
      <c r="M78" s="1265">
        <f t="shared" si="6"/>
        <v>0</v>
      </c>
      <c r="O78" s="1272"/>
      <c r="P78" s="1259">
        <f t="shared" si="7"/>
        <v>63636363</v>
      </c>
      <c r="Q78" s="1260"/>
    </row>
    <row r="79" spans="4:20" ht="18" customHeight="1">
      <c r="D79" s="1264">
        <v>2022</v>
      </c>
      <c r="E79" s="1259">
        <v>3</v>
      </c>
      <c r="F79" s="1259" t="s">
        <v>632</v>
      </c>
      <c r="G79" s="1259" t="s">
        <v>834</v>
      </c>
      <c r="H79" s="1259" t="s">
        <v>835</v>
      </c>
      <c r="I79" s="1259">
        <v>3</v>
      </c>
      <c r="J79" s="1259" t="s">
        <v>473</v>
      </c>
      <c r="K79" s="1259">
        <f>SUMIF(CF.1!$D:$D,'CFS(연간)'!G79,CF.1!$U:$U)</f>
        <v>0</v>
      </c>
      <c r="L79" s="1259">
        <f t="shared" si="5"/>
        <v>0</v>
      </c>
      <c r="M79" s="1265">
        <f t="shared" si="6"/>
        <v>0</v>
      </c>
      <c r="O79" s="1272"/>
      <c r="P79" s="1259">
        <f t="shared" si="7"/>
        <v>0</v>
      </c>
      <c r="Q79" s="1260"/>
    </row>
    <row r="80" spans="4:20" ht="18" customHeight="1">
      <c r="D80" s="1264">
        <v>2022</v>
      </c>
      <c r="E80" s="1259">
        <v>3</v>
      </c>
      <c r="F80" s="1259" t="s">
        <v>632</v>
      </c>
      <c r="G80" s="1259" t="s">
        <v>836</v>
      </c>
      <c r="H80" s="1259" t="s">
        <v>679</v>
      </c>
      <c r="I80" s="1259">
        <v>3</v>
      </c>
      <c r="J80" s="1259" t="s">
        <v>473</v>
      </c>
      <c r="K80" s="1259">
        <f>SUMIF(CF.1!$D:$D,'CFS(연간)'!G80,CF.1!$U:$U)</f>
        <v>0</v>
      </c>
      <c r="L80" s="1259">
        <f t="shared" si="5"/>
        <v>0</v>
      </c>
      <c r="M80" s="1265">
        <f t="shared" si="6"/>
        <v>0</v>
      </c>
      <c r="O80" s="1272"/>
      <c r="P80" s="1259">
        <f t="shared" si="7"/>
        <v>0</v>
      </c>
      <c r="Q80" s="1260"/>
    </row>
    <row r="81" spans="4:20" ht="18" customHeight="1">
      <c r="D81" s="1264">
        <v>2022</v>
      </c>
      <c r="E81" s="1259">
        <v>3</v>
      </c>
      <c r="F81" s="1259" t="s">
        <v>632</v>
      </c>
      <c r="G81" s="1259" t="s">
        <v>837</v>
      </c>
      <c r="H81" s="1259" t="s">
        <v>838</v>
      </c>
      <c r="I81" s="1259">
        <v>3</v>
      </c>
      <c r="J81" s="1259" t="s">
        <v>473</v>
      </c>
      <c r="K81" s="1259">
        <f>SUMIF(CF.1!$D:$D,'CFS(연간)'!G81,CF.1!$U:$U)</f>
        <v>0</v>
      </c>
      <c r="L81" s="1259">
        <f t="shared" si="5"/>
        <v>0</v>
      </c>
      <c r="M81" s="1265">
        <f t="shared" si="6"/>
        <v>0</v>
      </c>
      <c r="O81" s="1272"/>
      <c r="P81" s="1259">
        <f t="shared" si="7"/>
        <v>0</v>
      </c>
      <c r="Q81" s="1260"/>
    </row>
    <row r="82" spans="4:20" ht="18" customHeight="1">
      <c r="D82" s="1264">
        <v>2022</v>
      </c>
      <c r="E82" s="1259">
        <v>3</v>
      </c>
      <c r="F82" s="1259" t="s">
        <v>632</v>
      </c>
      <c r="G82" s="1259" t="s">
        <v>839</v>
      </c>
      <c r="H82" s="1259" t="s">
        <v>840</v>
      </c>
      <c r="I82" s="1259">
        <v>3</v>
      </c>
      <c r="J82" s="1259" t="s">
        <v>473</v>
      </c>
      <c r="K82" s="1259">
        <f>SUMIF(CF.1!$D:$D,'CFS(연간)'!G82,CF.1!$U:$U)</f>
        <v>-175168445</v>
      </c>
      <c r="L82" s="1259">
        <f t="shared" si="5"/>
        <v>-175168445</v>
      </c>
      <c r="M82" s="1265">
        <f t="shared" si="6"/>
        <v>0</v>
      </c>
      <c r="O82" s="1272"/>
      <c r="P82" s="1259">
        <f t="shared" si="7"/>
        <v>175168445</v>
      </c>
      <c r="Q82" s="1260"/>
    </row>
    <row r="83" spans="4:20" ht="18" customHeight="1">
      <c r="D83" s="1264">
        <v>2022</v>
      </c>
      <c r="E83" s="1259">
        <v>3</v>
      </c>
      <c r="F83" s="1259" t="s">
        <v>632</v>
      </c>
      <c r="G83" s="1259" t="s">
        <v>841</v>
      </c>
      <c r="H83" s="1259" t="s">
        <v>842</v>
      </c>
      <c r="I83" s="1259">
        <v>3</v>
      </c>
      <c r="J83" s="1259" t="s">
        <v>473</v>
      </c>
      <c r="K83" s="1259">
        <f>SUMIF(CF.1!$D:$D,'CFS(연간)'!G83,CF.1!$U:$U)</f>
        <v>0</v>
      </c>
      <c r="L83" s="1259">
        <f t="shared" si="5"/>
        <v>0</v>
      </c>
      <c r="M83" s="1265">
        <f t="shared" si="6"/>
        <v>0</v>
      </c>
      <c r="O83" s="1272"/>
      <c r="P83" s="1259">
        <f t="shared" si="7"/>
        <v>0</v>
      </c>
      <c r="Q83" s="1260"/>
    </row>
    <row r="84" spans="4:20" ht="18" customHeight="1">
      <c r="D84" s="1264">
        <v>2022</v>
      </c>
      <c r="E84" s="1259">
        <v>3</v>
      </c>
      <c r="F84" s="1259" t="s">
        <v>632</v>
      </c>
      <c r="G84" s="1259" t="s">
        <v>843</v>
      </c>
      <c r="H84" s="1259" t="s">
        <v>844</v>
      </c>
      <c r="I84" s="1259">
        <v>3</v>
      </c>
      <c r="J84" s="1259" t="s">
        <v>473</v>
      </c>
      <c r="K84" s="1259">
        <f>SUMIF(CF.1!$D:$D,'CFS(연간)'!G84,CF.1!$U:$U)</f>
        <v>-816498671</v>
      </c>
      <c r="L84" s="1259">
        <f t="shared" si="5"/>
        <v>-816498671</v>
      </c>
      <c r="M84" s="1265">
        <f t="shared" si="6"/>
        <v>0</v>
      </c>
      <c r="O84" s="1272"/>
      <c r="P84" s="1259">
        <f t="shared" si="7"/>
        <v>816498671</v>
      </c>
      <c r="Q84" s="1260"/>
    </row>
    <row r="85" spans="4:20" ht="18" customHeight="1">
      <c r="D85" s="1264">
        <v>2022</v>
      </c>
      <c r="E85" s="1259">
        <v>3</v>
      </c>
      <c r="F85" s="1259" t="s">
        <v>632</v>
      </c>
      <c r="G85" s="1259" t="s">
        <v>845</v>
      </c>
      <c r="H85" s="1259" t="s">
        <v>846</v>
      </c>
      <c r="I85" s="1259">
        <v>3</v>
      </c>
      <c r="J85" s="1259" t="s">
        <v>473</v>
      </c>
      <c r="K85" s="1259">
        <f>SUMIF(CF.1!$D:$D,'CFS(연간)'!G85,CF.1!$U:$U)</f>
        <v>0</v>
      </c>
      <c r="L85" s="1259">
        <f t="shared" si="5"/>
        <v>0</v>
      </c>
      <c r="M85" s="1265">
        <f t="shared" si="6"/>
        <v>0</v>
      </c>
      <c r="O85" s="1272"/>
      <c r="P85" s="1259">
        <f t="shared" si="7"/>
        <v>0</v>
      </c>
      <c r="Q85" s="1260"/>
    </row>
    <row r="86" spans="4:20" ht="18" customHeight="1">
      <c r="D86" s="1264">
        <v>2022</v>
      </c>
      <c r="E86" s="1259">
        <v>3</v>
      </c>
      <c r="F86" s="1259" t="s">
        <v>632</v>
      </c>
      <c r="G86" s="1259" t="s">
        <v>847</v>
      </c>
      <c r="H86" s="1259" t="s">
        <v>848</v>
      </c>
      <c r="I86" s="1259">
        <v>3</v>
      </c>
      <c r="J86" s="1259" t="s">
        <v>473</v>
      </c>
      <c r="K86" s="1259">
        <f>SUMIF(CF.1!$D:$D,'CFS(연간)'!G86,CF.1!$U:$U)</f>
        <v>0</v>
      </c>
      <c r="L86" s="1259">
        <f t="shared" si="5"/>
        <v>0</v>
      </c>
      <c r="M86" s="1265">
        <f t="shared" si="6"/>
        <v>0</v>
      </c>
      <c r="O86" s="1272"/>
      <c r="P86" s="1259">
        <f t="shared" si="7"/>
        <v>0</v>
      </c>
      <c r="Q86" s="1260"/>
      <c r="T86" s="1837"/>
    </row>
    <row r="87" spans="4:20" ht="18" customHeight="1">
      <c r="D87" s="1264">
        <v>2022</v>
      </c>
      <c r="E87" s="1259">
        <v>3</v>
      </c>
      <c r="F87" s="1259" t="s">
        <v>632</v>
      </c>
      <c r="G87" s="1259" t="s">
        <v>849</v>
      </c>
      <c r="H87" s="1259" t="s">
        <v>850</v>
      </c>
      <c r="I87" s="1259">
        <v>3</v>
      </c>
      <c r="J87" s="1259" t="s">
        <v>473</v>
      </c>
      <c r="K87" s="1259">
        <f>SUMIF(CF.1!$D:$D,'CFS(연간)'!G87,CF.1!$U:$U)</f>
        <v>0</v>
      </c>
      <c r="L87" s="1259">
        <f t="shared" si="5"/>
        <v>0</v>
      </c>
      <c r="M87" s="1265">
        <f t="shared" si="6"/>
        <v>0</v>
      </c>
      <c r="O87" s="1272"/>
      <c r="P87" s="1259">
        <f t="shared" si="7"/>
        <v>0</v>
      </c>
      <c r="Q87" s="1260"/>
    </row>
    <row r="88" spans="4:20" ht="18" customHeight="1">
      <c r="D88" s="1264">
        <v>2022</v>
      </c>
      <c r="E88" s="1259">
        <v>3</v>
      </c>
      <c r="F88" s="1259" t="s">
        <v>632</v>
      </c>
      <c r="G88" s="1259" t="s">
        <v>851</v>
      </c>
      <c r="H88" s="1259" t="s">
        <v>852</v>
      </c>
      <c r="I88" s="1259">
        <v>3</v>
      </c>
      <c r="J88" s="1259" t="s">
        <v>473</v>
      </c>
      <c r="K88" s="1259">
        <f>SUMIF(CF.1!$D:$D,'CFS(연간)'!G88,CF.1!$U:$U)</f>
        <v>0</v>
      </c>
      <c r="L88" s="1259">
        <f t="shared" si="5"/>
        <v>0</v>
      </c>
      <c r="M88" s="1265">
        <f t="shared" si="6"/>
        <v>0</v>
      </c>
      <c r="O88" s="1272"/>
      <c r="P88" s="1259">
        <f t="shared" si="7"/>
        <v>0</v>
      </c>
      <c r="Q88" s="1260"/>
    </row>
    <row r="89" spans="4:20" ht="18" customHeight="1">
      <c r="D89" s="1264">
        <v>2022</v>
      </c>
      <c r="E89" s="1259">
        <v>3</v>
      </c>
      <c r="F89" s="1259" t="s">
        <v>632</v>
      </c>
      <c r="G89" s="1259" t="s">
        <v>853</v>
      </c>
      <c r="H89" s="1259" t="s">
        <v>854</v>
      </c>
      <c r="I89" s="1259">
        <v>3</v>
      </c>
      <c r="J89" s="1259" t="s">
        <v>473</v>
      </c>
      <c r="K89" s="1259">
        <f>SUMIF(CF.1!$D:$D,'CFS(연간)'!G89,CF.1!$U:$U)</f>
        <v>0</v>
      </c>
      <c r="L89" s="1259">
        <f t="shared" si="5"/>
        <v>0</v>
      </c>
      <c r="M89" s="1265">
        <f t="shared" si="6"/>
        <v>0</v>
      </c>
      <c r="O89" s="1272"/>
      <c r="P89" s="1259">
        <f t="shared" si="7"/>
        <v>0</v>
      </c>
      <c r="Q89" s="1260"/>
    </row>
    <row r="90" spans="4:20" ht="18" customHeight="1">
      <c r="D90" s="1264">
        <v>2022</v>
      </c>
      <c r="E90" s="1259">
        <v>3</v>
      </c>
      <c r="F90" s="1259" t="s">
        <v>632</v>
      </c>
      <c r="G90" s="1259" t="s">
        <v>855</v>
      </c>
      <c r="H90" s="1259" t="s">
        <v>856</v>
      </c>
      <c r="I90" s="1259">
        <v>3</v>
      </c>
      <c r="J90" s="1259" t="s">
        <v>473</v>
      </c>
      <c r="K90" s="1259">
        <f>SUMIF(CF.1!$D:$D,'CFS(연간)'!G90,CF.1!$U:$U)</f>
        <v>0</v>
      </c>
      <c r="L90" s="1259">
        <f t="shared" si="5"/>
        <v>0</v>
      </c>
      <c r="M90" s="1265">
        <f t="shared" si="6"/>
        <v>0</v>
      </c>
      <c r="O90" s="1272"/>
      <c r="P90" s="1259">
        <f t="shared" si="7"/>
        <v>0</v>
      </c>
      <c r="Q90" s="1260"/>
    </row>
    <row r="91" spans="4:20" ht="18" customHeight="1">
      <c r="D91" s="1264">
        <v>2022</v>
      </c>
      <c r="E91" s="1259">
        <v>3</v>
      </c>
      <c r="F91" s="1259" t="s">
        <v>632</v>
      </c>
      <c r="G91" s="1259" t="s">
        <v>857</v>
      </c>
      <c r="H91" s="1259" t="s">
        <v>858</v>
      </c>
      <c r="I91" s="1259">
        <v>3</v>
      </c>
      <c r="J91" s="1259" t="s">
        <v>473</v>
      </c>
      <c r="K91" s="1259">
        <f>SUMIF(CF.1!$D:$D,'CFS(연간)'!G91,CF.1!$U:$U)</f>
        <v>0</v>
      </c>
      <c r="L91" s="1259">
        <f t="shared" si="5"/>
        <v>0</v>
      </c>
      <c r="M91" s="1265">
        <f t="shared" si="6"/>
        <v>0</v>
      </c>
      <c r="O91" s="1272"/>
      <c r="P91" s="1259">
        <f t="shared" si="7"/>
        <v>0</v>
      </c>
      <c r="Q91" s="1260"/>
    </row>
    <row r="92" spans="4:20" ht="18" customHeight="1">
      <c r="D92" s="1264">
        <v>2022</v>
      </c>
      <c r="E92" s="1259">
        <v>3</v>
      </c>
      <c r="F92" s="1259" t="s">
        <v>632</v>
      </c>
      <c r="G92" s="1259" t="s">
        <v>859</v>
      </c>
      <c r="H92" s="1259" t="s">
        <v>860</v>
      </c>
      <c r="I92" s="1259">
        <v>3</v>
      </c>
      <c r="J92" s="1259" t="s">
        <v>473</v>
      </c>
      <c r="K92" s="1259">
        <f>SUMIF(CF.1!$D:$D,'CFS(연간)'!G92,CF.1!$U:$U)</f>
        <v>0</v>
      </c>
      <c r="L92" s="1259">
        <f t="shared" si="5"/>
        <v>0</v>
      </c>
      <c r="M92" s="1265">
        <f t="shared" si="6"/>
        <v>0</v>
      </c>
      <c r="O92" s="1272"/>
      <c r="P92" s="1259">
        <f t="shared" si="7"/>
        <v>0</v>
      </c>
      <c r="Q92" s="1260"/>
    </row>
    <row r="93" spans="4:20" ht="18" customHeight="1">
      <c r="D93" s="1264">
        <v>2022</v>
      </c>
      <c r="E93" s="1259">
        <v>3</v>
      </c>
      <c r="F93" s="1259" t="s">
        <v>632</v>
      </c>
      <c r="G93" s="1259" t="s">
        <v>861</v>
      </c>
      <c r="H93" s="1259" t="s">
        <v>862</v>
      </c>
      <c r="I93" s="1259">
        <v>3</v>
      </c>
      <c r="J93" s="1259" t="s">
        <v>473</v>
      </c>
      <c r="K93" s="1259">
        <f>SUMIF(CF.1!$D:$D,'CFS(연간)'!G93,CF.1!$U:$U)</f>
        <v>0</v>
      </c>
      <c r="L93" s="1259">
        <f t="shared" si="5"/>
        <v>0</v>
      </c>
      <c r="M93" s="1265">
        <f t="shared" si="6"/>
        <v>0</v>
      </c>
      <c r="O93" s="1272"/>
      <c r="P93" s="1259">
        <f t="shared" si="7"/>
        <v>0</v>
      </c>
      <c r="Q93" s="1260"/>
    </row>
    <row r="94" spans="4:20" ht="18" customHeight="1">
      <c r="D94" s="1264">
        <v>2022</v>
      </c>
      <c r="E94" s="1259">
        <v>3</v>
      </c>
      <c r="F94" s="1259" t="s">
        <v>632</v>
      </c>
      <c r="G94" s="1259" t="s">
        <v>863</v>
      </c>
      <c r="H94" s="1259" t="s">
        <v>864</v>
      </c>
      <c r="I94" s="1259">
        <v>3</v>
      </c>
      <c r="J94" s="1259" t="s">
        <v>473</v>
      </c>
      <c r="K94" s="1259">
        <f>SUMIF(CF.1!$D:$D,'CFS(연간)'!G94,CF.1!$U:$U)</f>
        <v>0</v>
      </c>
      <c r="L94" s="1259">
        <f t="shared" si="5"/>
        <v>0</v>
      </c>
      <c r="M94" s="1265">
        <f t="shared" si="6"/>
        <v>0</v>
      </c>
      <c r="O94" s="1272"/>
      <c r="P94" s="1259">
        <f t="shared" si="7"/>
        <v>0</v>
      </c>
      <c r="Q94" s="1260"/>
    </row>
    <row r="95" spans="4:20" ht="18" customHeight="1">
      <c r="D95" s="1264">
        <v>2022</v>
      </c>
      <c r="E95" s="1270">
        <v>3</v>
      </c>
      <c r="F95" s="1270" t="s">
        <v>632</v>
      </c>
      <c r="G95" s="1270" t="s">
        <v>865</v>
      </c>
      <c r="H95" s="1270" t="s">
        <v>866</v>
      </c>
      <c r="I95" s="1270">
        <v>3</v>
      </c>
      <c r="J95" s="1270" t="s">
        <v>473</v>
      </c>
      <c r="K95" s="1270">
        <f>SUMIF(CF.1!$D:$D,'CFS(연간)'!G95,CF.1!$U:$U)</f>
        <v>0</v>
      </c>
      <c r="L95" s="1270">
        <f t="shared" si="5"/>
        <v>0</v>
      </c>
      <c r="M95" s="1271">
        <f t="shared" si="6"/>
        <v>0</v>
      </c>
      <c r="O95" s="1272"/>
      <c r="P95" s="1259">
        <f t="shared" si="7"/>
        <v>0</v>
      </c>
      <c r="Q95" s="1260"/>
    </row>
    <row r="96" spans="4:20" ht="18" customHeight="1">
      <c r="D96" s="1264">
        <v>2022</v>
      </c>
      <c r="E96" s="1270">
        <v>3</v>
      </c>
      <c r="F96" s="1270" t="s">
        <v>632</v>
      </c>
      <c r="G96" s="1270" t="s">
        <v>867</v>
      </c>
      <c r="H96" s="1270" t="s">
        <v>868</v>
      </c>
      <c r="I96" s="1270">
        <v>3</v>
      </c>
      <c r="J96" s="1270" t="s">
        <v>473</v>
      </c>
      <c r="K96" s="1270">
        <f>SUMIF(CF.1!$D:$D,'CFS(연간)'!G96,CF.1!$U:$U)</f>
        <v>0</v>
      </c>
      <c r="L96" s="1270">
        <f t="shared" si="5"/>
        <v>0</v>
      </c>
      <c r="M96" s="1271">
        <f t="shared" si="6"/>
        <v>0</v>
      </c>
      <c r="O96" s="1272"/>
      <c r="P96" s="1259">
        <f t="shared" si="7"/>
        <v>0</v>
      </c>
      <c r="Q96" s="1260"/>
    </row>
    <row r="97" spans="4:17" ht="18" customHeight="1">
      <c r="D97" s="1264">
        <v>2022</v>
      </c>
      <c r="E97" s="1270">
        <v>3</v>
      </c>
      <c r="F97" s="1270" t="s">
        <v>632</v>
      </c>
      <c r="G97" s="1270" t="s">
        <v>869</v>
      </c>
      <c r="H97" s="1270" t="s">
        <v>870</v>
      </c>
      <c r="I97" s="1270">
        <v>3</v>
      </c>
      <c r="J97" s="1270" t="s">
        <v>473</v>
      </c>
      <c r="K97" s="1270">
        <f>SUMIF(CF.1!$D:$D,'CFS(연간)'!G97,CF.1!$U:$U)</f>
        <v>0</v>
      </c>
      <c r="L97" s="1270">
        <f t="shared" si="5"/>
        <v>0</v>
      </c>
      <c r="M97" s="1271">
        <f t="shared" si="6"/>
        <v>0</v>
      </c>
      <c r="O97" s="1272"/>
      <c r="P97" s="1259">
        <f t="shared" si="7"/>
        <v>0</v>
      </c>
      <c r="Q97" s="1260"/>
    </row>
    <row r="98" spans="4:17" ht="18" customHeight="1">
      <c r="D98" s="1264">
        <v>2022</v>
      </c>
      <c r="E98" s="1270">
        <v>3</v>
      </c>
      <c r="F98" s="1270" t="s">
        <v>632</v>
      </c>
      <c r="G98" s="1270" t="s">
        <v>871</v>
      </c>
      <c r="H98" s="1270" t="s">
        <v>872</v>
      </c>
      <c r="I98" s="1270">
        <v>3</v>
      </c>
      <c r="J98" s="1270" t="s">
        <v>473</v>
      </c>
      <c r="K98" s="1270">
        <f>SUMIF(CF.1!$D:$D,'CFS(연간)'!G98,CF.1!$U:$U)</f>
        <v>0</v>
      </c>
      <c r="L98" s="1270">
        <f t="shared" si="5"/>
        <v>0</v>
      </c>
      <c r="M98" s="1271">
        <f t="shared" si="6"/>
        <v>0</v>
      </c>
      <c r="O98" s="1272"/>
      <c r="P98" s="1259">
        <f t="shared" si="7"/>
        <v>0</v>
      </c>
      <c r="Q98" s="1260"/>
    </row>
    <row r="99" spans="4:17" ht="18" customHeight="1">
      <c r="D99" s="1264">
        <v>2022</v>
      </c>
      <c r="E99" s="1270">
        <v>3</v>
      </c>
      <c r="F99" s="1270" t="s">
        <v>632</v>
      </c>
      <c r="G99" s="1270" t="s">
        <v>873</v>
      </c>
      <c r="H99" s="1270" t="s">
        <v>673</v>
      </c>
      <c r="I99" s="1270">
        <v>3</v>
      </c>
      <c r="J99" s="1270" t="s">
        <v>473</v>
      </c>
      <c r="K99" s="1270">
        <f>SUMIF(CF.1!$D:$D,'CFS(연간)'!G99,CF.1!$U:$U)</f>
        <v>-1666986895</v>
      </c>
      <c r="L99" s="1270">
        <f t="shared" si="5"/>
        <v>-1666986895</v>
      </c>
      <c r="M99" s="1271">
        <f t="shared" si="6"/>
        <v>0</v>
      </c>
      <c r="O99" s="1272"/>
      <c r="P99" s="1259">
        <f t="shared" si="7"/>
        <v>1666986895</v>
      </c>
      <c r="Q99" s="1260"/>
    </row>
    <row r="100" spans="4:17" ht="18" customHeight="1">
      <c r="D100" s="1264">
        <v>2022</v>
      </c>
      <c r="E100" s="1270">
        <v>3</v>
      </c>
      <c r="F100" s="1270" t="s">
        <v>632</v>
      </c>
      <c r="G100" s="1270" t="s">
        <v>1498</v>
      </c>
      <c r="H100" s="1270" t="s">
        <v>1499</v>
      </c>
      <c r="I100" s="1270">
        <v>3</v>
      </c>
      <c r="J100" s="1270" t="s">
        <v>473</v>
      </c>
      <c r="K100" s="1270">
        <f>SUMIF(CF.1!$D:$D,'CFS(연간)'!G100,CF.1!$U:$U)</f>
        <v>0</v>
      </c>
      <c r="L100" s="1270">
        <f t="shared" si="5"/>
        <v>0</v>
      </c>
      <c r="M100" s="1271">
        <f t="shared" si="6"/>
        <v>0</v>
      </c>
      <c r="O100" s="1272"/>
      <c r="P100" s="1259">
        <f t="shared" si="7"/>
        <v>0</v>
      </c>
      <c r="Q100" s="1260"/>
    </row>
    <row r="101" spans="4:17" ht="18" customHeight="1">
      <c r="D101" s="1264">
        <v>2022</v>
      </c>
      <c r="E101" s="1270">
        <v>3</v>
      </c>
      <c r="F101" s="1270" t="s">
        <v>632</v>
      </c>
      <c r="G101" s="1270" t="s">
        <v>2565</v>
      </c>
      <c r="H101" s="1270" t="s">
        <v>883</v>
      </c>
      <c r="I101" s="1270">
        <v>3</v>
      </c>
      <c r="J101" s="1270" t="s">
        <v>473</v>
      </c>
      <c r="K101" s="1270">
        <f>SUMIF(CF.1!$D:$D,'CFS(연간)'!G101,CF.1!$U:$U)</f>
        <v>-3510625687</v>
      </c>
      <c r="L101" s="1270">
        <f t="shared" si="5"/>
        <v>-3510625687</v>
      </c>
      <c r="M101" s="1271"/>
      <c r="O101" s="1272"/>
      <c r="P101" s="1259"/>
      <c r="Q101" s="1260"/>
    </row>
    <row r="102" spans="4:17" ht="18" customHeight="1">
      <c r="D102" s="1264">
        <v>2022</v>
      </c>
      <c r="E102" s="1270">
        <v>3</v>
      </c>
      <c r="F102" s="1270" t="s">
        <v>632</v>
      </c>
      <c r="G102" s="1270" t="s">
        <v>892</v>
      </c>
      <c r="H102" s="1270" t="s">
        <v>893</v>
      </c>
      <c r="I102" s="1270">
        <v>3</v>
      </c>
      <c r="J102" s="1270" t="s">
        <v>473</v>
      </c>
      <c r="K102" s="1270">
        <f>SUMIF(CF.1!$D:$D,'CFS(연간)'!G102,CF.1!$U:$U)</f>
        <v>-41363014942</v>
      </c>
      <c r="L102" s="1270">
        <f t="shared" si="5"/>
        <v>-41363014942</v>
      </c>
      <c r="M102" s="1271"/>
      <c r="O102" s="1272"/>
      <c r="P102" s="1259"/>
      <c r="Q102" s="1260"/>
    </row>
    <row r="103" spans="4:17" ht="18" customHeight="1">
      <c r="D103" s="1264">
        <v>2022</v>
      </c>
      <c r="E103" s="1270">
        <v>3</v>
      </c>
      <c r="F103" s="1270" t="s">
        <v>632</v>
      </c>
      <c r="G103" s="1270" t="s">
        <v>1500</v>
      </c>
      <c r="H103" s="1270" t="s">
        <v>877</v>
      </c>
      <c r="I103" s="1270">
        <v>3</v>
      </c>
      <c r="J103" s="1270" t="s">
        <v>473</v>
      </c>
      <c r="K103" s="1270">
        <f>SUMIF(CF.1!$D:$D,'CFS(연간)'!G103,CF.1!$U:$U)</f>
        <v>0</v>
      </c>
      <c r="L103" s="1270">
        <f t="shared" si="5"/>
        <v>0</v>
      </c>
      <c r="M103" s="1271">
        <f t="shared" si="6"/>
        <v>0</v>
      </c>
      <c r="O103" s="1272"/>
      <c r="P103" s="1259">
        <f t="shared" si="7"/>
        <v>0</v>
      </c>
      <c r="Q103" s="1260"/>
    </row>
    <row r="104" spans="4:17" ht="18" customHeight="1">
      <c r="D104" s="1264">
        <v>2022</v>
      </c>
      <c r="E104" s="1270">
        <v>3</v>
      </c>
      <c r="F104" s="1270" t="s">
        <v>632</v>
      </c>
      <c r="G104" s="1270" t="s">
        <v>900</v>
      </c>
      <c r="H104" s="1270" t="s">
        <v>1501</v>
      </c>
      <c r="I104" s="1270">
        <v>3</v>
      </c>
      <c r="J104" s="1270" t="s">
        <v>473</v>
      </c>
      <c r="K104" s="1270">
        <f>SUMIF(CF.1!$D:$D,'CFS(연간)'!G104,CF.1!$U:$U)</f>
        <v>-61773000</v>
      </c>
      <c r="L104" s="1270">
        <f t="shared" si="5"/>
        <v>-61773000</v>
      </c>
      <c r="M104" s="1271">
        <f t="shared" si="6"/>
        <v>0</v>
      </c>
      <c r="O104" s="1272"/>
      <c r="P104" s="1259">
        <f t="shared" si="7"/>
        <v>61773000</v>
      </c>
      <c r="Q104" s="1260"/>
    </row>
    <row r="105" spans="4:17" ht="18" customHeight="1">
      <c r="D105" s="1261">
        <v>2022</v>
      </c>
      <c r="E105" s="1262">
        <v>3</v>
      </c>
      <c r="F105" s="1262" t="s">
        <v>632</v>
      </c>
      <c r="G105" s="1262" t="s">
        <v>902</v>
      </c>
      <c r="H105" s="1262" t="s">
        <v>1502</v>
      </c>
      <c r="I105" s="1262">
        <v>2</v>
      </c>
      <c r="J105" s="1262" t="s">
        <v>473</v>
      </c>
      <c r="K105" s="1262">
        <f>SUM(K106:K148)</f>
        <v>2782387341</v>
      </c>
      <c r="L105" s="1262">
        <f>SUM(L106:L148)</f>
        <v>2782387341</v>
      </c>
      <c r="M105" s="1263">
        <f>SUM(M106:M147)</f>
        <v>0</v>
      </c>
      <c r="O105" s="1258"/>
      <c r="P105" s="1259">
        <f t="shared" si="7"/>
        <v>-2782387341</v>
      </c>
      <c r="Q105" s="1260"/>
    </row>
    <row r="106" spans="4:17" ht="18" customHeight="1">
      <c r="D106" s="1264">
        <v>2022</v>
      </c>
      <c r="E106" s="1259">
        <v>3</v>
      </c>
      <c r="F106" s="1259" t="s">
        <v>632</v>
      </c>
      <c r="G106" s="1259" t="s">
        <v>904</v>
      </c>
      <c r="H106" s="1259" t="s">
        <v>905</v>
      </c>
      <c r="I106" s="1259">
        <v>3</v>
      </c>
      <c r="J106" s="1259" t="s">
        <v>473</v>
      </c>
      <c r="K106" s="1259">
        <f>SUMIF(CF.1!$D:$D,'CFS(연간)'!G106,CF.1!$U:$U)</f>
        <v>-4874284394</v>
      </c>
      <c r="L106" s="1259">
        <f t="shared" ref="L106:L123" si="8">K106</f>
        <v>-4874284394</v>
      </c>
      <c r="M106" s="1265">
        <f t="shared" ref="M106:M147" si="9">L106-K106</f>
        <v>0</v>
      </c>
      <c r="O106" s="1258"/>
      <c r="P106" s="1259">
        <f t="shared" si="7"/>
        <v>4874284394</v>
      </c>
      <c r="Q106" s="1260"/>
    </row>
    <row r="107" spans="4:17" ht="18" customHeight="1">
      <c r="D107" s="1264">
        <v>2022</v>
      </c>
      <c r="E107" s="1259">
        <v>3</v>
      </c>
      <c r="F107" s="1259" t="s">
        <v>632</v>
      </c>
      <c r="G107" s="1259" t="s">
        <v>906</v>
      </c>
      <c r="H107" s="1259" t="s">
        <v>907</v>
      </c>
      <c r="I107" s="1259">
        <v>3</v>
      </c>
      <c r="J107" s="1259" t="s">
        <v>473</v>
      </c>
      <c r="K107" s="1259">
        <f>SUMIF(CF.1!$D:$D,'CFS(연간)'!G107,CF.1!$U:$U)</f>
        <v>1368660023</v>
      </c>
      <c r="L107" s="1259">
        <f t="shared" si="8"/>
        <v>1368660023</v>
      </c>
      <c r="M107" s="1265">
        <f t="shared" si="9"/>
        <v>0</v>
      </c>
      <c r="O107" s="1258"/>
      <c r="P107" s="1259">
        <f t="shared" si="7"/>
        <v>-1368660023</v>
      </c>
      <c r="Q107" s="1260"/>
    </row>
    <row r="108" spans="4:17" ht="18" customHeight="1">
      <c r="D108" s="1264">
        <v>2022</v>
      </c>
      <c r="E108" s="1259">
        <v>3</v>
      </c>
      <c r="F108" s="1259" t="s">
        <v>632</v>
      </c>
      <c r="G108" s="1259" t="s">
        <v>908</v>
      </c>
      <c r="H108" s="1259" t="s">
        <v>909</v>
      </c>
      <c r="I108" s="1259">
        <v>3</v>
      </c>
      <c r="J108" s="1259" t="s">
        <v>473</v>
      </c>
      <c r="K108" s="1259">
        <f>SUMIF(CF.1!$D:$D,'CFS(연간)'!G108,CF.1!$U:$U)</f>
        <v>-286577263</v>
      </c>
      <c r="L108" s="1259">
        <f t="shared" si="8"/>
        <v>-286577263</v>
      </c>
      <c r="M108" s="1265">
        <f t="shared" si="9"/>
        <v>0</v>
      </c>
      <c r="O108" s="1258"/>
      <c r="P108" s="1259">
        <f t="shared" si="7"/>
        <v>286577263</v>
      </c>
      <c r="Q108" s="1260"/>
    </row>
    <row r="109" spans="4:17" ht="18" customHeight="1">
      <c r="D109" s="1264">
        <v>2022</v>
      </c>
      <c r="E109" s="1259">
        <v>3</v>
      </c>
      <c r="F109" s="1259" t="s">
        <v>632</v>
      </c>
      <c r="G109" s="1259" t="s">
        <v>910</v>
      </c>
      <c r="H109" s="1259" t="s">
        <v>911</v>
      </c>
      <c r="I109" s="1259">
        <v>3</v>
      </c>
      <c r="J109" s="1259" t="s">
        <v>473</v>
      </c>
      <c r="K109" s="1259">
        <f>SUMIF(CF.1!$D:$D,'CFS(연간)'!G109,CF.1!$U:$U)</f>
        <v>7664228600</v>
      </c>
      <c r="L109" s="1259">
        <f t="shared" si="8"/>
        <v>7664228600</v>
      </c>
      <c r="M109" s="1265">
        <f t="shared" si="9"/>
        <v>0</v>
      </c>
      <c r="O109" s="1258"/>
      <c r="P109" s="1259">
        <f t="shared" si="7"/>
        <v>-7664228600</v>
      </c>
      <c r="Q109" s="1260"/>
    </row>
    <row r="110" spans="4:17" s="575" customFormat="1" ht="18" customHeight="1">
      <c r="D110" s="1269">
        <v>2022</v>
      </c>
      <c r="E110" s="1270">
        <v>3</v>
      </c>
      <c r="F110" s="1270" t="s">
        <v>632</v>
      </c>
      <c r="G110" s="1270" t="s">
        <v>912</v>
      </c>
      <c r="H110" s="1270" t="s">
        <v>913</v>
      </c>
      <c r="I110" s="1270">
        <v>3</v>
      </c>
      <c r="J110" s="1270" t="s">
        <v>473</v>
      </c>
      <c r="K110" s="1270">
        <f>SUMIF(CF.1!$D:$D,'CFS(연간)'!G110,CF.1!$U:$U)</f>
        <v>0</v>
      </c>
      <c r="L110" s="1270">
        <f t="shared" si="8"/>
        <v>0</v>
      </c>
      <c r="M110" s="1271">
        <f t="shared" si="9"/>
        <v>0</v>
      </c>
      <c r="O110" s="1280"/>
      <c r="P110" s="1270">
        <f t="shared" si="7"/>
        <v>0</v>
      </c>
      <c r="Q110" s="1281"/>
    </row>
    <row r="111" spans="4:17" s="575" customFormat="1" ht="18" customHeight="1">
      <c r="D111" s="1269">
        <v>2022</v>
      </c>
      <c r="E111" s="1270">
        <v>3</v>
      </c>
      <c r="F111" s="1270" t="s">
        <v>632</v>
      </c>
      <c r="G111" s="1270" t="s">
        <v>930</v>
      </c>
      <c r="H111" s="1270" t="s">
        <v>931</v>
      </c>
      <c r="I111" s="1270">
        <v>3</v>
      </c>
      <c r="J111" s="1270" t="s">
        <v>473</v>
      </c>
      <c r="K111" s="1270">
        <f>SUMIF(CF.1!$D:$D,'CFS(연간)'!G111,CF.1!$U:$U)</f>
        <v>0</v>
      </c>
      <c r="L111" s="1270">
        <f t="shared" ref="L111" si="10">K111</f>
        <v>0</v>
      </c>
      <c r="M111" s="1271"/>
      <c r="O111" s="1280"/>
      <c r="P111" s="1270">
        <f t="shared" ref="P111" si="11">O111-L111</f>
        <v>0</v>
      </c>
      <c r="Q111" s="1281"/>
    </row>
    <row r="112" spans="4:17" s="575" customFormat="1" ht="18" customHeight="1">
      <c r="D112" s="1269">
        <v>2022</v>
      </c>
      <c r="E112" s="1270">
        <v>3</v>
      </c>
      <c r="F112" s="1270" t="s">
        <v>632</v>
      </c>
      <c r="G112" s="1270" t="s">
        <v>914</v>
      </c>
      <c r="H112" s="1270" t="s">
        <v>915</v>
      </c>
      <c r="I112" s="1270">
        <v>3</v>
      </c>
      <c r="J112" s="1270" t="s">
        <v>473</v>
      </c>
      <c r="K112" s="1270">
        <f>SUMIF(CF.1!$D:$D,'CFS(연간)'!G112,CF.1!$U:$U)</f>
        <v>371917777</v>
      </c>
      <c r="L112" s="1270">
        <f t="shared" si="8"/>
        <v>371917777</v>
      </c>
      <c r="M112" s="1271">
        <f t="shared" si="9"/>
        <v>0</v>
      </c>
      <c r="O112" s="1280"/>
      <c r="P112" s="1270">
        <f t="shared" si="7"/>
        <v>-371917777</v>
      </c>
      <c r="Q112" s="1281"/>
    </row>
    <row r="113" spans="4:20" s="575" customFormat="1" ht="18" customHeight="1">
      <c r="D113" s="1269">
        <v>2022</v>
      </c>
      <c r="E113" s="1270">
        <v>3</v>
      </c>
      <c r="F113" s="1270" t="s">
        <v>632</v>
      </c>
      <c r="G113" s="1270" t="s">
        <v>980</v>
      </c>
      <c r="H113" s="1270" t="s">
        <v>981</v>
      </c>
      <c r="I113" s="1270">
        <v>4</v>
      </c>
      <c r="J113" s="1270" t="s">
        <v>473</v>
      </c>
      <c r="K113" s="1270">
        <f>SUMIF(CF.1!$D:$D,'CFS(연간)'!G113,CF.1!$U:$U)</f>
        <v>58123</v>
      </c>
      <c r="L113" s="1270">
        <f>K113</f>
        <v>58123</v>
      </c>
      <c r="M113" s="1271">
        <f>L113-K113</f>
        <v>0</v>
      </c>
      <c r="O113" s="1280"/>
      <c r="P113" s="1270">
        <f>O113-L113</f>
        <v>-58123</v>
      </c>
      <c r="Q113" s="1281"/>
    </row>
    <row r="114" spans="4:20" s="575" customFormat="1" ht="18" customHeight="1">
      <c r="D114" s="1269">
        <v>2022</v>
      </c>
      <c r="E114" s="1270">
        <v>3</v>
      </c>
      <c r="F114" s="1270" t="s">
        <v>632</v>
      </c>
      <c r="G114" s="1270" t="s">
        <v>916</v>
      </c>
      <c r="H114" s="1270" t="s">
        <v>917</v>
      </c>
      <c r="I114" s="1270">
        <v>3</v>
      </c>
      <c r="J114" s="1270" t="s">
        <v>473</v>
      </c>
      <c r="K114" s="1270">
        <f>SUMIF(CF.1!$D:$D,'CFS(연간)'!G114,CF.1!$U:$U)</f>
        <v>0</v>
      </c>
      <c r="L114" s="1270">
        <f t="shared" si="8"/>
        <v>0</v>
      </c>
      <c r="M114" s="1271">
        <f t="shared" si="9"/>
        <v>0</v>
      </c>
      <c r="O114" s="1280"/>
      <c r="P114" s="1270">
        <f t="shared" si="7"/>
        <v>0</v>
      </c>
      <c r="Q114" s="1281"/>
    </row>
    <row r="115" spans="4:20" ht="18" customHeight="1">
      <c r="D115" s="1264">
        <v>2022</v>
      </c>
      <c r="E115" s="1259">
        <v>3</v>
      </c>
      <c r="F115" s="1259" t="s">
        <v>632</v>
      </c>
      <c r="G115" s="1259" t="s">
        <v>920</v>
      </c>
      <c r="H115" s="1259" t="s">
        <v>921</v>
      </c>
      <c r="I115" s="1259">
        <v>3</v>
      </c>
      <c r="J115" s="1259" t="s">
        <v>473</v>
      </c>
      <c r="K115" s="1259">
        <f>SUMIF(CF.1!$D:$D,'CFS(연간)'!G115,CF.1!$U:$U)</f>
        <v>367641956</v>
      </c>
      <c r="L115" s="1259">
        <f t="shared" si="8"/>
        <v>367641956</v>
      </c>
      <c r="M115" s="1265">
        <f t="shared" si="9"/>
        <v>0</v>
      </c>
      <c r="O115" s="1258"/>
      <c r="P115" s="1259">
        <f t="shared" si="7"/>
        <v>-367641956</v>
      </c>
      <c r="Q115" s="1260"/>
    </row>
    <row r="116" spans="4:20" ht="18" customHeight="1">
      <c r="D116" s="1264">
        <v>2022</v>
      </c>
      <c r="E116" s="1259">
        <v>3</v>
      </c>
      <c r="F116" s="1259" t="s">
        <v>632</v>
      </c>
      <c r="G116" s="1259" t="s">
        <v>922</v>
      </c>
      <c r="H116" s="1259" t="s">
        <v>923</v>
      </c>
      <c r="I116" s="1259">
        <v>3</v>
      </c>
      <c r="J116" s="1259" t="s">
        <v>473</v>
      </c>
      <c r="K116" s="1259">
        <f>SUMIF(CF.1!$D:$D,'CFS(연간)'!G116,CF.1!$U:$U)</f>
        <v>-6597389970</v>
      </c>
      <c r="L116" s="1259">
        <f t="shared" si="8"/>
        <v>-6597389970</v>
      </c>
      <c r="M116" s="1265">
        <f t="shared" si="9"/>
        <v>0</v>
      </c>
      <c r="O116" s="1258"/>
      <c r="P116" s="1259">
        <f t="shared" si="7"/>
        <v>6597389970</v>
      </c>
      <c r="Q116" s="1260"/>
      <c r="S116" s="575"/>
      <c r="T116" s="575"/>
    </row>
    <row r="117" spans="4:20" s="575" customFormat="1" ht="18" customHeight="1">
      <c r="D117" s="1269">
        <v>2022</v>
      </c>
      <c r="E117" s="1270">
        <v>3</v>
      </c>
      <c r="F117" s="1270" t="s">
        <v>632</v>
      </c>
      <c r="G117" s="1270" t="s">
        <v>994</v>
      </c>
      <c r="H117" s="1270" t="s">
        <v>2190</v>
      </c>
      <c r="I117" s="1270">
        <v>3</v>
      </c>
      <c r="J117" s="1270" t="s">
        <v>473</v>
      </c>
      <c r="K117" s="1270">
        <f>SUMIF(CF.1!$D:$D,'CFS(연간)'!G117,CF.1!$U:$U)</f>
        <v>19882908</v>
      </c>
      <c r="L117" s="1270">
        <f>K117</f>
        <v>19882908</v>
      </c>
      <c r="M117" s="1271">
        <f>L117-K117</f>
        <v>0</v>
      </c>
      <c r="O117" s="1280"/>
      <c r="P117" s="1270">
        <f>O117-L117</f>
        <v>-19882908</v>
      </c>
      <c r="Q117" s="1281"/>
      <c r="S117" s="498"/>
      <c r="T117" s="498"/>
    </row>
    <row r="118" spans="4:20" ht="18" customHeight="1">
      <c r="D118" s="1264">
        <v>2022</v>
      </c>
      <c r="E118" s="1259">
        <v>3</v>
      </c>
      <c r="F118" s="1259" t="s">
        <v>632</v>
      </c>
      <c r="G118" s="1259" t="s">
        <v>924</v>
      </c>
      <c r="H118" s="1259" t="s">
        <v>925</v>
      </c>
      <c r="I118" s="1259">
        <v>3</v>
      </c>
      <c r="J118" s="1259" t="s">
        <v>473</v>
      </c>
      <c r="K118" s="1259">
        <f>SUMIF(CF.1!$D:$D,'CFS(연간)'!G118,CF.1!$U:$U)</f>
        <v>0</v>
      </c>
      <c r="L118" s="1259">
        <f t="shared" si="8"/>
        <v>0</v>
      </c>
      <c r="M118" s="1265">
        <f t="shared" si="9"/>
        <v>0</v>
      </c>
      <c r="O118" s="1258"/>
      <c r="P118" s="1259">
        <f t="shared" si="7"/>
        <v>0</v>
      </c>
      <c r="Q118" s="1260"/>
    </row>
    <row r="119" spans="4:20" ht="18" customHeight="1">
      <c r="D119" s="1264">
        <v>2022</v>
      </c>
      <c r="E119" s="1259">
        <v>3</v>
      </c>
      <c r="F119" s="1259" t="s">
        <v>632</v>
      </c>
      <c r="G119" s="1259" t="s">
        <v>932</v>
      </c>
      <c r="H119" s="1259" t="s">
        <v>933</v>
      </c>
      <c r="I119" s="1259">
        <v>3</v>
      </c>
      <c r="J119" s="1259" t="s">
        <v>473</v>
      </c>
      <c r="K119" s="1259">
        <f>SUMIF(CF.1!$D:$D,'CFS(연간)'!G119,CF.1!$U:$U)</f>
        <v>0</v>
      </c>
      <c r="L119" s="1259">
        <f t="shared" si="8"/>
        <v>0</v>
      </c>
      <c r="M119" s="1265">
        <f t="shared" si="9"/>
        <v>0</v>
      </c>
      <c r="O119" s="1258"/>
      <c r="P119" s="1259">
        <f t="shared" si="7"/>
        <v>0</v>
      </c>
      <c r="Q119" s="1260"/>
    </row>
    <row r="120" spans="4:20" ht="18" customHeight="1">
      <c r="D120" s="1264">
        <v>2022</v>
      </c>
      <c r="E120" s="1259">
        <v>3</v>
      </c>
      <c r="F120" s="1259" t="s">
        <v>632</v>
      </c>
      <c r="G120" s="1259" t="s">
        <v>934</v>
      </c>
      <c r="H120" s="1259" t="s">
        <v>935</v>
      </c>
      <c r="I120" s="1259">
        <v>3</v>
      </c>
      <c r="J120" s="1259" t="s">
        <v>473</v>
      </c>
      <c r="K120" s="1259">
        <f>SUMIF(CF.1!$D:$D,'CFS(연간)'!G120,CF.1!$U:$U)</f>
        <v>0</v>
      </c>
      <c r="L120" s="1259">
        <f t="shared" si="8"/>
        <v>0</v>
      </c>
      <c r="M120" s="1265">
        <f t="shared" si="9"/>
        <v>0</v>
      </c>
      <c r="O120" s="1258"/>
      <c r="P120" s="1259">
        <f t="shared" si="7"/>
        <v>0</v>
      </c>
      <c r="Q120" s="1260"/>
      <c r="S120" s="575"/>
      <c r="T120" s="575"/>
    </row>
    <row r="121" spans="4:20" ht="18" customHeight="1">
      <c r="D121" s="1264">
        <v>2022</v>
      </c>
      <c r="E121" s="1259">
        <v>3</v>
      </c>
      <c r="F121" s="1259" t="s">
        <v>632</v>
      </c>
      <c r="G121" s="1259" t="s">
        <v>936</v>
      </c>
      <c r="H121" s="1259" t="s">
        <v>937</v>
      </c>
      <c r="I121" s="1259">
        <v>3</v>
      </c>
      <c r="J121" s="1259" t="s">
        <v>473</v>
      </c>
      <c r="K121" s="1259">
        <f>SUMIF(CF.1!$D:$D,'CFS(연간)'!G121,CF.1!$U:$U)</f>
        <v>0</v>
      </c>
      <c r="L121" s="1259">
        <f t="shared" si="8"/>
        <v>0</v>
      </c>
      <c r="M121" s="1265">
        <f t="shared" si="9"/>
        <v>0</v>
      </c>
      <c r="O121" s="1258"/>
      <c r="P121" s="1259">
        <f t="shared" si="7"/>
        <v>0</v>
      </c>
      <c r="Q121" s="1260"/>
    </row>
    <row r="122" spans="4:20" ht="18" customHeight="1">
      <c r="D122" s="1264">
        <v>2022</v>
      </c>
      <c r="E122" s="1259">
        <v>3</v>
      </c>
      <c r="F122" s="1259" t="s">
        <v>632</v>
      </c>
      <c r="G122" s="1259" t="s">
        <v>938</v>
      </c>
      <c r="H122" s="1259" t="s">
        <v>939</v>
      </c>
      <c r="I122" s="1259">
        <v>3</v>
      </c>
      <c r="J122" s="1259" t="s">
        <v>473</v>
      </c>
      <c r="K122" s="1259">
        <f>SUMIF(CF.1!$D:$D,'CFS(연간)'!G122,CF.1!$U:$U)</f>
        <v>0</v>
      </c>
      <c r="L122" s="1259">
        <f t="shared" si="8"/>
        <v>0</v>
      </c>
      <c r="M122" s="1265">
        <f t="shared" si="9"/>
        <v>0</v>
      </c>
      <c r="O122" s="1258"/>
      <c r="P122" s="1259">
        <f t="shared" si="7"/>
        <v>0</v>
      </c>
      <c r="Q122" s="1260"/>
    </row>
    <row r="123" spans="4:20" ht="18" customHeight="1">
      <c r="D123" s="1264">
        <v>2022</v>
      </c>
      <c r="E123" s="1259">
        <v>3</v>
      </c>
      <c r="F123" s="1259" t="s">
        <v>632</v>
      </c>
      <c r="G123" s="1259" t="s">
        <v>940</v>
      </c>
      <c r="H123" s="1259" t="s">
        <v>941</v>
      </c>
      <c r="I123" s="1259">
        <v>3</v>
      </c>
      <c r="J123" s="1259" t="s">
        <v>473</v>
      </c>
      <c r="K123" s="1259">
        <f>SUMIF(CF.1!$D:$D,'CFS(연간)'!G123,CF.1!$U:$U)</f>
        <v>4886265252</v>
      </c>
      <c r="L123" s="1259">
        <f t="shared" si="8"/>
        <v>4886265252</v>
      </c>
      <c r="M123" s="1265">
        <f t="shared" si="9"/>
        <v>0</v>
      </c>
      <c r="O123" s="1258"/>
      <c r="P123" s="1259">
        <f t="shared" si="7"/>
        <v>-4886265252</v>
      </c>
      <c r="Q123" s="1260"/>
    </row>
    <row r="124" spans="4:20" s="575" customFormat="1" ht="18" customHeight="1">
      <c r="D124" s="1269">
        <v>2022</v>
      </c>
      <c r="E124" s="1270">
        <v>3</v>
      </c>
      <c r="F124" s="1270" t="s">
        <v>632</v>
      </c>
      <c r="G124" s="1270" t="s">
        <v>942</v>
      </c>
      <c r="H124" s="1270" t="s">
        <v>943</v>
      </c>
      <c r="I124" s="1270">
        <v>3</v>
      </c>
      <c r="J124" s="1270" t="s">
        <v>473</v>
      </c>
      <c r="K124" s="1270">
        <f>SUMIF(CF.1!$D:$D,'CFS(연간)'!G124,CF.1!$U:$U)</f>
        <v>0</v>
      </c>
      <c r="L124" s="1270">
        <v>0</v>
      </c>
      <c r="M124" s="1271">
        <f t="shared" si="9"/>
        <v>0</v>
      </c>
      <c r="O124" s="1280"/>
      <c r="P124" s="1270">
        <f t="shared" si="7"/>
        <v>0</v>
      </c>
      <c r="Q124" s="1281"/>
      <c r="S124" s="498"/>
      <c r="T124" s="498"/>
    </row>
    <row r="125" spans="4:20" s="575" customFormat="1" ht="18" customHeight="1">
      <c r="D125" s="1269">
        <v>2022</v>
      </c>
      <c r="E125" s="1270">
        <v>3</v>
      </c>
      <c r="F125" s="1270" t="s">
        <v>632</v>
      </c>
      <c r="G125" s="1270" t="s">
        <v>944</v>
      </c>
      <c r="H125" s="1270" t="s">
        <v>945</v>
      </c>
      <c r="I125" s="1270">
        <v>3</v>
      </c>
      <c r="J125" s="1270" t="s">
        <v>473</v>
      </c>
      <c r="K125" s="1270">
        <f>SUMIF(CF.1!$D:$D,'CFS(연간)'!G125,CF.1!$U:$U)</f>
        <v>-316678366</v>
      </c>
      <c r="L125" s="1270">
        <f>K125</f>
        <v>-316678366</v>
      </c>
      <c r="M125" s="1271">
        <f t="shared" si="9"/>
        <v>0</v>
      </c>
      <c r="O125" s="1280"/>
      <c r="P125" s="1270">
        <f t="shared" si="7"/>
        <v>316678366</v>
      </c>
      <c r="Q125" s="1281"/>
      <c r="S125" s="498"/>
      <c r="T125" s="498"/>
    </row>
    <row r="126" spans="4:20" s="575" customFormat="1" ht="18" customHeight="1">
      <c r="D126" s="1269">
        <v>2022</v>
      </c>
      <c r="E126" s="1270">
        <v>3</v>
      </c>
      <c r="F126" s="1270" t="s">
        <v>632</v>
      </c>
      <c r="G126" s="1270" t="s">
        <v>946</v>
      </c>
      <c r="H126" s="1270" t="s">
        <v>947</v>
      </c>
      <c r="I126" s="1270">
        <v>3</v>
      </c>
      <c r="J126" s="1270" t="s">
        <v>473</v>
      </c>
      <c r="K126" s="1270">
        <f>SUMIF(CF.1!$D:$D,'CFS(연간)'!G126,CF.1!$U:$U)</f>
        <v>0</v>
      </c>
      <c r="L126" s="1270">
        <v>0</v>
      </c>
      <c r="M126" s="1271">
        <f t="shared" si="9"/>
        <v>0</v>
      </c>
      <c r="O126" s="1280"/>
      <c r="P126" s="1270">
        <f t="shared" si="7"/>
        <v>0</v>
      </c>
      <c r="Q126" s="1281"/>
      <c r="S126" s="498"/>
      <c r="T126" s="498"/>
    </row>
    <row r="127" spans="4:20" ht="18" customHeight="1">
      <c r="D127" s="1264">
        <v>2022</v>
      </c>
      <c r="E127" s="1259">
        <v>3</v>
      </c>
      <c r="F127" s="1259" t="s">
        <v>632</v>
      </c>
      <c r="G127" s="1259" t="s">
        <v>948</v>
      </c>
      <c r="H127" s="1259" t="s">
        <v>949</v>
      </c>
      <c r="I127" s="1259">
        <v>3</v>
      </c>
      <c r="J127" s="1259" t="s">
        <v>473</v>
      </c>
      <c r="K127" s="1259">
        <f>SUMIF(CF.1!$D:$D,'CFS(연간)'!G127,CF.1!$U:$U)</f>
        <v>4251768892</v>
      </c>
      <c r="L127" s="1259">
        <f t="shared" ref="L127:L148" si="12">K127</f>
        <v>4251768892</v>
      </c>
      <c r="M127" s="1265">
        <f t="shared" si="9"/>
        <v>0</v>
      </c>
      <c r="O127" s="1258"/>
      <c r="P127" s="1259">
        <f t="shared" si="7"/>
        <v>-4251768892</v>
      </c>
      <c r="Q127" s="1260"/>
      <c r="S127" s="575"/>
      <c r="T127" s="575"/>
    </row>
    <row r="128" spans="4:20" s="543" customFormat="1" ht="18" customHeight="1">
      <c r="D128" s="1278">
        <v>2022</v>
      </c>
      <c r="E128" s="1277">
        <v>3</v>
      </c>
      <c r="F128" s="1277" t="s">
        <v>632</v>
      </c>
      <c r="G128" s="1277" t="s">
        <v>950</v>
      </c>
      <c r="H128" s="1277" t="s">
        <v>951</v>
      </c>
      <c r="I128" s="1277">
        <v>3</v>
      </c>
      <c r="J128" s="1277" t="s">
        <v>473</v>
      </c>
      <c r="K128" s="1277">
        <f>SUMIF(CF.1!$D:$D,'CFS(연간)'!G128,CF.1!$U:$U)</f>
        <v>-1895235072</v>
      </c>
      <c r="L128" s="1277">
        <f>K128</f>
        <v>-1895235072</v>
      </c>
      <c r="M128" s="1279">
        <f t="shared" si="9"/>
        <v>0</v>
      </c>
      <c r="O128" s="1272"/>
      <c r="P128" s="1277">
        <f t="shared" si="7"/>
        <v>1895235072</v>
      </c>
      <c r="Q128" s="1273"/>
      <c r="S128" s="575"/>
      <c r="T128" s="575"/>
    </row>
    <row r="129" spans="4:20" ht="18" customHeight="1">
      <c r="D129" s="1264">
        <v>2022</v>
      </c>
      <c r="E129" s="1259">
        <v>3</v>
      </c>
      <c r="F129" s="1259" t="s">
        <v>632</v>
      </c>
      <c r="G129" s="1259" t="s">
        <v>952</v>
      </c>
      <c r="H129" s="1259" t="s">
        <v>953</v>
      </c>
      <c r="I129" s="1259">
        <v>3</v>
      </c>
      <c r="J129" s="1259" t="s">
        <v>473</v>
      </c>
      <c r="K129" s="1259">
        <f>SUMIF(CF.1!$D:$D,'CFS(연간)'!G129,CF.1!$U:$U)</f>
        <v>-1625252051</v>
      </c>
      <c r="L129" s="1259">
        <f t="shared" si="12"/>
        <v>-1625252051</v>
      </c>
      <c r="M129" s="1265">
        <f t="shared" si="9"/>
        <v>0</v>
      </c>
      <c r="O129" s="1258"/>
      <c r="P129" s="1259">
        <f t="shared" si="7"/>
        <v>1625252051</v>
      </c>
      <c r="Q129" s="1260"/>
      <c r="S129" s="575"/>
      <c r="T129" s="575"/>
    </row>
    <row r="130" spans="4:20" ht="18" customHeight="1">
      <c r="D130" s="1264">
        <v>2022</v>
      </c>
      <c r="E130" s="1259">
        <v>3</v>
      </c>
      <c r="F130" s="1259" t="s">
        <v>632</v>
      </c>
      <c r="G130" s="1259" t="s">
        <v>956</v>
      </c>
      <c r="H130" s="1259" t="s">
        <v>957</v>
      </c>
      <c r="I130" s="1259">
        <v>3</v>
      </c>
      <c r="J130" s="1259" t="s">
        <v>473</v>
      </c>
      <c r="K130" s="1259">
        <f>SUMIF(CF.1!$D:$D,'CFS(연간)'!G130,CF.1!$U:$U)</f>
        <v>0</v>
      </c>
      <c r="L130" s="1259">
        <f t="shared" si="12"/>
        <v>0</v>
      </c>
      <c r="M130" s="1265">
        <f t="shared" si="9"/>
        <v>0</v>
      </c>
      <c r="O130" s="1258"/>
      <c r="P130" s="1259">
        <f t="shared" si="7"/>
        <v>0</v>
      </c>
      <c r="Q130" s="1260"/>
    </row>
    <row r="131" spans="4:20" ht="18" customHeight="1">
      <c r="D131" s="1264">
        <v>2022</v>
      </c>
      <c r="E131" s="1259">
        <v>3</v>
      </c>
      <c r="F131" s="1259" t="s">
        <v>632</v>
      </c>
      <c r="G131" s="1259" t="s">
        <v>958</v>
      </c>
      <c r="H131" s="1259" t="s">
        <v>959</v>
      </c>
      <c r="I131" s="1259">
        <v>3</v>
      </c>
      <c r="J131" s="1259" t="s">
        <v>473</v>
      </c>
      <c r="K131" s="1259">
        <f>SUMIF(CF.1!$D:$D,'CFS(연간)'!G131,CF.1!$U:$U)</f>
        <v>0</v>
      </c>
      <c r="L131" s="1259">
        <f t="shared" si="12"/>
        <v>0</v>
      </c>
      <c r="M131" s="1265">
        <f t="shared" si="9"/>
        <v>0</v>
      </c>
      <c r="O131" s="1258"/>
      <c r="P131" s="1259">
        <f t="shared" si="7"/>
        <v>0</v>
      </c>
      <c r="Q131" s="1260"/>
      <c r="S131" s="543"/>
      <c r="T131" s="543"/>
    </row>
    <row r="132" spans="4:20" ht="18" customHeight="1">
      <c r="D132" s="1264">
        <v>2022</v>
      </c>
      <c r="E132" s="1259">
        <v>3</v>
      </c>
      <c r="F132" s="1259" t="s">
        <v>632</v>
      </c>
      <c r="G132" s="1259" t="s">
        <v>960</v>
      </c>
      <c r="H132" s="1259" t="s">
        <v>961</v>
      </c>
      <c r="I132" s="1259">
        <v>3</v>
      </c>
      <c r="J132" s="1259" t="s">
        <v>473</v>
      </c>
      <c r="K132" s="1259">
        <f>SUMIF(CF.1!$D:$D,'CFS(연간)'!G132,CF.1!$U:$U)</f>
        <v>0</v>
      </c>
      <c r="L132" s="1259">
        <f t="shared" si="12"/>
        <v>0</v>
      </c>
      <c r="M132" s="1265">
        <f t="shared" si="9"/>
        <v>0</v>
      </c>
      <c r="O132" s="1258"/>
      <c r="P132" s="1259">
        <f t="shared" si="7"/>
        <v>0</v>
      </c>
      <c r="Q132" s="1260"/>
    </row>
    <row r="133" spans="4:20" ht="18" customHeight="1">
      <c r="D133" s="1264">
        <v>2022</v>
      </c>
      <c r="E133" s="1259">
        <v>3</v>
      </c>
      <c r="F133" s="1259" t="s">
        <v>632</v>
      </c>
      <c r="G133" s="1259" t="s">
        <v>962</v>
      </c>
      <c r="H133" s="1259" t="s">
        <v>963</v>
      </c>
      <c r="I133" s="1259">
        <v>3</v>
      </c>
      <c r="J133" s="1259" t="s">
        <v>473</v>
      </c>
      <c r="K133" s="1259">
        <f>SUMIF(CF.1!$D:$D,'CFS(연간)'!G133,CF.1!$U:$U)</f>
        <v>0</v>
      </c>
      <c r="L133" s="1259">
        <f t="shared" si="12"/>
        <v>0</v>
      </c>
      <c r="M133" s="1265">
        <f t="shared" si="9"/>
        <v>0</v>
      </c>
      <c r="O133" s="1258"/>
      <c r="P133" s="1259">
        <f t="shared" si="7"/>
        <v>0</v>
      </c>
      <c r="Q133" s="1260"/>
    </row>
    <row r="134" spans="4:20" ht="18" customHeight="1">
      <c r="D134" s="1264">
        <v>2022</v>
      </c>
      <c r="E134" s="1259">
        <v>3</v>
      </c>
      <c r="F134" s="1259" t="s">
        <v>632</v>
      </c>
      <c r="G134" s="1259" t="s">
        <v>964</v>
      </c>
      <c r="H134" s="1259" t="s">
        <v>965</v>
      </c>
      <c r="I134" s="1259">
        <v>3</v>
      </c>
      <c r="J134" s="1259" t="s">
        <v>473</v>
      </c>
      <c r="K134" s="1259">
        <f>SUMIF(CF.1!$D:$D,'CFS(연간)'!G134,CF.1!$U:$U)</f>
        <v>784017738</v>
      </c>
      <c r="L134" s="1259">
        <f t="shared" si="12"/>
        <v>784017738</v>
      </c>
      <c r="M134" s="1265">
        <f t="shared" si="9"/>
        <v>0</v>
      </c>
      <c r="O134" s="1258"/>
      <c r="P134" s="1259">
        <f t="shared" si="7"/>
        <v>-784017738</v>
      </c>
      <c r="Q134" s="1260"/>
    </row>
    <row r="135" spans="4:20" ht="18" customHeight="1">
      <c r="D135" s="1264">
        <v>2022</v>
      </c>
      <c r="E135" s="1259">
        <v>3</v>
      </c>
      <c r="F135" s="1259" t="s">
        <v>632</v>
      </c>
      <c r="G135" s="1259" t="s">
        <v>966</v>
      </c>
      <c r="H135" s="1259" t="s">
        <v>967</v>
      </c>
      <c r="I135" s="1259">
        <v>3</v>
      </c>
      <c r="J135" s="1259" t="s">
        <v>473</v>
      </c>
      <c r="K135" s="1259">
        <f>SUMIF(CF.1!$D:$D,'CFS(연간)'!G135,CF.1!$U:$U)</f>
        <v>0</v>
      </c>
      <c r="L135" s="1259">
        <f t="shared" si="12"/>
        <v>0</v>
      </c>
      <c r="M135" s="1265">
        <f t="shared" si="9"/>
        <v>0</v>
      </c>
      <c r="O135" s="1258"/>
      <c r="P135" s="1259">
        <f t="shared" si="7"/>
        <v>0</v>
      </c>
      <c r="Q135" s="1260"/>
    </row>
    <row r="136" spans="4:20" ht="18" customHeight="1">
      <c r="D136" s="1264">
        <v>2022</v>
      </c>
      <c r="E136" s="1259">
        <v>3</v>
      </c>
      <c r="F136" s="1259" t="s">
        <v>632</v>
      </c>
      <c r="G136" s="1259" t="s">
        <v>968</v>
      </c>
      <c r="H136" s="1259" t="s">
        <v>969</v>
      </c>
      <c r="I136" s="1259">
        <v>3</v>
      </c>
      <c r="J136" s="1259" t="s">
        <v>473</v>
      </c>
      <c r="K136" s="1259">
        <f>SUMIF(CF.1!$D:$D,'CFS(연간)'!G136,CF.1!$U:$U)</f>
        <v>0</v>
      </c>
      <c r="L136" s="1259">
        <f t="shared" si="12"/>
        <v>0</v>
      </c>
      <c r="M136" s="1265">
        <f t="shared" si="9"/>
        <v>0</v>
      </c>
      <c r="O136" s="1258"/>
      <c r="P136" s="1259">
        <f t="shared" ref="P136:P198" si="13">O136-L136</f>
        <v>0</v>
      </c>
      <c r="Q136" s="1260"/>
    </row>
    <row r="137" spans="4:20" ht="18" customHeight="1">
      <c r="D137" s="1264">
        <v>2022</v>
      </c>
      <c r="E137" s="1259">
        <v>3</v>
      </c>
      <c r="F137" s="1259" t="s">
        <v>632</v>
      </c>
      <c r="G137" s="1259" t="s">
        <v>970</v>
      </c>
      <c r="H137" s="1259" t="s">
        <v>971</v>
      </c>
      <c r="I137" s="1259">
        <v>3</v>
      </c>
      <c r="J137" s="1259" t="s">
        <v>473</v>
      </c>
      <c r="K137" s="1259">
        <f>SUMIF(CF.1!$D:$D,'CFS(연간)'!G137,CF.1!$U:$U)</f>
        <v>526577000</v>
      </c>
      <c r="L137" s="1259">
        <f t="shared" si="12"/>
        <v>526577000</v>
      </c>
      <c r="M137" s="1265">
        <f t="shared" si="9"/>
        <v>0</v>
      </c>
      <c r="O137" s="1258"/>
      <c r="P137" s="1259">
        <f t="shared" si="13"/>
        <v>-526577000</v>
      </c>
      <c r="Q137" s="1260"/>
    </row>
    <row r="138" spans="4:20" ht="18" customHeight="1">
      <c r="D138" s="1264">
        <v>2022</v>
      </c>
      <c r="E138" s="1259">
        <v>3</v>
      </c>
      <c r="F138" s="1259" t="s">
        <v>632</v>
      </c>
      <c r="G138" s="1259" t="s">
        <v>972</v>
      </c>
      <c r="H138" s="1259" t="s">
        <v>973</v>
      </c>
      <c r="I138" s="1259">
        <v>3</v>
      </c>
      <c r="J138" s="1259" t="s">
        <v>473</v>
      </c>
      <c r="K138" s="1259">
        <f>SUMIF(CF.1!$D:$D,'CFS(연간)'!G138,CF.1!$U:$U)</f>
        <v>0</v>
      </c>
      <c r="L138" s="1259">
        <f t="shared" si="12"/>
        <v>0</v>
      </c>
      <c r="M138" s="1265">
        <f t="shared" si="9"/>
        <v>0</v>
      </c>
      <c r="O138" s="1258"/>
      <c r="P138" s="1259">
        <f t="shared" si="13"/>
        <v>0</v>
      </c>
      <c r="Q138" s="1260"/>
    </row>
    <row r="139" spans="4:20" ht="18" customHeight="1">
      <c r="D139" s="1264">
        <v>2022</v>
      </c>
      <c r="E139" s="1259">
        <v>3</v>
      </c>
      <c r="F139" s="1259" t="s">
        <v>632</v>
      </c>
      <c r="G139" s="1259" t="s">
        <v>974</v>
      </c>
      <c r="H139" s="1259" t="s">
        <v>975</v>
      </c>
      <c r="I139" s="1259">
        <v>3</v>
      </c>
      <c r="J139" s="1259" t="s">
        <v>473</v>
      </c>
      <c r="K139" s="1259">
        <f>SUMIF(CF.1!$D:$D,'CFS(연간)'!G139,CF.1!$U:$U)</f>
        <v>0</v>
      </c>
      <c r="L139" s="1259">
        <f t="shared" si="12"/>
        <v>0</v>
      </c>
      <c r="M139" s="1265">
        <f t="shared" si="9"/>
        <v>0</v>
      </c>
      <c r="O139" s="1258"/>
      <c r="P139" s="1259">
        <f t="shared" si="13"/>
        <v>0</v>
      </c>
      <c r="Q139" s="1260"/>
    </row>
    <row r="140" spans="4:20" ht="18" customHeight="1">
      <c r="D140" s="1264">
        <v>2022</v>
      </c>
      <c r="E140" s="1259">
        <v>3</v>
      </c>
      <c r="F140" s="1259" t="s">
        <v>632</v>
      </c>
      <c r="G140" s="1259" t="s">
        <v>976</v>
      </c>
      <c r="H140" s="1259" t="s">
        <v>977</v>
      </c>
      <c r="I140" s="1259">
        <v>3</v>
      </c>
      <c r="J140" s="1259" t="s">
        <v>473</v>
      </c>
      <c r="K140" s="1259">
        <f>SUMIF(CF.1!$D:$D,'CFS(연간)'!G140,CF.1!$U:$U)</f>
        <v>-866111443</v>
      </c>
      <c r="L140" s="1259">
        <f t="shared" si="12"/>
        <v>-866111443</v>
      </c>
      <c r="M140" s="1265">
        <f t="shared" si="9"/>
        <v>0</v>
      </c>
      <c r="O140" s="1258"/>
      <c r="P140" s="1259">
        <f t="shared" si="13"/>
        <v>866111443</v>
      </c>
      <c r="Q140" s="1260"/>
    </row>
    <row r="141" spans="4:20" ht="18" customHeight="1">
      <c r="D141" s="1264">
        <v>2022</v>
      </c>
      <c r="E141" s="1259">
        <v>3</v>
      </c>
      <c r="F141" s="1259" t="s">
        <v>632</v>
      </c>
      <c r="G141" s="1259" t="s">
        <v>2051</v>
      </c>
      <c r="H141" s="1259" t="s">
        <v>979</v>
      </c>
      <c r="I141" s="1259">
        <v>3</v>
      </c>
      <c r="J141" s="1259" t="s">
        <v>473</v>
      </c>
      <c r="K141" s="1259">
        <f>SUMIF(CF.1!$D:$D,'CFS(연간)'!G141,CF.1!$U:$U)</f>
        <v>0</v>
      </c>
      <c r="L141" s="1259">
        <f t="shared" si="12"/>
        <v>0</v>
      </c>
      <c r="M141" s="1265">
        <v>0</v>
      </c>
      <c r="O141" s="1258"/>
      <c r="P141" s="1259">
        <f t="shared" si="13"/>
        <v>0</v>
      </c>
      <c r="Q141" s="1260"/>
    </row>
    <row r="142" spans="4:20" ht="18" customHeight="1">
      <c r="D142" s="1264">
        <v>2022</v>
      </c>
      <c r="E142" s="1259">
        <v>3</v>
      </c>
      <c r="F142" s="1259" t="s">
        <v>632</v>
      </c>
      <c r="G142" s="1259" t="s">
        <v>982</v>
      </c>
      <c r="H142" s="1259" t="s">
        <v>983</v>
      </c>
      <c r="I142" s="1259">
        <v>3</v>
      </c>
      <c r="J142" s="1259" t="s">
        <v>473</v>
      </c>
      <c r="K142" s="1259">
        <f>SUMIF(CF.1!$D:$D,'CFS(연간)'!G142,CF.1!$U:$U)</f>
        <v>0</v>
      </c>
      <c r="L142" s="1259">
        <f t="shared" si="12"/>
        <v>0</v>
      </c>
      <c r="M142" s="1265">
        <f t="shared" si="9"/>
        <v>0</v>
      </c>
      <c r="O142" s="1258"/>
      <c r="P142" s="1259">
        <f t="shared" si="13"/>
        <v>0</v>
      </c>
      <c r="Q142" s="1260"/>
    </row>
    <row r="143" spans="4:20" ht="18" customHeight="1">
      <c r="D143" s="1269">
        <v>2022</v>
      </c>
      <c r="E143" s="1270">
        <v>3</v>
      </c>
      <c r="F143" s="1270" t="s">
        <v>632</v>
      </c>
      <c r="G143" s="1270" t="s">
        <v>984</v>
      </c>
      <c r="H143" s="1270" t="s">
        <v>1503</v>
      </c>
      <c r="I143" s="1270">
        <v>3</v>
      </c>
      <c r="J143" s="1270" t="s">
        <v>473</v>
      </c>
      <c r="K143" s="1270">
        <f>SUMIF(CF.1!$D:$D,'CFS(연간)'!G143,CF.1!$U:$U)</f>
        <v>0</v>
      </c>
      <c r="L143" s="1270">
        <f t="shared" si="12"/>
        <v>0</v>
      </c>
      <c r="M143" s="1271">
        <f t="shared" si="9"/>
        <v>0</v>
      </c>
      <c r="O143" s="1258"/>
      <c r="P143" s="1259">
        <f t="shared" si="13"/>
        <v>0</v>
      </c>
      <c r="Q143" s="1260"/>
    </row>
    <row r="144" spans="4:20" ht="18" customHeight="1">
      <c r="D144" s="1264">
        <v>2022</v>
      </c>
      <c r="E144" s="1259">
        <v>3</v>
      </c>
      <c r="F144" s="1259" t="s">
        <v>632</v>
      </c>
      <c r="G144" s="1259" t="s">
        <v>1504</v>
      </c>
      <c r="H144" s="1259" t="s">
        <v>1505</v>
      </c>
      <c r="I144" s="1259">
        <v>3</v>
      </c>
      <c r="J144" s="1259" t="s">
        <v>473</v>
      </c>
      <c r="K144" s="1259">
        <f>SUMIF(CF.1!$D:$D,'CFS(연간)'!G144,CF.1!$U:$U)</f>
        <v>0</v>
      </c>
      <c r="L144" s="1259">
        <f t="shared" si="12"/>
        <v>0</v>
      </c>
      <c r="M144" s="1265">
        <f t="shared" si="9"/>
        <v>0</v>
      </c>
      <c r="O144" s="1258"/>
      <c r="P144" s="1259">
        <f t="shared" si="13"/>
        <v>0</v>
      </c>
      <c r="Q144" s="1260"/>
    </row>
    <row r="145" spans="4:20" ht="18" customHeight="1">
      <c r="D145" s="1264">
        <v>2022</v>
      </c>
      <c r="E145" s="1259">
        <v>3</v>
      </c>
      <c r="F145" s="1259" t="s">
        <v>632</v>
      </c>
      <c r="G145" s="1259" t="s">
        <v>1506</v>
      </c>
      <c r="H145" s="1259" t="s">
        <v>1507</v>
      </c>
      <c r="I145" s="1259">
        <v>3</v>
      </c>
      <c r="J145" s="1259" t="s">
        <v>473</v>
      </c>
      <c r="K145" s="1259">
        <f>SUMIF(CF.1!$D:$D,'CFS(연간)'!G145,CF.1!$U:$U)</f>
        <v>0</v>
      </c>
      <c r="L145" s="1259">
        <f t="shared" si="12"/>
        <v>0</v>
      </c>
      <c r="M145" s="1265">
        <f t="shared" si="9"/>
        <v>0</v>
      </c>
      <c r="O145" s="1258"/>
      <c r="P145" s="1259">
        <f t="shared" si="13"/>
        <v>0</v>
      </c>
      <c r="Q145" s="1260"/>
    </row>
    <row r="146" spans="4:20" ht="18" customHeight="1">
      <c r="D146" s="1264">
        <v>2022</v>
      </c>
      <c r="E146" s="1259">
        <v>3</v>
      </c>
      <c r="F146" s="1259" t="s">
        <v>632</v>
      </c>
      <c r="G146" s="1259" t="s">
        <v>1508</v>
      </c>
      <c r="H146" s="1259" t="s">
        <v>1509</v>
      </c>
      <c r="I146" s="1259">
        <v>3</v>
      </c>
      <c r="J146" s="1259" t="s">
        <v>473</v>
      </c>
      <c r="K146" s="1259">
        <f>SUMIF(CF.1!$D:$D,'CFS(연간)'!G146,CF.1!$U:$U)</f>
        <v>0</v>
      </c>
      <c r="L146" s="1259">
        <f t="shared" si="12"/>
        <v>0</v>
      </c>
      <c r="M146" s="1265">
        <f t="shared" si="9"/>
        <v>0</v>
      </c>
      <c r="O146" s="1258"/>
      <c r="P146" s="1259">
        <f t="shared" si="13"/>
        <v>0</v>
      </c>
      <c r="Q146" s="1260"/>
    </row>
    <row r="147" spans="4:20" ht="18" customHeight="1">
      <c r="D147" s="1264">
        <v>2022</v>
      </c>
      <c r="E147" s="1259">
        <v>3</v>
      </c>
      <c r="F147" s="1259" t="s">
        <v>632</v>
      </c>
      <c r="G147" s="1259" t="s">
        <v>992</v>
      </c>
      <c r="H147" s="1259" t="s">
        <v>993</v>
      </c>
      <c r="I147" s="1259">
        <v>3</v>
      </c>
      <c r="J147" s="1259" t="s">
        <v>473</v>
      </c>
      <c r="K147" s="1259">
        <f>SUMIF(CF.1!$D:$D,'CFS(연간)'!G147,CF.1!$U:$U)</f>
        <v>-37371383</v>
      </c>
      <c r="L147" s="1259">
        <f t="shared" si="12"/>
        <v>-37371383</v>
      </c>
      <c r="M147" s="1265">
        <f t="shared" si="9"/>
        <v>0</v>
      </c>
      <c r="O147" s="1258"/>
      <c r="P147" s="1259">
        <f t="shared" si="13"/>
        <v>37371383</v>
      </c>
      <c r="Q147" s="1260"/>
    </row>
    <row r="148" spans="4:20" ht="18" customHeight="1">
      <c r="D148" s="1264">
        <v>2022</v>
      </c>
      <c r="E148" s="1259">
        <v>3</v>
      </c>
      <c r="F148" s="1259" t="s">
        <v>632</v>
      </c>
      <c r="G148" s="1259" t="s">
        <v>998</v>
      </c>
      <c r="H148" s="1259" t="s">
        <v>999</v>
      </c>
      <c r="I148" s="1259">
        <v>3</v>
      </c>
      <c r="J148" s="1259" t="s">
        <v>473</v>
      </c>
      <c r="K148" s="1259">
        <f>SUMIF(CF.1!$D:$D,'CFS(연간)'!G148,CF.1!$U:$U)</f>
        <v>-959730986</v>
      </c>
      <c r="L148" s="1259">
        <f t="shared" si="12"/>
        <v>-959730986</v>
      </c>
      <c r="M148" s="1265"/>
      <c r="O148" s="1258"/>
      <c r="P148" s="1259">
        <f t="shared" si="13"/>
        <v>959730986</v>
      </c>
      <c r="Q148" s="1260"/>
    </row>
    <row r="149" spans="4:20" ht="18" customHeight="1">
      <c r="D149" s="1266">
        <v>2022</v>
      </c>
      <c r="E149" s="1267">
        <v>3</v>
      </c>
      <c r="F149" s="1267" t="s">
        <v>632</v>
      </c>
      <c r="G149" s="1267" t="s">
        <v>1002</v>
      </c>
      <c r="H149" s="1267" t="s">
        <v>1003</v>
      </c>
      <c r="I149" s="1267">
        <v>2</v>
      </c>
      <c r="J149" s="1267" t="s">
        <v>473</v>
      </c>
      <c r="K149" s="1267">
        <f>SUM(K150:K154)</f>
        <v>934575225</v>
      </c>
      <c r="L149" s="1267">
        <f>SUM(L150:L154)</f>
        <v>934575225</v>
      </c>
      <c r="M149" s="1268">
        <f>SUM(M150:M154)</f>
        <v>0</v>
      </c>
      <c r="O149" s="1258"/>
      <c r="P149" s="1259">
        <f t="shared" si="13"/>
        <v>-934575225</v>
      </c>
      <c r="Q149" s="1260"/>
    </row>
    <row r="150" spans="4:20" ht="18" customHeight="1">
      <c r="D150" s="1264">
        <v>2022</v>
      </c>
      <c r="E150" s="1259">
        <v>3</v>
      </c>
      <c r="F150" s="1259" t="s">
        <v>632</v>
      </c>
      <c r="G150" s="1259" t="s">
        <v>1004</v>
      </c>
      <c r="H150" s="1259" t="s">
        <v>1005</v>
      </c>
      <c r="I150" s="1259">
        <v>3</v>
      </c>
      <c r="J150" s="1259" t="s">
        <v>473</v>
      </c>
      <c r="K150" s="1259">
        <f>SUMIF(CF.1!$D:$D,'CFS(연간)'!G150,CF.1!$U:$U)</f>
        <v>0</v>
      </c>
      <c r="L150" s="1259">
        <f>K150</f>
        <v>0</v>
      </c>
      <c r="M150" s="1265">
        <f>L150-K150</f>
        <v>0</v>
      </c>
      <c r="O150" s="1258"/>
      <c r="P150" s="1259">
        <f t="shared" si="13"/>
        <v>0</v>
      </c>
      <c r="Q150" s="1260"/>
    </row>
    <row r="151" spans="4:20" ht="18" customHeight="1">
      <c r="D151" s="1264">
        <v>2022</v>
      </c>
      <c r="E151" s="1259">
        <v>3</v>
      </c>
      <c r="F151" s="1259" t="s">
        <v>632</v>
      </c>
      <c r="G151" s="1259" t="s">
        <v>1006</v>
      </c>
      <c r="H151" s="1259" t="s">
        <v>1007</v>
      </c>
      <c r="I151" s="1259">
        <v>3</v>
      </c>
      <c r="J151" s="1259" t="s">
        <v>473</v>
      </c>
      <c r="K151" s="1259">
        <f>SUMIF(CF.1!$D:$D,'CFS(연간)'!G151,CF.1!$U:$U)</f>
        <v>1485778734</v>
      </c>
      <c r="L151" s="1259">
        <f>K151</f>
        <v>1485778734</v>
      </c>
      <c r="M151" s="1265">
        <f>L151-K151</f>
        <v>0</v>
      </c>
      <c r="O151" s="1258"/>
      <c r="P151" s="1259">
        <f t="shared" si="13"/>
        <v>-1485778734</v>
      </c>
      <c r="Q151" s="1260"/>
    </row>
    <row r="152" spans="4:20" ht="18" customHeight="1">
      <c r="D152" s="1264">
        <v>2022</v>
      </c>
      <c r="E152" s="1259">
        <v>3</v>
      </c>
      <c r="F152" s="1259" t="s">
        <v>632</v>
      </c>
      <c r="G152" s="1259" t="s">
        <v>1008</v>
      </c>
      <c r="H152" s="1259" t="s">
        <v>1009</v>
      </c>
      <c r="I152" s="1259">
        <v>3</v>
      </c>
      <c r="J152" s="1259" t="s">
        <v>473</v>
      </c>
      <c r="K152" s="1259">
        <f>SUMIF(CF.1!$D:$D,'CFS(연간)'!G152,CF.1!$U:$U)</f>
        <v>-169215977</v>
      </c>
      <c r="L152" s="1259">
        <f>K152</f>
        <v>-169215977</v>
      </c>
      <c r="M152" s="1265">
        <f>L152-K152</f>
        <v>0</v>
      </c>
      <c r="O152" s="1258"/>
      <c r="P152" s="1259">
        <f t="shared" si="13"/>
        <v>169215977</v>
      </c>
      <c r="Q152" s="1260"/>
    </row>
    <row r="153" spans="4:20" ht="18" customHeight="1">
      <c r="D153" s="1264">
        <v>2022</v>
      </c>
      <c r="E153" s="1259">
        <v>3</v>
      </c>
      <c r="F153" s="1259" t="s">
        <v>632</v>
      </c>
      <c r="G153" s="1259" t="s">
        <v>1010</v>
      </c>
      <c r="H153" s="1259" t="s">
        <v>1011</v>
      </c>
      <c r="I153" s="1259">
        <v>3</v>
      </c>
      <c r="J153" s="1259" t="s">
        <v>473</v>
      </c>
      <c r="K153" s="1259">
        <f>SUMIF(CF.1!$D:$D,'CFS(연간)'!G153,CF.1!$U:$U)</f>
        <v>-381987532</v>
      </c>
      <c r="L153" s="1259">
        <f>K153</f>
        <v>-381987532</v>
      </c>
      <c r="M153" s="1265">
        <f>L153-K153</f>
        <v>0</v>
      </c>
      <c r="O153" s="1258"/>
      <c r="P153" s="1259">
        <f t="shared" si="13"/>
        <v>381987532</v>
      </c>
      <c r="Q153" s="1260"/>
    </row>
    <row r="154" spans="4:20" ht="18" customHeight="1">
      <c r="D154" s="1264">
        <v>2022</v>
      </c>
      <c r="E154" s="1259">
        <v>3</v>
      </c>
      <c r="F154" s="1259" t="s">
        <v>632</v>
      </c>
      <c r="G154" s="1259" t="s">
        <v>1012</v>
      </c>
      <c r="H154" s="1259" t="s">
        <v>1013</v>
      </c>
      <c r="I154" s="1259">
        <v>3</v>
      </c>
      <c r="J154" s="1259" t="s">
        <v>473</v>
      </c>
      <c r="K154" s="1259">
        <f>SUMIF(CF.1!$D:$D,'CFS(연간)'!G154,CF.1!$U:$U)</f>
        <v>0</v>
      </c>
      <c r="L154" s="1259">
        <f>K154</f>
        <v>0</v>
      </c>
      <c r="M154" s="1265">
        <f>L154-K154</f>
        <v>0</v>
      </c>
      <c r="O154" s="1258"/>
      <c r="P154" s="1259">
        <f t="shared" si="13"/>
        <v>0</v>
      </c>
      <c r="Q154" s="1260"/>
    </row>
    <row r="155" spans="4:20" ht="18" customHeight="1">
      <c r="D155" s="1255">
        <v>2022</v>
      </c>
      <c r="E155" s="1256">
        <v>3</v>
      </c>
      <c r="F155" s="1256" t="s">
        <v>632</v>
      </c>
      <c r="G155" s="1256" t="s">
        <v>1014</v>
      </c>
      <c r="H155" s="1256" t="s">
        <v>1015</v>
      </c>
      <c r="I155" s="1256">
        <v>1</v>
      </c>
      <c r="J155" s="1256" t="s">
        <v>473</v>
      </c>
      <c r="K155" s="1256">
        <f>SUM(K156,K207)</f>
        <v>-2319473700</v>
      </c>
      <c r="L155" s="1256">
        <f>SUM(L156,L207)</f>
        <v>-2616779700</v>
      </c>
      <c r="M155" s="1257">
        <f>SUM(M156,M207)</f>
        <v>-297306000</v>
      </c>
      <c r="O155" s="1258"/>
      <c r="P155" s="1259">
        <f t="shared" si="13"/>
        <v>2616779700</v>
      </c>
      <c r="Q155" s="1260"/>
    </row>
    <row r="156" spans="4:20" ht="18" customHeight="1">
      <c r="D156" s="1266">
        <v>2022</v>
      </c>
      <c r="E156" s="1267">
        <v>3</v>
      </c>
      <c r="F156" s="1267" t="s">
        <v>632</v>
      </c>
      <c r="G156" s="1267" t="s">
        <v>1016</v>
      </c>
      <c r="H156" s="1267" t="s">
        <v>1017</v>
      </c>
      <c r="I156" s="1267">
        <v>2</v>
      </c>
      <c r="J156" s="1267" t="s">
        <v>473</v>
      </c>
      <c r="K156" s="1267">
        <f>SUM(K157:K206)</f>
        <v>24505922363</v>
      </c>
      <c r="L156" s="1267">
        <f>SUM(L157:L206)</f>
        <v>24505922363</v>
      </c>
      <c r="M156" s="1268">
        <f>SUM(M157:M206)</f>
        <v>0</v>
      </c>
      <c r="O156" s="1258"/>
      <c r="P156" s="1259">
        <f t="shared" si="13"/>
        <v>-24505922363</v>
      </c>
      <c r="Q156" s="1260"/>
    </row>
    <row r="157" spans="4:20" ht="18" customHeight="1">
      <c r="D157" s="1264">
        <v>2022</v>
      </c>
      <c r="E157" s="1259">
        <v>3</v>
      </c>
      <c r="F157" s="1259" t="s">
        <v>632</v>
      </c>
      <c r="G157" s="1259" t="s">
        <v>1018</v>
      </c>
      <c r="H157" s="1259" t="s">
        <v>1019</v>
      </c>
      <c r="I157" s="1259">
        <v>3</v>
      </c>
      <c r="J157" s="1259" t="s">
        <v>473</v>
      </c>
      <c r="K157" s="1259">
        <f>SUMIF(CF.1!$D:$D,'CFS(연간)'!G157,CF.1!$U:$U)</f>
        <v>0</v>
      </c>
      <c r="L157" s="1259">
        <f t="shared" ref="L157:L206" si="14">K157</f>
        <v>0</v>
      </c>
      <c r="M157" s="1265">
        <f t="shared" ref="M157:M206" si="15">L157-K157</f>
        <v>0</v>
      </c>
      <c r="O157" s="1258"/>
      <c r="P157" s="1259">
        <f t="shared" si="13"/>
        <v>0</v>
      </c>
      <c r="Q157" s="1260"/>
    </row>
    <row r="158" spans="4:20" ht="18" customHeight="1">
      <c r="D158" s="1264">
        <v>2022</v>
      </c>
      <c r="E158" s="1259">
        <v>3</v>
      </c>
      <c r="F158" s="1259" t="s">
        <v>632</v>
      </c>
      <c r="G158" s="1259" t="s">
        <v>1020</v>
      </c>
      <c r="H158" s="1259" t="s">
        <v>1021</v>
      </c>
      <c r="I158" s="1259">
        <v>3</v>
      </c>
      <c r="J158" s="1259" t="s">
        <v>473</v>
      </c>
      <c r="K158" s="1259">
        <f>SUMIF(CF.1!$D:$D,'CFS(연간)'!G158,CF.1!$U:$U)</f>
        <v>297306000</v>
      </c>
      <c r="L158" s="1259">
        <f t="shared" si="14"/>
        <v>297306000</v>
      </c>
      <c r="M158" s="1265">
        <f t="shared" si="15"/>
        <v>0</v>
      </c>
      <c r="O158" s="1258"/>
      <c r="P158" s="1259">
        <f t="shared" si="13"/>
        <v>-297306000</v>
      </c>
      <c r="Q158" s="1260"/>
    </row>
    <row r="159" spans="4:20" ht="18" customHeight="1">
      <c r="D159" s="1264">
        <v>2022</v>
      </c>
      <c r="E159" s="1259">
        <v>3</v>
      </c>
      <c r="F159" s="1259" t="s">
        <v>632</v>
      </c>
      <c r="G159" s="1259" t="s">
        <v>1022</v>
      </c>
      <c r="H159" s="1259" t="s">
        <v>1023</v>
      </c>
      <c r="I159" s="1259">
        <v>3</v>
      </c>
      <c r="J159" s="1259" t="s">
        <v>473</v>
      </c>
      <c r="K159" s="1259">
        <f>SUMIF(CF.1!$D:$D,'CFS(연간)'!G159,CF.1!$U:$U)</f>
        <v>0</v>
      </c>
      <c r="L159" s="1259">
        <f t="shared" si="14"/>
        <v>0</v>
      </c>
      <c r="M159" s="1265">
        <f t="shared" si="15"/>
        <v>0</v>
      </c>
      <c r="O159" s="1258"/>
      <c r="P159" s="1259">
        <f t="shared" si="13"/>
        <v>0</v>
      </c>
      <c r="Q159" s="1260"/>
    </row>
    <row r="160" spans="4:20" s="575" customFormat="1" ht="18" customHeight="1">
      <c r="D160" s="2033">
        <v>2022</v>
      </c>
      <c r="E160" s="1554">
        <v>3</v>
      </c>
      <c r="F160" s="1554" t="s">
        <v>632</v>
      </c>
      <c r="G160" s="1554" t="s">
        <v>2568</v>
      </c>
      <c r="H160" s="1554" t="s">
        <v>2567</v>
      </c>
      <c r="I160" s="1554">
        <v>3</v>
      </c>
      <c r="J160" s="1554" t="s">
        <v>473</v>
      </c>
      <c r="K160" s="1554">
        <f>SUMIF(CF.1!$D:$D,'CFS(연간)'!G160,CF.1!$U:$U)</f>
        <v>23944980000</v>
      </c>
      <c r="L160" s="1554">
        <f t="shared" si="14"/>
        <v>23944980000</v>
      </c>
      <c r="M160" s="2034">
        <f t="shared" si="15"/>
        <v>0</v>
      </c>
      <c r="O160" s="1280"/>
      <c r="P160" s="1270">
        <f t="shared" si="13"/>
        <v>-23944980000</v>
      </c>
      <c r="Q160" s="1281"/>
      <c r="S160" s="498"/>
      <c r="T160" s="498"/>
    </row>
    <row r="161" spans="4:20" ht="18" customHeight="1">
      <c r="D161" s="1264">
        <v>2022</v>
      </c>
      <c r="E161" s="1259">
        <v>3</v>
      </c>
      <c r="F161" s="1259" t="s">
        <v>632</v>
      </c>
      <c r="G161" s="1259" t="s">
        <v>1026</v>
      </c>
      <c r="H161" s="1259" t="s">
        <v>1027</v>
      </c>
      <c r="I161" s="1259">
        <v>3</v>
      </c>
      <c r="J161" s="1259" t="s">
        <v>473</v>
      </c>
      <c r="K161" s="1259">
        <f>SUMIF(CF.1!$D:$D,'CFS(연간)'!G161,CF.1!$U:$U)</f>
        <v>0</v>
      </c>
      <c r="L161" s="1259">
        <f t="shared" si="14"/>
        <v>0</v>
      </c>
      <c r="M161" s="1265">
        <f t="shared" si="15"/>
        <v>0</v>
      </c>
      <c r="O161" s="1258"/>
      <c r="P161" s="1259">
        <f t="shared" si="13"/>
        <v>0</v>
      </c>
      <c r="Q161" s="1260"/>
    </row>
    <row r="162" spans="4:20" ht="18" customHeight="1">
      <c r="D162" s="1264">
        <v>2022</v>
      </c>
      <c r="E162" s="1259">
        <v>3</v>
      </c>
      <c r="F162" s="1259" t="s">
        <v>632</v>
      </c>
      <c r="G162" s="1259" t="s">
        <v>1028</v>
      </c>
      <c r="H162" s="1259" t="s">
        <v>1029</v>
      </c>
      <c r="I162" s="1259">
        <v>3</v>
      </c>
      <c r="J162" s="1259" t="s">
        <v>473</v>
      </c>
      <c r="K162" s="1259">
        <f>SUMIF(CF.1!$D:$D,'CFS(연간)'!G162,CF.1!$U:$U)</f>
        <v>0</v>
      </c>
      <c r="L162" s="1259">
        <f t="shared" si="14"/>
        <v>0</v>
      </c>
      <c r="M162" s="1265">
        <f t="shared" si="15"/>
        <v>0</v>
      </c>
      <c r="O162" s="1258"/>
      <c r="P162" s="1259">
        <f t="shared" si="13"/>
        <v>0</v>
      </c>
      <c r="Q162" s="1260"/>
    </row>
    <row r="163" spans="4:20" ht="18" customHeight="1">
      <c r="D163" s="1264">
        <v>2022</v>
      </c>
      <c r="E163" s="1259">
        <v>3</v>
      </c>
      <c r="F163" s="1259" t="s">
        <v>632</v>
      </c>
      <c r="G163" s="1259" t="s">
        <v>1030</v>
      </c>
      <c r="H163" s="1259" t="s">
        <v>1031</v>
      </c>
      <c r="I163" s="1259">
        <v>3</v>
      </c>
      <c r="J163" s="1259" t="s">
        <v>473</v>
      </c>
      <c r="K163" s="1259">
        <f>SUMIF(CF.1!$D:$D,'CFS(연간)'!G163,CF.1!$U:$U)</f>
        <v>0</v>
      </c>
      <c r="L163" s="1259">
        <f t="shared" si="14"/>
        <v>0</v>
      </c>
      <c r="M163" s="1265">
        <f t="shared" si="15"/>
        <v>0</v>
      </c>
      <c r="O163" s="1258"/>
      <c r="P163" s="1259">
        <f t="shared" si="13"/>
        <v>0</v>
      </c>
      <c r="Q163" s="1260"/>
      <c r="S163" s="575"/>
      <c r="T163" s="575"/>
    </row>
    <row r="164" spans="4:20" ht="18" customHeight="1">
      <c r="D164" s="1264">
        <v>2022</v>
      </c>
      <c r="E164" s="1259">
        <v>3</v>
      </c>
      <c r="F164" s="1259" t="s">
        <v>632</v>
      </c>
      <c r="G164" s="1259" t="s">
        <v>1032</v>
      </c>
      <c r="H164" s="1259" t="s">
        <v>1033</v>
      </c>
      <c r="I164" s="1259">
        <v>3</v>
      </c>
      <c r="J164" s="1259" t="s">
        <v>473</v>
      </c>
      <c r="K164" s="1259">
        <f>SUMIF(CF.1!$D:$D,'CFS(연간)'!G164,CF.1!$U:$U)</f>
        <v>200000000</v>
      </c>
      <c r="L164" s="1259">
        <f t="shared" si="14"/>
        <v>200000000</v>
      </c>
      <c r="M164" s="1265">
        <f t="shared" si="15"/>
        <v>0</v>
      </c>
      <c r="O164" s="1258"/>
      <c r="P164" s="1259">
        <f t="shared" si="13"/>
        <v>-200000000</v>
      </c>
      <c r="Q164" s="1260"/>
    </row>
    <row r="165" spans="4:20" ht="18" customHeight="1">
      <c r="D165" s="1264">
        <v>2022</v>
      </c>
      <c r="E165" s="1259">
        <v>3</v>
      </c>
      <c r="F165" s="1259" t="s">
        <v>632</v>
      </c>
      <c r="G165" s="1259" t="s">
        <v>1034</v>
      </c>
      <c r="H165" s="1259" t="s">
        <v>1035</v>
      </c>
      <c r="I165" s="1259">
        <v>3</v>
      </c>
      <c r="J165" s="1259" t="s">
        <v>473</v>
      </c>
      <c r="K165" s="1259">
        <f>SUMIF(CF.1!$D:$D,'CFS(연간)'!G165,CF.1!$U:$U)</f>
        <v>0</v>
      </c>
      <c r="L165" s="1259">
        <f t="shared" si="14"/>
        <v>0</v>
      </c>
      <c r="M165" s="1265">
        <f t="shared" si="15"/>
        <v>0</v>
      </c>
      <c r="O165" s="1258"/>
      <c r="P165" s="1259">
        <f t="shared" si="13"/>
        <v>0</v>
      </c>
      <c r="Q165" s="1260"/>
    </row>
    <row r="166" spans="4:20" ht="18" customHeight="1">
      <c r="D166" s="1264">
        <v>2022</v>
      </c>
      <c r="E166" s="1259">
        <v>3</v>
      </c>
      <c r="F166" s="1259" t="s">
        <v>632</v>
      </c>
      <c r="G166" s="1259" t="s">
        <v>1036</v>
      </c>
      <c r="H166" s="1259" t="s">
        <v>1037</v>
      </c>
      <c r="I166" s="1259">
        <v>3</v>
      </c>
      <c r="J166" s="1259" t="s">
        <v>473</v>
      </c>
      <c r="K166" s="1259">
        <f>SUMIF(CF.1!$D:$D,'CFS(연간)'!G166,CF.1!$U:$U)</f>
        <v>0</v>
      </c>
      <c r="L166" s="1259">
        <f t="shared" si="14"/>
        <v>0</v>
      </c>
      <c r="M166" s="1265">
        <f t="shared" si="15"/>
        <v>0</v>
      </c>
      <c r="O166" s="1258"/>
      <c r="P166" s="1259">
        <f t="shared" si="13"/>
        <v>0</v>
      </c>
      <c r="Q166" s="1260"/>
    </row>
    <row r="167" spans="4:20" ht="18" customHeight="1">
      <c r="D167" s="1264">
        <v>2022</v>
      </c>
      <c r="E167" s="1259">
        <v>3</v>
      </c>
      <c r="F167" s="1259" t="s">
        <v>632</v>
      </c>
      <c r="G167" s="1259" t="s">
        <v>1038</v>
      </c>
      <c r="H167" s="1259" t="s">
        <v>1039</v>
      </c>
      <c r="I167" s="1259">
        <v>3</v>
      </c>
      <c r="J167" s="1259" t="s">
        <v>473</v>
      </c>
      <c r="K167" s="1259">
        <f>SUMIF(CF.1!$D:$D,'CFS(연간)'!G167,CF.1!$U:$U)</f>
        <v>0</v>
      </c>
      <c r="L167" s="1259">
        <f t="shared" si="14"/>
        <v>0</v>
      </c>
      <c r="M167" s="1265">
        <f t="shared" si="15"/>
        <v>0</v>
      </c>
      <c r="O167" s="1258"/>
      <c r="P167" s="1259">
        <f t="shared" si="13"/>
        <v>0</v>
      </c>
      <c r="Q167" s="1260"/>
    </row>
    <row r="168" spans="4:20" ht="18" customHeight="1">
      <c r="D168" s="1264">
        <v>2022</v>
      </c>
      <c r="E168" s="1259">
        <v>3</v>
      </c>
      <c r="F168" s="1259" t="s">
        <v>632</v>
      </c>
      <c r="G168" s="1259" t="s">
        <v>1510</v>
      </c>
      <c r="H168" s="1259" t="s">
        <v>1041</v>
      </c>
      <c r="I168" s="1259">
        <v>3</v>
      </c>
      <c r="J168" s="1259" t="s">
        <v>473</v>
      </c>
      <c r="K168" s="1259">
        <f>SUMIF(CF.1!$D:$D,'CFS(연간)'!G168,CF.1!$U:$U)</f>
        <v>0</v>
      </c>
      <c r="L168" s="1259">
        <f t="shared" si="14"/>
        <v>0</v>
      </c>
      <c r="M168" s="1265">
        <f t="shared" si="15"/>
        <v>0</v>
      </c>
      <c r="O168" s="1258"/>
      <c r="P168" s="1259">
        <f t="shared" si="13"/>
        <v>0</v>
      </c>
      <c r="Q168" s="1260"/>
    </row>
    <row r="169" spans="4:20" ht="18" customHeight="1">
      <c r="D169" s="1264">
        <v>2022</v>
      </c>
      <c r="E169" s="1259">
        <v>3</v>
      </c>
      <c r="F169" s="1259" t="s">
        <v>632</v>
      </c>
      <c r="G169" s="1259" t="s">
        <v>1042</v>
      </c>
      <c r="H169" s="1259" t="s">
        <v>1043</v>
      </c>
      <c r="I169" s="1259">
        <v>3</v>
      </c>
      <c r="J169" s="1259" t="s">
        <v>473</v>
      </c>
      <c r="K169" s="1259">
        <f>SUMIF(CF.1!$D:$D,'CFS(연간)'!G169,CF.1!$U:$U)</f>
        <v>0</v>
      </c>
      <c r="L169" s="1259">
        <f t="shared" si="14"/>
        <v>0</v>
      </c>
      <c r="M169" s="1265">
        <f t="shared" si="15"/>
        <v>0</v>
      </c>
      <c r="O169" s="1258"/>
      <c r="P169" s="1259">
        <f t="shared" si="13"/>
        <v>0</v>
      </c>
      <c r="Q169" s="1260"/>
    </row>
    <row r="170" spans="4:20" ht="18" customHeight="1">
      <c r="D170" s="1264">
        <v>2022</v>
      </c>
      <c r="E170" s="1259">
        <v>3</v>
      </c>
      <c r="F170" s="1259" t="s">
        <v>632</v>
      </c>
      <c r="G170" s="1259" t="s">
        <v>1044</v>
      </c>
      <c r="H170" s="1259" t="s">
        <v>1513</v>
      </c>
      <c r="I170" s="1259">
        <v>3</v>
      </c>
      <c r="J170" s="1259" t="s">
        <v>473</v>
      </c>
      <c r="K170" s="1259">
        <f>SUMIF(CF.1!$D:$D,'CFS(연간)'!G170,CF.1!$U:$U)</f>
        <v>0</v>
      </c>
      <c r="L170" s="1259">
        <f t="shared" si="14"/>
        <v>0</v>
      </c>
      <c r="M170" s="1265">
        <f t="shared" si="15"/>
        <v>0</v>
      </c>
      <c r="O170" s="1258"/>
      <c r="P170" s="1259">
        <f t="shared" si="13"/>
        <v>0</v>
      </c>
      <c r="Q170" s="1260"/>
    </row>
    <row r="171" spans="4:20" ht="18" customHeight="1">
      <c r="D171" s="1264">
        <v>2022</v>
      </c>
      <c r="E171" s="1259">
        <v>3</v>
      </c>
      <c r="F171" s="1259" t="s">
        <v>632</v>
      </c>
      <c r="G171" s="1259" t="s">
        <v>1046</v>
      </c>
      <c r="H171" s="1259" t="s">
        <v>1047</v>
      </c>
      <c r="I171" s="1259">
        <v>3</v>
      </c>
      <c r="J171" s="1259" t="s">
        <v>473</v>
      </c>
      <c r="K171" s="1259">
        <f>SUMIF(CF.1!$D:$D,'CFS(연간)'!G171,CF.1!$U:$U)</f>
        <v>0</v>
      </c>
      <c r="L171" s="1259">
        <f t="shared" si="14"/>
        <v>0</v>
      </c>
      <c r="M171" s="1265">
        <f t="shared" si="15"/>
        <v>0</v>
      </c>
      <c r="O171" s="1258"/>
      <c r="P171" s="1259">
        <f t="shared" si="13"/>
        <v>0</v>
      </c>
      <c r="Q171" s="1260"/>
    </row>
    <row r="172" spans="4:20" ht="18" customHeight="1">
      <c r="D172" s="1264">
        <v>2022</v>
      </c>
      <c r="E172" s="1259">
        <v>3</v>
      </c>
      <c r="F172" s="1259" t="s">
        <v>632</v>
      </c>
      <c r="G172" s="1259" t="s">
        <v>1048</v>
      </c>
      <c r="H172" s="1259" t="s">
        <v>1049</v>
      </c>
      <c r="I172" s="1259">
        <v>3</v>
      </c>
      <c r="J172" s="1259" t="s">
        <v>473</v>
      </c>
      <c r="K172" s="1259">
        <f>SUMIF(CF.1!$D:$D,'CFS(연간)'!G172,CF.1!$U:$U)</f>
        <v>0</v>
      </c>
      <c r="L172" s="1259">
        <f t="shared" si="14"/>
        <v>0</v>
      </c>
      <c r="M172" s="1265">
        <f t="shared" si="15"/>
        <v>0</v>
      </c>
      <c r="O172" s="1258"/>
      <c r="P172" s="1259">
        <f t="shared" si="13"/>
        <v>0</v>
      </c>
      <c r="Q172" s="1260"/>
    </row>
    <row r="173" spans="4:20" ht="18" customHeight="1">
      <c r="D173" s="1264">
        <v>2022</v>
      </c>
      <c r="E173" s="1259">
        <v>3</v>
      </c>
      <c r="F173" s="1259" t="s">
        <v>632</v>
      </c>
      <c r="G173" s="1259" t="s">
        <v>1050</v>
      </c>
      <c r="H173" s="1259" t="s">
        <v>1051</v>
      </c>
      <c r="I173" s="1259">
        <v>3</v>
      </c>
      <c r="J173" s="1259" t="s">
        <v>473</v>
      </c>
      <c r="K173" s="1259">
        <f>SUMIF(CF.1!$D:$D,'CFS(연간)'!G173,CF.1!$U:$U)</f>
        <v>0</v>
      </c>
      <c r="L173" s="1259">
        <f t="shared" si="14"/>
        <v>0</v>
      </c>
      <c r="M173" s="1265">
        <f t="shared" si="15"/>
        <v>0</v>
      </c>
      <c r="O173" s="1258"/>
      <c r="P173" s="1259">
        <f t="shared" si="13"/>
        <v>0</v>
      </c>
      <c r="Q173" s="1260"/>
    </row>
    <row r="174" spans="4:20" ht="18" customHeight="1">
      <c r="D174" s="1264">
        <v>2022</v>
      </c>
      <c r="E174" s="1259">
        <v>3</v>
      </c>
      <c r="F174" s="1259" t="s">
        <v>632</v>
      </c>
      <c r="G174" s="1259" t="s">
        <v>1052</v>
      </c>
      <c r="H174" s="1259" t="s">
        <v>1053</v>
      </c>
      <c r="I174" s="1259">
        <v>3</v>
      </c>
      <c r="J174" s="1259" t="s">
        <v>473</v>
      </c>
      <c r="K174" s="1259">
        <f>SUMIF(CF.1!$D:$D,'CFS(연간)'!G174,CF.1!$U:$U)</f>
        <v>0</v>
      </c>
      <c r="L174" s="1259">
        <f t="shared" si="14"/>
        <v>0</v>
      </c>
      <c r="M174" s="1265">
        <f t="shared" si="15"/>
        <v>0</v>
      </c>
      <c r="O174" s="1258"/>
      <c r="P174" s="1259">
        <f t="shared" si="13"/>
        <v>0</v>
      </c>
      <c r="Q174" s="1260"/>
    </row>
    <row r="175" spans="4:20" ht="18" customHeight="1">
      <c r="D175" s="1264">
        <v>2022</v>
      </c>
      <c r="E175" s="1259">
        <v>3</v>
      </c>
      <c r="F175" s="1259" t="s">
        <v>632</v>
      </c>
      <c r="G175" s="1259" t="s">
        <v>1054</v>
      </c>
      <c r="H175" s="1259" t="s">
        <v>1055</v>
      </c>
      <c r="I175" s="1259">
        <v>3</v>
      </c>
      <c r="J175" s="1259" t="s">
        <v>473</v>
      </c>
      <c r="K175" s="1259">
        <f>SUMIF(CF.1!$D:$D,'CFS(연간)'!G175,CF.1!$U:$U)</f>
        <v>0</v>
      </c>
      <c r="L175" s="1259">
        <f t="shared" si="14"/>
        <v>0</v>
      </c>
      <c r="M175" s="1265">
        <f t="shared" si="15"/>
        <v>0</v>
      </c>
      <c r="O175" s="1258"/>
      <c r="P175" s="1259">
        <f t="shared" si="13"/>
        <v>0</v>
      </c>
      <c r="Q175" s="1260"/>
    </row>
    <row r="176" spans="4:20" ht="18" customHeight="1">
      <c r="D176" s="1264">
        <v>2022</v>
      </c>
      <c r="E176" s="1259">
        <v>3</v>
      </c>
      <c r="F176" s="1259" t="s">
        <v>632</v>
      </c>
      <c r="G176" s="1259" t="s">
        <v>1056</v>
      </c>
      <c r="H176" s="1259" t="s">
        <v>1057</v>
      </c>
      <c r="I176" s="1259">
        <v>3</v>
      </c>
      <c r="J176" s="1259" t="s">
        <v>473</v>
      </c>
      <c r="K176" s="1259">
        <f>SUMIF(CF.1!$D:$D,'CFS(연간)'!G176,CF.1!$U:$U)</f>
        <v>0</v>
      </c>
      <c r="L176" s="1259">
        <f t="shared" si="14"/>
        <v>0</v>
      </c>
      <c r="M176" s="1265">
        <f t="shared" si="15"/>
        <v>0</v>
      </c>
      <c r="O176" s="1258"/>
      <c r="P176" s="1259">
        <f t="shared" si="13"/>
        <v>0</v>
      </c>
      <c r="Q176" s="1260"/>
    </row>
    <row r="177" spans="4:17" ht="18" customHeight="1">
      <c r="D177" s="1264">
        <v>2022</v>
      </c>
      <c r="E177" s="1259">
        <v>3</v>
      </c>
      <c r="F177" s="1259" t="s">
        <v>632</v>
      </c>
      <c r="G177" s="1259" t="s">
        <v>1058</v>
      </c>
      <c r="H177" s="1259" t="s">
        <v>1059</v>
      </c>
      <c r="I177" s="1259">
        <v>3</v>
      </c>
      <c r="J177" s="1259" t="s">
        <v>473</v>
      </c>
      <c r="K177" s="1259">
        <f>SUMIF(CF.1!$D:$D,'CFS(연간)'!G177,CF.1!$U:$U)</f>
        <v>0</v>
      </c>
      <c r="L177" s="1259">
        <f t="shared" si="14"/>
        <v>0</v>
      </c>
      <c r="M177" s="1265">
        <f t="shared" si="15"/>
        <v>0</v>
      </c>
      <c r="O177" s="1258"/>
      <c r="P177" s="1259">
        <f t="shared" si="13"/>
        <v>0</v>
      </c>
      <c r="Q177" s="1260"/>
    </row>
    <row r="178" spans="4:17" ht="18" customHeight="1">
      <c r="D178" s="1264">
        <v>2022</v>
      </c>
      <c r="E178" s="1259">
        <v>3</v>
      </c>
      <c r="F178" s="1259" t="s">
        <v>632</v>
      </c>
      <c r="G178" s="1259" t="s">
        <v>1060</v>
      </c>
      <c r="H178" s="1259" t="s">
        <v>1061</v>
      </c>
      <c r="I178" s="1259">
        <v>3</v>
      </c>
      <c r="J178" s="1259" t="s">
        <v>473</v>
      </c>
      <c r="K178" s="1259">
        <f>SUMIF(CF.1!$D:$D,'CFS(연간)'!G178,CF.1!$U:$U)</f>
        <v>0</v>
      </c>
      <c r="L178" s="1259">
        <f t="shared" si="14"/>
        <v>0</v>
      </c>
      <c r="M178" s="1265">
        <f t="shared" si="15"/>
        <v>0</v>
      </c>
      <c r="O178" s="1258"/>
      <c r="P178" s="1259">
        <f t="shared" si="13"/>
        <v>0</v>
      </c>
      <c r="Q178" s="1260"/>
    </row>
    <row r="179" spans="4:17" ht="18" customHeight="1">
      <c r="D179" s="1264">
        <v>2022</v>
      </c>
      <c r="E179" s="1259">
        <v>3</v>
      </c>
      <c r="F179" s="1259" t="s">
        <v>632</v>
      </c>
      <c r="G179" s="1259" t="s">
        <v>1062</v>
      </c>
      <c r="H179" s="1259" t="s">
        <v>1063</v>
      </c>
      <c r="I179" s="1259">
        <v>3</v>
      </c>
      <c r="J179" s="1259" t="s">
        <v>473</v>
      </c>
      <c r="K179" s="1259">
        <f>SUMIF(CF.1!$D:$D,'CFS(연간)'!G179,CF.1!$U:$U)</f>
        <v>0</v>
      </c>
      <c r="L179" s="1259">
        <f t="shared" si="14"/>
        <v>0</v>
      </c>
      <c r="M179" s="1265">
        <f t="shared" si="15"/>
        <v>0</v>
      </c>
      <c r="O179" s="1258"/>
      <c r="P179" s="1259">
        <f t="shared" si="13"/>
        <v>0</v>
      </c>
      <c r="Q179" s="1260"/>
    </row>
    <row r="180" spans="4:17" ht="18" customHeight="1">
      <c r="D180" s="1264">
        <v>2022</v>
      </c>
      <c r="E180" s="1259">
        <v>3</v>
      </c>
      <c r="F180" s="1259" t="s">
        <v>632</v>
      </c>
      <c r="G180" s="1259" t="s">
        <v>1064</v>
      </c>
      <c r="H180" s="1259" t="s">
        <v>1065</v>
      </c>
      <c r="I180" s="1259">
        <v>3</v>
      </c>
      <c r="J180" s="1259" t="s">
        <v>473</v>
      </c>
      <c r="K180" s="1259">
        <f>SUMIF(CF.1!$D:$D,'CFS(연간)'!G180,CF.1!$U:$U)</f>
        <v>0</v>
      </c>
      <c r="L180" s="1259">
        <f t="shared" si="14"/>
        <v>0</v>
      </c>
      <c r="M180" s="1265">
        <f t="shared" si="15"/>
        <v>0</v>
      </c>
      <c r="O180" s="1258"/>
      <c r="P180" s="1259">
        <f t="shared" si="13"/>
        <v>0</v>
      </c>
      <c r="Q180" s="1260"/>
    </row>
    <row r="181" spans="4:17" ht="18" customHeight="1">
      <c r="D181" s="1264">
        <v>2022</v>
      </c>
      <c r="E181" s="1259">
        <v>3</v>
      </c>
      <c r="F181" s="1259" t="s">
        <v>632</v>
      </c>
      <c r="G181" s="1259" t="s">
        <v>1066</v>
      </c>
      <c r="H181" s="1259" t="s">
        <v>1067</v>
      </c>
      <c r="I181" s="1259">
        <v>3</v>
      </c>
      <c r="J181" s="1259" t="s">
        <v>473</v>
      </c>
      <c r="K181" s="1259">
        <f>SUMIF(CF.1!$D:$D,'CFS(연간)'!G181,CF.1!$U:$U)</f>
        <v>0</v>
      </c>
      <c r="L181" s="1259">
        <f t="shared" si="14"/>
        <v>0</v>
      </c>
      <c r="M181" s="1265">
        <f t="shared" si="15"/>
        <v>0</v>
      </c>
      <c r="O181" s="1258"/>
      <c r="P181" s="1259">
        <f t="shared" si="13"/>
        <v>0</v>
      </c>
      <c r="Q181" s="1260"/>
    </row>
    <row r="182" spans="4:17" ht="18" customHeight="1">
      <c r="D182" s="1264">
        <v>2022</v>
      </c>
      <c r="E182" s="1259">
        <v>3</v>
      </c>
      <c r="F182" s="1259" t="s">
        <v>632</v>
      </c>
      <c r="G182" s="1259" t="s">
        <v>1068</v>
      </c>
      <c r="H182" s="1259" t="s">
        <v>1069</v>
      </c>
      <c r="I182" s="1259">
        <v>3</v>
      </c>
      <c r="J182" s="1259" t="s">
        <v>473</v>
      </c>
      <c r="K182" s="1259">
        <f>SUMIF(CF.1!$D:$D,'CFS(연간)'!G182,CF.1!$U:$U)</f>
        <v>0</v>
      </c>
      <c r="L182" s="1259">
        <f t="shared" si="14"/>
        <v>0</v>
      </c>
      <c r="M182" s="1265">
        <f t="shared" si="15"/>
        <v>0</v>
      </c>
      <c r="O182" s="1258"/>
      <c r="P182" s="1259">
        <f t="shared" si="13"/>
        <v>0</v>
      </c>
      <c r="Q182" s="1260"/>
    </row>
    <row r="183" spans="4:17" ht="18" customHeight="1">
      <c r="D183" s="1264">
        <v>2022</v>
      </c>
      <c r="E183" s="1259">
        <v>3</v>
      </c>
      <c r="F183" s="1259" t="s">
        <v>632</v>
      </c>
      <c r="G183" s="1259" t="s">
        <v>1070</v>
      </c>
      <c r="H183" s="1259" t="s">
        <v>1071</v>
      </c>
      <c r="I183" s="1259">
        <v>3</v>
      </c>
      <c r="J183" s="1259" t="s">
        <v>473</v>
      </c>
      <c r="K183" s="1259">
        <f>SUMIF(CF.1!$D:$D,'CFS(연간)'!G183,CF.1!$U:$U)</f>
        <v>0</v>
      </c>
      <c r="L183" s="1259">
        <f t="shared" si="14"/>
        <v>0</v>
      </c>
      <c r="M183" s="1265">
        <f t="shared" si="15"/>
        <v>0</v>
      </c>
      <c r="O183" s="1258"/>
      <c r="P183" s="1259">
        <f t="shared" si="13"/>
        <v>0</v>
      </c>
      <c r="Q183" s="1260"/>
    </row>
    <row r="184" spans="4:17" ht="18" customHeight="1">
      <c r="D184" s="1264">
        <v>2022</v>
      </c>
      <c r="E184" s="1259">
        <v>3</v>
      </c>
      <c r="F184" s="1259" t="s">
        <v>632</v>
      </c>
      <c r="G184" s="1259" t="s">
        <v>1072</v>
      </c>
      <c r="H184" s="1259" t="s">
        <v>1073</v>
      </c>
      <c r="I184" s="1259">
        <v>3</v>
      </c>
      <c r="J184" s="1259" t="s">
        <v>473</v>
      </c>
      <c r="K184" s="1259">
        <f>SUMIF(CF.1!$D:$D,'CFS(연간)'!G184,CF.1!$U:$U)</f>
        <v>0</v>
      </c>
      <c r="L184" s="1259">
        <f t="shared" si="14"/>
        <v>0</v>
      </c>
      <c r="M184" s="1265">
        <f t="shared" si="15"/>
        <v>0</v>
      </c>
      <c r="O184" s="1258"/>
      <c r="P184" s="1259">
        <f t="shared" si="13"/>
        <v>0</v>
      </c>
      <c r="Q184" s="1260"/>
    </row>
    <row r="185" spans="4:17" ht="18" customHeight="1">
      <c r="D185" s="1264">
        <v>2022</v>
      </c>
      <c r="E185" s="1259">
        <v>3</v>
      </c>
      <c r="F185" s="1259" t="s">
        <v>632</v>
      </c>
      <c r="G185" s="1259" t="s">
        <v>1074</v>
      </c>
      <c r="H185" s="1259" t="s">
        <v>1514</v>
      </c>
      <c r="I185" s="1259">
        <v>3</v>
      </c>
      <c r="J185" s="1259" t="s">
        <v>473</v>
      </c>
      <c r="K185" s="1259">
        <f>SUMIF(CF.1!$D:$D,'CFS(연간)'!G185,CF.1!$U:$U)</f>
        <v>63636363</v>
      </c>
      <c r="L185" s="1259">
        <f t="shared" si="14"/>
        <v>63636363</v>
      </c>
      <c r="M185" s="1265">
        <f t="shared" si="15"/>
        <v>0</v>
      </c>
      <c r="O185" s="1258"/>
      <c r="P185" s="1259">
        <f t="shared" si="13"/>
        <v>-63636363</v>
      </c>
      <c r="Q185" s="1260"/>
    </row>
    <row r="186" spans="4:17" ht="18" customHeight="1">
      <c r="D186" s="1264">
        <v>2022</v>
      </c>
      <c r="E186" s="1259">
        <v>3</v>
      </c>
      <c r="F186" s="1259" t="s">
        <v>632</v>
      </c>
      <c r="G186" s="1259" t="s">
        <v>1075</v>
      </c>
      <c r="H186" s="1259" t="s">
        <v>1076</v>
      </c>
      <c r="I186" s="1259">
        <v>3</v>
      </c>
      <c r="J186" s="1259" t="s">
        <v>473</v>
      </c>
      <c r="K186" s="1259">
        <f>SUMIF(CF.1!$D:$D,'CFS(연간)'!G186,CF.1!$U:$U)</f>
        <v>0</v>
      </c>
      <c r="L186" s="1259">
        <f t="shared" si="14"/>
        <v>0</v>
      </c>
      <c r="M186" s="1265">
        <f t="shared" si="15"/>
        <v>0</v>
      </c>
      <c r="O186" s="1258"/>
      <c r="P186" s="1259">
        <f t="shared" si="13"/>
        <v>0</v>
      </c>
      <c r="Q186" s="1260"/>
    </row>
    <row r="187" spans="4:17" ht="18" customHeight="1">
      <c r="D187" s="1264">
        <v>2022</v>
      </c>
      <c r="E187" s="1259">
        <v>3</v>
      </c>
      <c r="F187" s="1259" t="s">
        <v>632</v>
      </c>
      <c r="G187" s="1259" t="s">
        <v>1077</v>
      </c>
      <c r="H187" s="1259" t="s">
        <v>1078</v>
      </c>
      <c r="I187" s="1259">
        <v>3</v>
      </c>
      <c r="J187" s="1259" t="s">
        <v>473</v>
      </c>
      <c r="K187" s="1259">
        <f>SUMIF(CF.1!$D:$D,'CFS(연간)'!G187,CF.1!$U:$U)</f>
        <v>0</v>
      </c>
      <c r="L187" s="1259">
        <f t="shared" si="14"/>
        <v>0</v>
      </c>
      <c r="M187" s="1265">
        <f t="shared" si="15"/>
        <v>0</v>
      </c>
      <c r="O187" s="1258"/>
      <c r="P187" s="1259">
        <f t="shared" si="13"/>
        <v>0</v>
      </c>
      <c r="Q187" s="1260"/>
    </row>
    <row r="188" spans="4:17" ht="18" customHeight="1">
      <c r="D188" s="1264">
        <v>2022</v>
      </c>
      <c r="E188" s="1259">
        <v>3</v>
      </c>
      <c r="F188" s="1259" t="s">
        <v>632</v>
      </c>
      <c r="G188" s="1259" t="s">
        <v>1079</v>
      </c>
      <c r="H188" s="1259" t="s">
        <v>1080</v>
      </c>
      <c r="I188" s="1259">
        <v>3</v>
      </c>
      <c r="J188" s="1259" t="s">
        <v>473</v>
      </c>
      <c r="K188" s="1259">
        <f>SUMIF(CF.1!$D:$D,'CFS(연간)'!G188,CF.1!$U:$U)</f>
        <v>0</v>
      </c>
      <c r="L188" s="1259">
        <f t="shared" si="14"/>
        <v>0</v>
      </c>
      <c r="M188" s="1265">
        <f t="shared" si="15"/>
        <v>0</v>
      </c>
      <c r="O188" s="1258"/>
      <c r="P188" s="1259">
        <f t="shared" si="13"/>
        <v>0</v>
      </c>
      <c r="Q188" s="1260"/>
    </row>
    <row r="189" spans="4:17" ht="18" customHeight="1">
      <c r="D189" s="1264">
        <v>2022</v>
      </c>
      <c r="E189" s="1259">
        <v>3</v>
      </c>
      <c r="F189" s="1259" t="s">
        <v>632</v>
      </c>
      <c r="G189" s="1259" t="s">
        <v>1081</v>
      </c>
      <c r="H189" s="1259" t="s">
        <v>1082</v>
      </c>
      <c r="I189" s="1259">
        <v>3</v>
      </c>
      <c r="J189" s="1259" t="s">
        <v>473</v>
      </c>
      <c r="K189" s="1259">
        <f>SUMIF(CF.1!$D:$D,'CFS(연간)'!G189,CF.1!$U:$U)</f>
        <v>0</v>
      </c>
      <c r="L189" s="1259">
        <f t="shared" si="14"/>
        <v>0</v>
      </c>
      <c r="M189" s="1265">
        <f t="shared" si="15"/>
        <v>0</v>
      </c>
      <c r="O189" s="1258"/>
      <c r="P189" s="1259">
        <f t="shared" si="13"/>
        <v>0</v>
      </c>
      <c r="Q189" s="1260"/>
    </row>
    <row r="190" spans="4:17" ht="18" customHeight="1">
      <c r="D190" s="1264">
        <v>2022</v>
      </c>
      <c r="E190" s="1259">
        <v>3</v>
      </c>
      <c r="F190" s="1259" t="s">
        <v>632</v>
      </c>
      <c r="G190" s="1259" t="s">
        <v>1083</v>
      </c>
      <c r="H190" s="1259" t="s">
        <v>1084</v>
      </c>
      <c r="I190" s="1259">
        <v>3</v>
      </c>
      <c r="J190" s="1259" t="s">
        <v>473</v>
      </c>
      <c r="K190" s="1259">
        <f>SUMIF(CF.1!$D:$D,'CFS(연간)'!G190,CF.1!$U:$U)</f>
        <v>0</v>
      </c>
      <c r="L190" s="1259">
        <f t="shared" si="14"/>
        <v>0</v>
      </c>
      <c r="M190" s="1265">
        <f t="shared" si="15"/>
        <v>0</v>
      </c>
      <c r="O190" s="1258"/>
      <c r="P190" s="1259">
        <f t="shared" si="13"/>
        <v>0</v>
      </c>
      <c r="Q190" s="1260"/>
    </row>
    <row r="191" spans="4:17" ht="18" customHeight="1">
      <c r="D191" s="1264">
        <v>2022</v>
      </c>
      <c r="E191" s="1259">
        <v>3</v>
      </c>
      <c r="F191" s="1259" t="s">
        <v>632</v>
      </c>
      <c r="G191" s="1259" t="s">
        <v>1085</v>
      </c>
      <c r="H191" s="1259" t="s">
        <v>1086</v>
      </c>
      <c r="I191" s="1259">
        <v>3</v>
      </c>
      <c r="J191" s="1259" t="s">
        <v>473</v>
      </c>
      <c r="K191" s="1259">
        <f>SUMIF(CF.1!$D:$D,'CFS(연간)'!G191,CF.1!$U:$U)</f>
        <v>0</v>
      </c>
      <c r="L191" s="1259">
        <f t="shared" si="14"/>
        <v>0</v>
      </c>
      <c r="M191" s="1265">
        <f t="shared" si="15"/>
        <v>0</v>
      </c>
      <c r="O191" s="1258"/>
      <c r="P191" s="1259">
        <f t="shared" si="13"/>
        <v>0</v>
      </c>
      <c r="Q191" s="1260"/>
    </row>
    <row r="192" spans="4:17" ht="18" customHeight="1">
      <c r="D192" s="1264">
        <v>2022</v>
      </c>
      <c r="E192" s="1259">
        <v>3</v>
      </c>
      <c r="F192" s="1259" t="s">
        <v>632</v>
      </c>
      <c r="G192" s="1259" t="s">
        <v>1087</v>
      </c>
      <c r="H192" s="1259" t="s">
        <v>1088</v>
      </c>
      <c r="I192" s="1259">
        <v>3</v>
      </c>
      <c r="J192" s="1259" t="s">
        <v>473</v>
      </c>
      <c r="K192" s="1259">
        <f>SUMIF(CF.1!$D:$D,'CFS(연간)'!G192,CF.1!$U:$U)</f>
        <v>0</v>
      </c>
      <c r="L192" s="1259">
        <f t="shared" si="14"/>
        <v>0</v>
      </c>
      <c r="M192" s="1265">
        <f t="shared" si="15"/>
        <v>0</v>
      </c>
      <c r="O192" s="1258"/>
      <c r="P192" s="1259">
        <f t="shared" si="13"/>
        <v>0</v>
      </c>
      <c r="Q192" s="1260"/>
    </row>
    <row r="193" spans="4:21" ht="18" customHeight="1">
      <c r="D193" s="1264">
        <v>2022</v>
      </c>
      <c r="E193" s="1259">
        <v>3</v>
      </c>
      <c r="F193" s="1259" t="s">
        <v>632</v>
      </c>
      <c r="G193" s="1259" t="s">
        <v>1089</v>
      </c>
      <c r="H193" s="1259" t="s">
        <v>1090</v>
      </c>
      <c r="I193" s="1259">
        <v>3</v>
      </c>
      <c r="J193" s="1259" t="s">
        <v>473</v>
      </c>
      <c r="K193" s="1259">
        <f>SUMIF(CF.1!$D:$D,'CFS(연간)'!G193,CF.1!$U:$U)</f>
        <v>0</v>
      </c>
      <c r="L193" s="1259">
        <f t="shared" si="14"/>
        <v>0</v>
      </c>
      <c r="M193" s="1265">
        <f t="shared" si="15"/>
        <v>0</v>
      </c>
      <c r="O193" s="1258"/>
      <c r="P193" s="1259">
        <f t="shared" si="13"/>
        <v>0</v>
      </c>
      <c r="Q193" s="1260"/>
    </row>
    <row r="194" spans="4:21" ht="18" customHeight="1">
      <c r="D194" s="1264">
        <v>2022</v>
      </c>
      <c r="E194" s="1259">
        <v>3</v>
      </c>
      <c r="F194" s="1259" t="s">
        <v>632</v>
      </c>
      <c r="G194" s="1259" t="s">
        <v>1091</v>
      </c>
      <c r="H194" s="1259" t="s">
        <v>1092</v>
      </c>
      <c r="I194" s="1259">
        <v>3</v>
      </c>
      <c r="J194" s="1259" t="s">
        <v>473</v>
      </c>
      <c r="K194" s="1259">
        <f>SUMIF(CF.1!$D:$D,'CFS(연간)'!G194,CF.1!$U:$U)</f>
        <v>0</v>
      </c>
      <c r="L194" s="1259">
        <f t="shared" si="14"/>
        <v>0</v>
      </c>
      <c r="M194" s="1265">
        <f t="shared" si="15"/>
        <v>0</v>
      </c>
      <c r="O194" s="1258"/>
      <c r="P194" s="1259">
        <f t="shared" si="13"/>
        <v>0</v>
      </c>
      <c r="Q194" s="1260"/>
    </row>
    <row r="195" spans="4:21" ht="18" customHeight="1">
      <c r="D195" s="1264">
        <v>2022</v>
      </c>
      <c r="E195" s="1259">
        <v>3</v>
      </c>
      <c r="F195" s="1259" t="s">
        <v>632</v>
      </c>
      <c r="G195" s="1259" t="s">
        <v>1093</v>
      </c>
      <c r="H195" s="1259" t="s">
        <v>1094</v>
      </c>
      <c r="I195" s="1259">
        <v>3</v>
      </c>
      <c r="J195" s="1259" t="s">
        <v>473</v>
      </c>
      <c r="K195" s="1259">
        <f>SUMIF(CF.1!$D:$D,'CFS(연간)'!G195,CF.1!$U:$U)</f>
        <v>0</v>
      </c>
      <c r="L195" s="1259">
        <f t="shared" si="14"/>
        <v>0</v>
      </c>
      <c r="M195" s="1265">
        <f t="shared" si="15"/>
        <v>0</v>
      </c>
      <c r="O195" s="1258"/>
      <c r="P195" s="1259">
        <f t="shared" si="13"/>
        <v>0</v>
      </c>
      <c r="Q195" s="1260"/>
    </row>
    <row r="196" spans="4:21" ht="18" customHeight="1">
      <c r="D196" s="1264">
        <v>2022</v>
      </c>
      <c r="E196" s="1259">
        <v>3</v>
      </c>
      <c r="F196" s="1259" t="s">
        <v>632</v>
      </c>
      <c r="G196" s="1259" t="s">
        <v>1095</v>
      </c>
      <c r="H196" s="1259" t="s">
        <v>1096</v>
      </c>
      <c r="I196" s="1259">
        <v>3</v>
      </c>
      <c r="J196" s="1259" t="s">
        <v>473</v>
      </c>
      <c r="K196" s="1259">
        <f>SUMIF(CF.1!$D:$D,'CFS(연간)'!G196,CF.1!$U:$U)</f>
        <v>0</v>
      </c>
      <c r="L196" s="1259">
        <f t="shared" si="14"/>
        <v>0</v>
      </c>
      <c r="M196" s="1265">
        <f t="shared" si="15"/>
        <v>0</v>
      </c>
      <c r="O196" s="1258"/>
      <c r="P196" s="1259">
        <f t="shared" si="13"/>
        <v>0</v>
      </c>
      <c r="Q196" s="1260"/>
    </row>
    <row r="197" spans="4:21" ht="18" customHeight="1">
      <c r="D197" s="1264">
        <v>2022</v>
      </c>
      <c r="E197" s="1259">
        <v>3</v>
      </c>
      <c r="F197" s="1259" t="s">
        <v>632</v>
      </c>
      <c r="G197" s="1259" t="s">
        <v>1097</v>
      </c>
      <c r="H197" s="1259" t="s">
        <v>1098</v>
      </c>
      <c r="I197" s="1259">
        <v>3</v>
      </c>
      <c r="J197" s="1259" t="s">
        <v>473</v>
      </c>
      <c r="K197" s="1259">
        <f>SUMIF(CF.1!$D:$D,'CFS(연간)'!G197,CF.1!$U:$U)</f>
        <v>0</v>
      </c>
      <c r="L197" s="1259">
        <f t="shared" si="14"/>
        <v>0</v>
      </c>
      <c r="M197" s="1265">
        <f t="shared" si="15"/>
        <v>0</v>
      </c>
      <c r="O197" s="1280"/>
      <c r="P197" s="1270">
        <f t="shared" si="13"/>
        <v>0</v>
      </c>
      <c r="Q197" s="1281"/>
    </row>
    <row r="198" spans="4:21" ht="18" customHeight="1">
      <c r="D198" s="1264">
        <v>2022</v>
      </c>
      <c r="E198" s="1259">
        <v>3</v>
      </c>
      <c r="F198" s="1259" t="s">
        <v>632</v>
      </c>
      <c r="G198" s="1259" t="s">
        <v>1099</v>
      </c>
      <c r="H198" s="1259" t="s">
        <v>1100</v>
      </c>
      <c r="I198" s="1259">
        <v>3</v>
      </c>
      <c r="J198" s="1259" t="s">
        <v>473</v>
      </c>
      <c r="K198" s="1259">
        <f>SUMIF(CF.1!$D:$D,'CFS(연간)'!G198,CF.1!$U:$U)</f>
        <v>0</v>
      </c>
      <c r="L198" s="1259">
        <f t="shared" si="14"/>
        <v>0</v>
      </c>
      <c r="M198" s="1265">
        <f t="shared" si="15"/>
        <v>0</v>
      </c>
      <c r="O198" s="1280"/>
      <c r="P198" s="1270">
        <f t="shared" si="13"/>
        <v>0</v>
      </c>
      <c r="Q198" s="1281"/>
    </row>
    <row r="199" spans="4:21" ht="18" customHeight="1">
      <c r="D199" s="1264">
        <v>2022</v>
      </c>
      <c r="E199" s="1259">
        <v>3</v>
      </c>
      <c r="F199" s="1259" t="s">
        <v>632</v>
      </c>
      <c r="G199" s="1259" t="s">
        <v>1103</v>
      </c>
      <c r="H199" s="1259" t="s">
        <v>1104</v>
      </c>
      <c r="I199" s="1259">
        <v>3</v>
      </c>
      <c r="J199" s="1259" t="s">
        <v>473</v>
      </c>
      <c r="K199" s="1259">
        <f>SUMIF(CF.1!$D:$D,'CFS(연간)'!G199,CF.1!$U:$U)</f>
        <v>0</v>
      </c>
      <c r="L199" s="1259">
        <f t="shared" si="14"/>
        <v>0</v>
      </c>
      <c r="M199" s="1265">
        <f t="shared" si="15"/>
        <v>0</v>
      </c>
      <c r="O199" s="1280"/>
      <c r="P199" s="1270">
        <f t="shared" ref="P199:P262" si="16">O199-L199</f>
        <v>0</v>
      </c>
      <c r="Q199" s="1281"/>
    </row>
    <row r="200" spans="4:21" ht="18" customHeight="1">
      <c r="D200" s="1264">
        <v>2022</v>
      </c>
      <c r="E200" s="1259">
        <v>3</v>
      </c>
      <c r="F200" s="1259" t="s">
        <v>632</v>
      </c>
      <c r="G200" s="1259" t="s">
        <v>1105</v>
      </c>
      <c r="H200" s="1259" t="s">
        <v>1106</v>
      </c>
      <c r="I200" s="1259">
        <v>3</v>
      </c>
      <c r="J200" s="1259" t="s">
        <v>473</v>
      </c>
      <c r="K200" s="1259">
        <f>SUMIF(CF.1!$D:$D,'CFS(연간)'!G200,CF.1!$U:$U)</f>
        <v>0</v>
      </c>
      <c r="L200" s="1259">
        <f t="shared" si="14"/>
        <v>0</v>
      </c>
      <c r="M200" s="1265">
        <f t="shared" si="15"/>
        <v>0</v>
      </c>
      <c r="O200" s="1280"/>
      <c r="P200" s="1270">
        <f t="shared" si="16"/>
        <v>0</v>
      </c>
      <c r="Q200" s="1281"/>
    </row>
    <row r="201" spans="4:21" ht="18" customHeight="1">
      <c r="D201" s="1264">
        <v>2022</v>
      </c>
      <c r="E201" s="1259">
        <v>3</v>
      </c>
      <c r="F201" s="1259" t="s">
        <v>632</v>
      </c>
      <c r="G201" s="1259" t="s">
        <v>1107</v>
      </c>
      <c r="H201" s="1259" t="s">
        <v>1108</v>
      </c>
      <c r="I201" s="1259">
        <v>3</v>
      </c>
      <c r="J201" s="1259" t="s">
        <v>473</v>
      </c>
      <c r="K201" s="1259">
        <f>SUMIF(CF.1!$D:$D,'CFS(연간)'!G201,CF.1!$U:$U)</f>
        <v>0</v>
      </c>
      <c r="L201" s="1259">
        <f t="shared" si="14"/>
        <v>0</v>
      </c>
      <c r="M201" s="1265">
        <f t="shared" si="15"/>
        <v>0</v>
      </c>
      <c r="O201" s="1280"/>
      <c r="P201" s="1270">
        <f t="shared" si="16"/>
        <v>0</v>
      </c>
      <c r="Q201" s="1281"/>
    </row>
    <row r="202" spans="4:21" ht="18" customHeight="1">
      <c r="D202" s="1264">
        <v>2022</v>
      </c>
      <c r="E202" s="1259">
        <v>3</v>
      </c>
      <c r="F202" s="1259" t="s">
        <v>632</v>
      </c>
      <c r="G202" s="1259" t="s">
        <v>1109</v>
      </c>
      <c r="H202" s="1259" t="s">
        <v>1110</v>
      </c>
      <c r="I202" s="1259">
        <v>3</v>
      </c>
      <c r="J202" s="1259" t="s">
        <v>473</v>
      </c>
      <c r="K202" s="1259">
        <f>SUMIF(CF.1!$D:$D,'CFS(연간)'!G202,CF.1!$U:$U)</f>
        <v>0</v>
      </c>
      <c r="L202" s="1259">
        <f t="shared" si="14"/>
        <v>0</v>
      </c>
      <c r="M202" s="1265">
        <f t="shared" si="15"/>
        <v>0</v>
      </c>
      <c r="O202" s="1280"/>
      <c r="P202" s="1270">
        <f t="shared" si="16"/>
        <v>0</v>
      </c>
      <c r="Q202" s="1281"/>
    </row>
    <row r="203" spans="4:21" ht="18" customHeight="1">
      <c r="D203" s="1264">
        <v>2022</v>
      </c>
      <c r="E203" s="1259">
        <v>3</v>
      </c>
      <c r="F203" s="1259" t="s">
        <v>632</v>
      </c>
      <c r="G203" s="1259" t="s">
        <v>1111</v>
      </c>
      <c r="H203" s="1259" t="s">
        <v>1112</v>
      </c>
      <c r="I203" s="1259">
        <v>3</v>
      </c>
      <c r="J203" s="1259" t="s">
        <v>473</v>
      </c>
      <c r="K203" s="1259">
        <f>SUMIF(CF.1!$D:$D,'CFS(연간)'!G203,CF.1!$U:$U)</f>
        <v>0</v>
      </c>
      <c r="L203" s="1259">
        <f t="shared" si="14"/>
        <v>0</v>
      </c>
      <c r="M203" s="1265">
        <f t="shared" si="15"/>
        <v>0</v>
      </c>
      <c r="O203" s="1280"/>
      <c r="P203" s="1270">
        <f t="shared" si="16"/>
        <v>0</v>
      </c>
      <c r="Q203" s="1281"/>
    </row>
    <row r="204" spans="4:21" ht="18" customHeight="1">
      <c r="D204" s="1264">
        <v>2022</v>
      </c>
      <c r="E204" s="1259">
        <v>3</v>
      </c>
      <c r="F204" s="1259" t="s">
        <v>632</v>
      </c>
      <c r="G204" s="1259" t="s">
        <v>1113</v>
      </c>
      <c r="H204" s="1259" t="s">
        <v>1114</v>
      </c>
      <c r="I204" s="1259">
        <v>3</v>
      </c>
      <c r="J204" s="1259" t="s">
        <v>473</v>
      </c>
      <c r="K204" s="1259">
        <f>SUMIF(CF.1!$D:$D,'CFS(연간)'!G204,CF.1!$U:$U)</f>
        <v>0</v>
      </c>
      <c r="L204" s="1259">
        <f t="shared" si="14"/>
        <v>0</v>
      </c>
      <c r="M204" s="1265">
        <f t="shared" si="15"/>
        <v>0</v>
      </c>
      <c r="O204" s="1280"/>
      <c r="P204" s="1270">
        <f t="shared" si="16"/>
        <v>0</v>
      </c>
      <c r="Q204" s="1281"/>
    </row>
    <row r="205" spans="4:21" s="575" customFormat="1" ht="18" customHeight="1">
      <c r="D205" s="1269">
        <v>2022</v>
      </c>
      <c r="E205" s="1270">
        <v>3</v>
      </c>
      <c r="F205" s="1270"/>
      <c r="G205" s="1270" t="s">
        <v>1119</v>
      </c>
      <c r="H205" s="1270" t="s">
        <v>1120</v>
      </c>
      <c r="I205" s="1259">
        <v>3</v>
      </c>
      <c r="J205" s="1259" t="s">
        <v>473</v>
      </c>
      <c r="K205" s="1270">
        <f>SUMIF(CF.1!$D:$D,'CFS(연간)'!G205,CF.1!$U:$U)</f>
        <v>0</v>
      </c>
      <c r="L205" s="1270">
        <f t="shared" si="14"/>
        <v>0</v>
      </c>
      <c r="M205" s="1271"/>
      <c r="O205" s="1280"/>
      <c r="P205" s="1270"/>
      <c r="Q205" s="1281"/>
    </row>
    <row r="206" spans="4:21" ht="18" customHeight="1">
      <c r="D206" s="1264">
        <v>2022</v>
      </c>
      <c r="E206" s="1259">
        <v>3</v>
      </c>
      <c r="F206" s="1259" t="s">
        <v>632</v>
      </c>
      <c r="G206" s="1259" t="s">
        <v>1123</v>
      </c>
      <c r="H206" s="1259" t="s">
        <v>1124</v>
      </c>
      <c r="I206" s="1259">
        <v>3</v>
      </c>
      <c r="J206" s="1259" t="s">
        <v>473</v>
      </c>
      <c r="K206" s="1259">
        <f>SUMIF(CF.1!$D:$D,'CFS(연간)'!G206,CF.1!$U:$U)</f>
        <v>0</v>
      </c>
      <c r="L206" s="1259">
        <f t="shared" si="14"/>
        <v>0</v>
      </c>
      <c r="M206" s="1265">
        <f t="shared" si="15"/>
        <v>0</v>
      </c>
      <c r="O206" s="1280"/>
      <c r="P206" s="1270">
        <f t="shared" si="16"/>
        <v>0</v>
      </c>
      <c r="Q206" s="1281"/>
      <c r="S206" s="575"/>
      <c r="T206" s="575"/>
      <c r="U206" s="575"/>
    </row>
    <row r="207" spans="4:21" ht="18" customHeight="1">
      <c r="D207" s="1266">
        <v>2022</v>
      </c>
      <c r="E207" s="1267">
        <v>3</v>
      </c>
      <c r="F207" s="1267" t="s">
        <v>632</v>
      </c>
      <c r="G207" s="1267" t="s">
        <v>1125</v>
      </c>
      <c r="H207" s="1267" t="s">
        <v>1126</v>
      </c>
      <c r="I207" s="1267">
        <v>2</v>
      </c>
      <c r="J207" s="1267" t="s">
        <v>473</v>
      </c>
      <c r="K207" s="1267">
        <f>SUM(K208:K257)</f>
        <v>-26825396063</v>
      </c>
      <c r="L207" s="1267">
        <f>SUM(L208:L257)</f>
        <v>-27122702063</v>
      </c>
      <c r="M207" s="1268">
        <f>SUM(M208:M257)</f>
        <v>-297306000</v>
      </c>
      <c r="O207" s="1280"/>
      <c r="P207" s="1270">
        <f t="shared" si="16"/>
        <v>27122702063</v>
      </c>
      <c r="Q207" s="1281"/>
      <c r="S207" s="575"/>
      <c r="T207" s="575"/>
      <c r="U207" s="575"/>
    </row>
    <row r="208" spans="4:21" ht="18" customHeight="1">
      <c r="D208" s="1264">
        <v>2022</v>
      </c>
      <c r="E208" s="1259">
        <v>3</v>
      </c>
      <c r="F208" s="1259" t="s">
        <v>632</v>
      </c>
      <c r="G208" s="1259" t="s">
        <v>1127</v>
      </c>
      <c r="H208" s="1259" t="s">
        <v>1128</v>
      </c>
      <c r="I208" s="1259">
        <v>3</v>
      </c>
      <c r="J208" s="1259" t="s">
        <v>473</v>
      </c>
      <c r="K208" s="1259">
        <f>SUMIF(CF.1!$D:$D,'CFS(연간)'!G208,CF.1!$U:$U)</f>
        <v>0</v>
      </c>
      <c r="L208" s="1259">
        <f t="shared" ref="L208:L257" si="17">K208</f>
        <v>0</v>
      </c>
      <c r="M208" s="1265">
        <f t="shared" ref="M208:M257" si="18">L208-K208</f>
        <v>0</v>
      </c>
      <c r="O208" s="1280"/>
      <c r="P208" s="1270">
        <f t="shared" si="16"/>
        <v>0</v>
      </c>
      <c r="Q208" s="1281"/>
      <c r="S208" s="575"/>
      <c r="T208" s="575"/>
      <c r="U208" s="575"/>
    </row>
    <row r="209" spans="4:21" ht="18" customHeight="1">
      <c r="D209" s="2033">
        <v>2022</v>
      </c>
      <c r="E209" s="1554">
        <v>3</v>
      </c>
      <c r="F209" s="1554" t="s">
        <v>632</v>
      </c>
      <c r="G209" s="1554" t="s">
        <v>1129</v>
      </c>
      <c r="H209" s="1554" t="s">
        <v>1130</v>
      </c>
      <c r="I209" s="1554">
        <v>3</v>
      </c>
      <c r="J209" s="1554" t="s">
        <v>473</v>
      </c>
      <c r="K209" s="1554">
        <f>SUMIF(CF.1!$D:$D,'CFS(연간)'!G209,CF.1!$U:$U)</f>
        <v>0</v>
      </c>
      <c r="L209" s="1554">
        <v>-297306000</v>
      </c>
      <c r="M209" s="2034">
        <f t="shared" si="18"/>
        <v>-297306000</v>
      </c>
      <c r="O209" s="1280"/>
      <c r="P209" s="1270">
        <f>O209-L209</f>
        <v>297306000</v>
      </c>
      <c r="Q209" s="1281"/>
      <c r="S209" s="575"/>
      <c r="T209" s="575"/>
      <c r="U209" s="575"/>
    </row>
    <row r="210" spans="4:21" ht="18" customHeight="1">
      <c r="D210" s="1264">
        <v>2022</v>
      </c>
      <c r="E210" s="1259">
        <v>3</v>
      </c>
      <c r="F210" s="1259" t="s">
        <v>632</v>
      </c>
      <c r="G210" s="1259" t="s">
        <v>1131</v>
      </c>
      <c r="H210" s="1259" t="s">
        <v>1132</v>
      </c>
      <c r="I210" s="1259">
        <v>3</v>
      </c>
      <c r="J210" s="1259" t="s">
        <v>473</v>
      </c>
      <c r="K210" s="1259">
        <f>SUMIF(CF.1!$D:$D,'CFS(연간)'!G210,CF.1!$U:$U)</f>
        <v>0</v>
      </c>
      <c r="L210" s="1259">
        <f t="shared" si="17"/>
        <v>0</v>
      </c>
      <c r="M210" s="1265">
        <f t="shared" si="18"/>
        <v>0</v>
      </c>
      <c r="O210" s="1280"/>
      <c r="P210" s="1270">
        <f t="shared" si="16"/>
        <v>0</v>
      </c>
      <c r="Q210" s="1281"/>
      <c r="S210" s="575"/>
      <c r="T210" s="575"/>
      <c r="U210" s="575"/>
    </row>
    <row r="211" spans="4:21" ht="18" customHeight="1">
      <c r="D211" s="1264">
        <v>2022</v>
      </c>
      <c r="E211" s="1259">
        <v>3</v>
      </c>
      <c r="F211" s="1259" t="s">
        <v>632</v>
      </c>
      <c r="G211" s="1259" t="s">
        <v>1133</v>
      </c>
      <c r="H211" s="1259" t="s">
        <v>1134</v>
      </c>
      <c r="I211" s="1259">
        <v>3</v>
      </c>
      <c r="J211" s="1259" t="s">
        <v>473</v>
      </c>
      <c r="K211" s="1259">
        <f>SUMIF(CF.1!$D:$D,'CFS(연간)'!G211,CF.1!$U:$U)</f>
        <v>0</v>
      </c>
      <c r="L211" s="1259">
        <f t="shared" si="17"/>
        <v>0</v>
      </c>
      <c r="M211" s="1265">
        <f t="shared" si="18"/>
        <v>0</v>
      </c>
      <c r="O211" s="1280"/>
      <c r="P211" s="1270">
        <f t="shared" si="16"/>
        <v>0</v>
      </c>
      <c r="Q211" s="1281"/>
      <c r="S211" s="575"/>
      <c r="T211" s="575"/>
      <c r="U211" s="575"/>
    </row>
    <row r="212" spans="4:21" ht="18" customHeight="1">
      <c r="D212" s="1264">
        <v>2022</v>
      </c>
      <c r="E212" s="1259">
        <v>3</v>
      </c>
      <c r="F212" s="1259" t="s">
        <v>632</v>
      </c>
      <c r="G212" s="1259" t="s">
        <v>1135</v>
      </c>
      <c r="H212" s="1259" t="s">
        <v>1136</v>
      </c>
      <c r="I212" s="1259">
        <v>3</v>
      </c>
      <c r="J212" s="1259" t="s">
        <v>473</v>
      </c>
      <c r="K212" s="1259">
        <f>SUMIF(CF.1!$D:$D,'CFS(연간)'!G212,CF.1!$U:$U)</f>
        <v>0</v>
      </c>
      <c r="L212" s="1259">
        <f t="shared" si="17"/>
        <v>0</v>
      </c>
      <c r="M212" s="1265">
        <f t="shared" si="18"/>
        <v>0</v>
      </c>
      <c r="O212" s="1280"/>
      <c r="P212" s="1270">
        <f t="shared" si="16"/>
        <v>0</v>
      </c>
      <c r="Q212" s="1281"/>
      <c r="S212" s="575"/>
      <c r="T212" s="575"/>
      <c r="U212" s="575"/>
    </row>
    <row r="213" spans="4:21" ht="18" customHeight="1">
      <c r="D213" s="1264">
        <v>2022</v>
      </c>
      <c r="E213" s="1259">
        <v>3</v>
      </c>
      <c r="F213" s="1259" t="s">
        <v>632</v>
      </c>
      <c r="G213" s="1259" t="s">
        <v>1137</v>
      </c>
      <c r="H213" s="1259" t="s">
        <v>1138</v>
      </c>
      <c r="I213" s="1259">
        <v>3</v>
      </c>
      <c r="J213" s="1259" t="s">
        <v>473</v>
      </c>
      <c r="K213" s="1259">
        <f>SUMIF(CF.1!$D:$D,'CFS(연간)'!G213,CF.1!$U:$U)</f>
        <v>0</v>
      </c>
      <c r="L213" s="1259">
        <f t="shared" si="17"/>
        <v>0</v>
      </c>
      <c r="M213" s="1265">
        <f t="shared" si="18"/>
        <v>0</v>
      </c>
      <c r="O213" s="1280"/>
      <c r="P213" s="1270">
        <f t="shared" si="16"/>
        <v>0</v>
      </c>
      <c r="Q213" s="1281"/>
    </row>
    <row r="214" spans="4:21" ht="18" customHeight="1">
      <c r="D214" s="1264">
        <v>2022</v>
      </c>
      <c r="E214" s="1259">
        <v>3</v>
      </c>
      <c r="F214" s="1259" t="s">
        <v>632</v>
      </c>
      <c r="G214" s="1259" t="s">
        <v>1139</v>
      </c>
      <c r="H214" s="1259" t="s">
        <v>1140</v>
      </c>
      <c r="I214" s="1259">
        <v>3</v>
      </c>
      <c r="J214" s="1259" t="s">
        <v>473</v>
      </c>
      <c r="K214" s="1259">
        <f>SUMIF(CF.1!$D:$D,'CFS(연간)'!G214,CF.1!$U:$U)</f>
        <v>0</v>
      </c>
      <c r="L214" s="1259">
        <f t="shared" si="17"/>
        <v>0</v>
      </c>
      <c r="M214" s="1265">
        <f t="shared" si="18"/>
        <v>0</v>
      </c>
      <c r="O214" s="1280"/>
      <c r="P214" s="1270">
        <f t="shared" si="16"/>
        <v>0</v>
      </c>
      <c r="Q214" s="1281"/>
    </row>
    <row r="215" spans="4:21" ht="18" customHeight="1">
      <c r="D215" s="1264">
        <v>2022</v>
      </c>
      <c r="E215" s="1259">
        <v>3</v>
      </c>
      <c r="F215" s="1259" t="s">
        <v>632</v>
      </c>
      <c r="G215" s="1259" t="s">
        <v>1141</v>
      </c>
      <c r="H215" s="1259" t="s">
        <v>1142</v>
      </c>
      <c r="I215" s="1259">
        <v>3</v>
      </c>
      <c r="J215" s="1259" t="s">
        <v>473</v>
      </c>
      <c r="K215" s="1270">
        <f>SUMIF(CF.1!$D:$D,'CFS(연간)'!G215,CF.1!$U:$U)</f>
        <v>-609716486</v>
      </c>
      <c r="L215" s="1270">
        <f t="shared" si="17"/>
        <v>-609716486</v>
      </c>
      <c r="M215" s="1271">
        <f t="shared" si="18"/>
        <v>0</v>
      </c>
      <c r="O215" s="1280"/>
      <c r="P215" s="1270">
        <f t="shared" si="16"/>
        <v>609716486</v>
      </c>
      <c r="Q215" s="1281"/>
    </row>
    <row r="216" spans="4:21" ht="18" customHeight="1">
      <c r="D216" s="1269">
        <v>2022</v>
      </c>
      <c r="E216" s="1270">
        <v>3</v>
      </c>
      <c r="F216" s="1270" t="s">
        <v>632</v>
      </c>
      <c r="G216" s="1270" t="s">
        <v>1143</v>
      </c>
      <c r="H216" s="1270" t="s">
        <v>1144</v>
      </c>
      <c r="I216" s="1270">
        <v>3</v>
      </c>
      <c r="J216" s="1270" t="s">
        <v>473</v>
      </c>
      <c r="K216" s="1270">
        <f>SUMIF(CF.1!$D:$D,'CFS(연간)'!G216,CF.1!$U:$U)</f>
        <v>0</v>
      </c>
      <c r="L216" s="1270">
        <f t="shared" si="17"/>
        <v>0</v>
      </c>
      <c r="M216" s="1271">
        <f t="shared" si="18"/>
        <v>0</v>
      </c>
      <c r="O216" s="1280"/>
      <c r="P216" s="1270">
        <f t="shared" si="16"/>
        <v>0</v>
      </c>
      <c r="Q216" s="1281"/>
    </row>
    <row r="217" spans="4:21" ht="18" customHeight="1">
      <c r="D217" s="1269">
        <v>2022</v>
      </c>
      <c r="E217" s="1270">
        <v>3</v>
      </c>
      <c r="F217" s="1270" t="s">
        <v>632</v>
      </c>
      <c r="G217" s="1270" t="s">
        <v>1145</v>
      </c>
      <c r="H217" s="1270" t="s">
        <v>1146</v>
      </c>
      <c r="I217" s="1270">
        <v>3</v>
      </c>
      <c r="J217" s="1270" t="s">
        <v>473</v>
      </c>
      <c r="K217" s="1270">
        <f>SUMIF(CF.1!$D:$D,'CFS(연간)'!G217,CF.1!$U:$U)</f>
        <v>0</v>
      </c>
      <c r="L217" s="1270">
        <f t="shared" si="17"/>
        <v>0</v>
      </c>
      <c r="M217" s="1271">
        <f t="shared" si="18"/>
        <v>0</v>
      </c>
      <c r="O217" s="1280"/>
      <c r="P217" s="1270">
        <f t="shared" si="16"/>
        <v>0</v>
      </c>
      <c r="Q217" s="1281"/>
    </row>
    <row r="218" spans="4:21" ht="18" customHeight="1">
      <c r="D218" s="1269">
        <v>2022</v>
      </c>
      <c r="E218" s="1270">
        <v>3</v>
      </c>
      <c r="F218" s="1270" t="s">
        <v>632</v>
      </c>
      <c r="G218" s="1270" t="s">
        <v>1147</v>
      </c>
      <c r="H218" s="1270" t="s">
        <v>1148</v>
      </c>
      <c r="I218" s="1270">
        <v>3</v>
      </c>
      <c r="J218" s="1270" t="s">
        <v>473</v>
      </c>
      <c r="K218" s="1270">
        <f>SUMIF(CF.1!$D:$D,'CFS(연간)'!G218,CF.1!$U:$U)</f>
        <v>0</v>
      </c>
      <c r="L218" s="1270">
        <f t="shared" si="17"/>
        <v>0</v>
      </c>
      <c r="M218" s="1271">
        <f t="shared" si="18"/>
        <v>0</v>
      </c>
      <c r="O218" s="1280"/>
      <c r="P218" s="1270">
        <f t="shared" si="16"/>
        <v>0</v>
      </c>
      <c r="Q218" s="1281"/>
    </row>
    <row r="219" spans="4:21" ht="18" customHeight="1">
      <c r="D219" s="1269">
        <v>2022</v>
      </c>
      <c r="E219" s="1270">
        <v>3</v>
      </c>
      <c r="F219" s="1270" t="s">
        <v>632</v>
      </c>
      <c r="G219" s="1270" t="s">
        <v>2570</v>
      </c>
      <c r="H219" s="1270" t="s">
        <v>2569</v>
      </c>
      <c r="I219" s="1270">
        <v>3</v>
      </c>
      <c r="J219" s="1270" t="s">
        <v>473</v>
      </c>
      <c r="K219" s="1270">
        <f>SUMIF(CF.1!$D:$D,'CFS(연간)'!G219,CF.1!$U:$U)</f>
        <v>-20301223536</v>
      </c>
      <c r="L219" s="1270">
        <f t="shared" si="17"/>
        <v>-20301223536</v>
      </c>
      <c r="M219" s="1271">
        <f t="shared" si="18"/>
        <v>0</v>
      </c>
      <c r="O219" s="1280"/>
      <c r="P219" s="1270">
        <f t="shared" si="16"/>
        <v>20301223536</v>
      </c>
      <c r="Q219" s="1281"/>
    </row>
    <row r="220" spans="4:21" ht="18" customHeight="1">
      <c r="D220" s="1269">
        <v>2022</v>
      </c>
      <c r="E220" s="1270">
        <v>3</v>
      </c>
      <c r="F220" s="1270" t="s">
        <v>632</v>
      </c>
      <c r="G220" s="1270" t="s">
        <v>1151</v>
      </c>
      <c r="H220" s="1270" t="s">
        <v>1152</v>
      </c>
      <c r="I220" s="1270">
        <v>3</v>
      </c>
      <c r="J220" s="1270" t="s">
        <v>473</v>
      </c>
      <c r="K220" s="1270">
        <f>SUMIF(CF.1!$D:$D,'CFS(연간)'!G220,CF.1!$U:$U)</f>
        <v>0</v>
      </c>
      <c r="L220" s="1270">
        <f t="shared" si="17"/>
        <v>0</v>
      </c>
      <c r="M220" s="1271">
        <f t="shared" si="18"/>
        <v>0</v>
      </c>
      <c r="O220" s="1280"/>
      <c r="P220" s="1270">
        <f t="shared" si="16"/>
        <v>0</v>
      </c>
      <c r="Q220" s="1281"/>
    </row>
    <row r="221" spans="4:21" ht="18" customHeight="1">
      <c r="D221" s="1269">
        <v>2022</v>
      </c>
      <c r="E221" s="1270">
        <v>3</v>
      </c>
      <c r="F221" s="1270" t="s">
        <v>632</v>
      </c>
      <c r="G221" s="1270" t="s">
        <v>1153</v>
      </c>
      <c r="H221" s="1270" t="s">
        <v>1518</v>
      </c>
      <c r="I221" s="1270">
        <v>3</v>
      </c>
      <c r="J221" s="1270" t="s">
        <v>473</v>
      </c>
      <c r="K221" s="1270">
        <f>SUMIF(CF.1!$D:$D,'CFS(연간)'!G221,CF.1!$U:$U)</f>
        <v>-3011475000</v>
      </c>
      <c r="L221" s="1270">
        <f t="shared" si="17"/>
        <v>-3011475000</v>
      </c>
      <c r="M221" s="1271">
        <f t="shared" si="18"/>
        <v>0</v>
      </c>
      <c r="O221" s="1280"/>
      <c r="P221" s="1270">
        <f t="shared" si="16"/>
        <v>3011475000</v>
      </c>
      <c r="Q221" s="1281"/>
    </row>
    <row r="222" spans="4:21" ht="18" customHeight="1">
      <c r="D222" s="1269">
        <v>2022</v>
      </c>
      <c r="E222" s="1270">
        <v>3</v>
      </c>
      <c r="F222" s="1270" t="s">
        <v>632</v>
      </c>
      <c r="G222" s="1270" t="s">
        <v>1155</v>
      </c>
      <c r="H222" s="1270" t="s">
        <v>1156</v>
      </c>
      <c r="I222" s="1270">
        <v>3</v>
      </c>
      <c r="J222" s="1270" t="s">
        <v>473</v>
      </c>
      <c r="K222" s="1270">
        <f>SUMIF(CF.1!$D:$D,'CFS(연간)'!G222,CF.1!$U:$U)</f>
        <v>0</v>
      </c>
      <c r="L222" s="1270">
        <f t="shared" si="17"/>
        <v>0</v>
      </c>
      <c r="M222" s="1271">
        <f t="shared" si="18"/>
        <v>0</v>
      </c>
      <c r="N222" s="575"/>
      <c r="O222" s="1280"/>
      <c r="P222" s="1270">
        <f t="shared" si="16"/>
        <v>0</v>
      </c>
      <c r="Q222" s="1281"/>
    </row>
    <row r="223" spans="4:21" ht="18" customHeight="1">
      <c r="D223" s="1269">
        <v>2022</v>
      </c>
      <c r="E223" s="1270">
        <v>3</v>
      </c>
      <c r="F223" s="1270" t="s">
        <v>632</v>
      </c>
      <c r="G223" s="1270" t="s">
        <v>1157</v>
      </c>
      <c r="H223" s="1270" t="s">
        <v>1158</v>
      </c>
      <c r="I223" s="1270">
        <v>3</v>
      </c>
      <c r="J223" s="1270" t="s">
        <v>473</v>
      </c>
      <c r="K223" s="1270">
        <f>SUMIF(CF.1!$D:$D,'CFS(연간)'!G223,CF.1!$U:$U)</f>
        <v>0</v>
      </c>
      <c r="L223" s="1270">
        <f t="shared" si="17"/>
        <v>0</v>
      </c>
      <c r="M223" s="1271">
        <f t="shared" si="18"/>
        <v>0</v>
      </c>
      <c r="O223" s="1280"/>
      <c r="P223" s="1270">
        <f t="shared" si="16"/>
        <v>0</v>
      </c>
      <c r="Q223" s="1281"/>
    </row>
    <row r="224" spans="4:21" ht="18" customHeight="1">
      <c r="D224" s="1269">
        <v>2022</v>
      </c>
      <c r="E224" s="1270">
        <v>3</v>
      </c>
      <c r="F224" s="1270" t="s">
        <v>632</v>
      </c>
      <c r="G224" s="1270" t="s">
        <v>1159</v>
      </c>
      <c r="H224" s="1270" t="s">
        <v>1160</v>
      </c>
      <c r="I224" s="1270">
        <v>3</v>
      </c>
      <c r="J224" s="1270" t="s">
        <v>473</v>
      </c>
      <c r="K224" s="1270">
        <f>SUMIF(CF.1!$D:$D,'CFS(연간)'!G224,CF.1!$U:$U)</f>
        <v>0</v>
      </c>
      <c r="L224" s="1270">
        <f t="shared" si="17"/>
        <v>0</v>
      </c>
      <c r="M224" s="1271">
        <f t="shared" si="18"/>
        <v>0</v>
      </c>
      <c r="O224" s="1280"/>
      <c r="P224" s="1270">
        <f t="shared" si="16"/>
        <v>0</v>
      </c>
      <c r="Q224" s="1281"/>
    </row>
    <row r="225" spans="4:17" ht="18" customHeight="1">
      <c r="D225" s="1269">
        <v>2022</v>
      </c>
      <c r="E225" s="1270">
        <v>3</v>
      </c>
      <c r="F225" s="1270" t="s">
        <v>632</v>
      </c>
      <c r="G225" s="1270" t="s">
        <v>1161</v>
      </c>
      <c r="H225" s="1270" t="s">
        <v>1162</v>
      </c>
      <c r="I225" s="1270">
        <v>3</v>
      </c>
      <c r="J225" s="1270" t="s">
        <v>473</v>
      </c>
      <c r="K225" s="1270">
        <f>SUMIF(CF.1!$D:$D,'CFS(연간)'!G225,CF.1!$U:$U)</f>
        <v>0</v>
      </c>
      <c r="L225" s="1270">
        <f t="shared" si="17"/>
        <v>0</v>
      </c>
      <c r="M225" s="1271">
        <f t="shared" si="18"/>
        <v>0</v>
      </c>
      <c r="O225" s="1280"/>
      <c r="P225" s="1270">
        <f t="shared" si="16"/>
        <v>0</v>
      </c>
      <c r="Q225" s="1281"/>
    </row>
    <row r="226" spans="4:17" ht="18" customHeight="1">
      <c r="D226" s="1269">
        <v>2022</v>
      </c>
      <c r="E226" s="1270">
        <v>3</v>
      </c>
      <c r="F226" s="1270" t="s">
        <v>632</v>
      </c>
      <c r="G226" s="1270" t="s">
        <v>1163</v>
      </c>
      <c r="H226" s="1270" t="s">
        <v>1164</v>
      </c>
      <c r="I226" s="1270">
        <v>3</v>
      </c>
      <c r="J226" s="1270" t="s">
        <v>473</v>
      </c>
      <c r="K226" s="1270">
        <f>SUMIF(CF.1!$D:$D,'CFS(연간)'!G226,CF.1!$U:$U)</f>
        <v>0</v>
      </c>
      <c r="L226" s="1270">
        <f t="shared" si="17"/>
        <v>0</v>
      </c>
      <c r="M226" s="1271">
        <f t="shared" si="18"/>
        <v>0</v>
      </c>
      <c r="O226" s="1280"/>
      <c r="P226" s="1270">
        <f t="shared" si="16"/>
        <v>0</v>
      </c>
      <c r="Q226" s="1281"/>
    </row>
    <row r="227" spans="4:17" ht="18" customHeight="1">
      <c r="D227" s="1269">
        <v>2022</v>
      </c>
      <c r="E227" s="1270">
        <v>3</v>
      </c>
      <c r="F227" s="1270" t="s">
        <v>632</v>
      </c>
      <c r="G227" s="1270" t="s">
        <v>1165</v>
      </c>
      <c r="H227" s="1270" t="s">
        <v>1166</v>
      </c>
      <c r="I227" s="1270">
        <v>3</v>
      </c>
      <c r="J227" s="1270" t="s">
        <v>473</v>
      </c>
      <c r="K227" s="1270">
        <f>SUMIF(CF.1!$D:$D,'CFS(연간)'!G227,CF.1!$U:$U)</f>
        <v>0</v>
      </c>
      <c r="L227" s="1270">
        <f t="shared" si="17"/>
        <v>0</v>
      </c>
      <c r="M227" s="1271">
        <f t="shared" si="18"/>
        <v>0</v>
      </c>
      <c r="O227" s="1280"/>
      <c r="P227" s="1270">
        <f t="shared" si="16"/>
        <v>0</v>
      </c>
      <c r="Q227" s="1281"/>
    </row>
    <row r="228" spans="4:17" ht="18" customHeight="1">
      <c r="D228" s="1269">
        <v>2022</v>
      </c>
      <c r="E228" s="1270">
        <v>3</v>
      </c>
      <c r="F228" s="1270" t="s">
        <v>632</v>
      </c>
      <c r="G228" s="1270" t="s">
        <v>1167</v>
      </c>
      <c r="H228" s="1270" t="s">
        <v>1168</v>
      </c>
      <c r="I228" s="1270">
        <v>3</v>
      </c>
      <c r="J228" s="1270" t="s">
        <v>473</v>
      </c>
      <c r="K228" s="1270">
        <f>SUMIF(CF.1!$D:$D,'CFS(연간)'!G228,CF.1!$U:$U)</f>
        <v>0</v>
      </c>
      <c r="L228" s="1270">
        <f t="shared" si="17"/>
        <v>0</v>
      </c>
      <c r="M228" s="1271">
        <f t="shared" si="18"/>
        <v>0</v>
      </c>
      <c r="O228" s="1280"/>
      <c r="P228" s="1270">
        <f t="shared" si="16"/>
        <v>0</v>
      </c>
      <c r="Q228" s="1281"/>
    </row>
    <row r="229" spans="4:17" ht="18" customHeight="1">
      <c r="D229" s="1269">
        <v>2022</v>
      </c>
      <c r="E229" s="1270">
        <v>3</v>
      </c>
      <c r="F229" s="1270" t="s">
        <v>632</v>
      </c>
      <c r="G229" s="1270" t="s">
        <v>1169</v>
      </c>
      <c r="H229" s="1270" t="s">
        <v>1170</v>
      </c>
      <c r="I229" s="1270">
        <v>3</v>
      </c>
      <c r="J229" s="1270" t="s">
        <v>473</v>
      </c>
      <c r="K229" s="1270">
        <f>SUMIF(CF.1!$D:$D,'CFS(연간)'!G229,CF.1!$U:$U)</f>
        <v>0</v>
      </c>
      <c r="L229" s="1270">
        <f t="shared" si="17"/>
        <v>0</v>
      </c>
      <c r="M229" s="1271">
        <f t="shared" si="18"/>
        <v>0</v>
      </c>
      <c r="O229" s="1280"/>
      <c r="P229" s="1270">
        <f t="shared" si="16"/>
        <v>0</v>
      </c>
      <c r="Q229" s="1281"/>
    </row>
    <row r="230" spans="4:17" ht="18" customHeight="1">
      <c r="D230" s="1269">
        <v>2022</v>
      </c>
      <c r="E230" s="1270">
        <v>3</v>
      </c>
      <c r="F230" s="1270" t="s">
        <v>632</v>
      </c>
      <c r="G230" s="1270" t="s">
        <v>1171</v>
      </c>
      <c r="H230" s="1270" t="s">
        <v>1172</v>
      </c>
      <c r="I230" s="1270">
        <v>3</v>
      </c>
      <c r="J230" s="1270" t="s">
        <v>473</v>
      </c>
      <c r="K230" s="1270">
        <f>SUMIF(CF.1!$D:$D,'CFS(연간)'!G230,CF.1!$U:$U)</f>
        <v>0</v>
      </c>
      <c r="L230" s="1270">
        <f t="shared" si="17"/>
        <v>0</v>
      </c>
      <c r="M230" s="1271">
        <f t="shared" si="18"/>
        <v>0</v>
      </c>
      <c r="O230" s="1280"/>
      <c r="P230" s="1270">
        <f t="shared" si="16"/>
        <v>0</v>
      </c>
      <c r="Q230" s="1281"/>
    </row>
    <row r="231" spans="4:17" ht="18" customHeight="1">
      <c r="D231" s="1269">
        <v>2022</v>
      </c>
      <c r="E231" s="1270">
        <v>3</v>
      </c>
      <c r="F231" s="1270" t="s">
        <v>632</v>
      </c>
      <c r="G231" s="1270" t="s">
        <v>1173</v>
      </c>
      <c r="H231" s="1270" t="s">
        <v>1174</v>
      </c>
      <c r="I231" s="1270">
        <v>3</v>
      </c>
      <c r="J231" s="1270" t="s">
        <v>473</v>
      </c>
      <c r="K231" s="1270">
        <f>SUMIF(CF.1!$D:$D,'CFS(연간)'!G231,CF.1!$U:$U)</f>
        <v>0</v>
      </c>
      <c r="L231" s="1270">
        <f t="shared" si="17"/>
        <v>0</v>
      </c>
      <c r="M231" s="1271">
        <f t="shared" si="18"/>
        <v>0</v>
      </c>
      <c r="O231" s="1280"/>
      <c r="P231" s="1270">
        <f t="shared" si="16"/>
        <v>0</v>
      </c>
      <c r="Q231" s="1281"/>
    </row>
    <row r="232" spans="4:17" ht="18" customHeight="1">
      <c r="D232" s="1269">
        <v>2022</v>
      </c>
      <c r="E232" s="1270">
        <v>3</v>
      </c>
      <c r="F232" s="1270" t="s">
        <v>632</v>
      </c>
      <c r="G232" s="1270" t="s">
        <v>1175</v>
      </c>
      <c r="H232" s="1270" t="s">
        <v>1176</v>
      </c>
      <c r="I232" s="1270">
        <v>3</v>
      </c>
      <c r="J232" s="1270" t="s">
        <v>473</v>
      </c>
      <c r="K232" s="1270">
        <f>SUMIF(CF.1!$D:$D,'CFS(연간)'!G232,CF.1!$U:$U)</f>
        <v>0</v>
      </c>
      <c r="L232" s="1270">
        <f t="shared" si="17"/>
        <v>0</v>
      </c>
      <c r="M232" s="1271">
        <f t="shared" si="18"/>
        <v>0</v>
      </c>
      <c r="O232" s="1280"/>
      <c r="P232" s="1270">
        <f t="shared" si="16"/>
        <v>0</v>
      </c>
      <c r="Q232" s="1281"/>
    </row>
    <row r="233" spans="4:17" ht="18" customHeight="1">
      <c r="D233" s="1269">
        <v>2022</v>
      </c>
      <c r="E233" s="1270">
        <v>3</v>
      </c>
      <c r="F233" s="1270" t="s">
        <v>632</v>
      </c>
      <c r="G233" s="1270" t="s">
        <v>1177</v>
      </c>
      <c r="H233" s="1270" t="s">
        <v>1178</v>
      </c>
      <c r="I233" s="1270">
        <v>3</v>
      </c>
      <c r="J233" s="1270" t="s">
        <v>473</v>
      </c>
      <c r="K233" s="1270">
        <f>SUMIF(CF.1!$D:$D,'CFS(연간)'!G233,CF.1!$U:$U)</f>
        <v>0</v>
      </c>
      <c r="L233" s="1270">
        <f t="shared" si="17"/>
        <v>0</v>
      </c>
      <c r="M233" s="1271">
        <f t="shared" si="18"/>
        <v>0</v>
      </c>
      <c r="O233" s="1280"/>
      <c r="P233" s="1270">
        <f t="shared" si="16"/>
        <v>0</v>
      </c>
      <c r="Q233" s="1281"/>
    </row>
    <row r="234" spans="4:17" ht="18" customHeight="1">
      <c r="D234" s="1269">
        <v>2022</v>
      </c>
      <c r="E234" s="1270">
        <v>3</v>
      </c>
      <c r="F234" s="1270" t="s">
        <v>632</v>
      </c>
      <c r="G234" s="1270" t="s">
        <v>1179</v>
      </c>
      <c r="H234" s="1270" t="s">
        <v>1180</v>
      </c>
      <c r="I234" s="1270">
        <v>3</v>
      </c>
      <c r="J234" s="1270" t="s">
        <v>473</v>
      </c>
      <c r="K234" s="1270">
        <f>SUMIF(CF.1!$D:$D,'CFS(연간)'!G234,CF.1!$U:$U)</f>
        <v>0</v>
      </c>
      <c r="L234" s="1270">
        <f t="shared" si="17"/>
        <v>0</v>
      </c>
      <c r="M234" s="1271">
        <f t="shared" si="18"/>
        <v>0</v>
      </c>
      <c r="O234" s="1280"/>
      <c r="P234" s="1270">
        <f t="shared" si="16"/>
        <v>0</v>
      </c>
      <c r="Q234" s="1281"/>
    </row>
    <row r="235" spans="4:17" ht="18" customHeight="1">
      <c r="D235" s="1269">
        <v>2022</v>
      </c>
      <c r="E235" s="1270">
        <v>3</v>
      </c>
      <c r="F235" s="1270" t="s">
        <v>632</v>
      </c>
      <c r="G235" s="1270" t="s">
        <v>1181</v>
      </c>
      <c r="H235" s="1270" t="s">
        <v>1182</v>
      </c>
      <c r="I235" s="1270">
        <v>3</v>
      </c>
      <c r="J235" s="1270" t="s">
        <v>473</v>
      </c>
      <c r="K235" s="1270">
        <f>SUMIF(CF.1!$D:$D,'CFS(연간)'!G235,CF.1!$U:$U)</f>
        <v>0</v>
      </c>
      <c r="L235" s="1270">
        <f t="shared" si="17"/>
        <v>0</v>
      </c>
      <c r="M235" s="1271">
        <f t="shared" si="18"/>
        <v>0</v>
      </c>
      <c r="O235" s="1280"/>
      <c r="P235" s="1270">
        <f t="shared" si="16"/>
        <v>0</v>
      </c>
      <c r="Q235" s="1281"/>
    </row>
    <row r="236" spans="4:17" ht="18" customHeight="1">
      <c r="D236" s="1269">
        <v>2022</v>
      </c>
      <c r="E236" s="1270">
        <v>3</v>
      </c>
      <c r="F236" s="1270" t="s">
        <v>632</v>
      </c>
      <c r="G236" s="1270" t="s">
        <v>1183</v>
      </c>
      <c r="H236" s="1270" t="s">
        <v>1519</v>
      </c>
      <c r="I236" s="1270">
        <v>3</v>
      </c>
      <c r="J236" s="1270" t="s">
        <v>473</v>
      </c>
      <c r="K236" s="1270">
        <f>SUMIF(CF.1!$D:$D,'CFS(연간)'!G236,CF.1!$U:$U)</f>
        <v>-545226388</v>
      </c>
      <c r="L236" s="1270">
        <f t="shared" si="17"/>
        <v>-545226388</v>
      </c>
      <c r="M236" s="1271">
        <f t="shared" si="18"/>
        <v>0</v>
      </c>
      <c r="O236" s="1280"/>
      <c r="P236" s="1270">
        <f t="shared" si="16"/>
        <v>545226388</v>
      </c>
      <c r="Q236" s="1281"/>
    </row>
    <row r="237" spans="4:17" ht="18" customHeight="1">
      <c r="D237" s="1269">
        <v>2022</v>
      </c>
      <c r="E237" s="1270">
        <v>3</v>
      </c>
      <c r="F237" s="1270" t="s">
        <v>632</v>
      </c>
      <c r="G237" s="1270" t="s">
        <v>1184</v>
      </c>
      <c r="H237" s="1270" t="s">
        <v>1185</v>
      </c>
      <c r="I237" s="1270">
        <v>3</v>
      </c>
      <c r="J237" s="1270" t="s">
        <v>473</v>
      </c>
      <c r="K237" s="1270">
        <f>SUMIF(CF.1!$D:$D,'CFS(연간)'!G237,CF.1!$U:$U)</f>
        <v>0</v>
      </c>
      <c r="L237" s="1270">
        <f t="shared" si="17"/>
        <v>0</v>
      </c>
      <c r="M237" s="1271">
        <f t="shared" si="18"/>
        <v>0</v>
      </c>
      <c r="O237" s="1280"/>
      <c r="P237" s="1270">
        <f t="shared" si="16"/>
        <v>0</v>
      </c>
      <c r="Q237" s="1281"/>
    </row>
    <row r="238" spans="4:17" ht="18" customHeight="1">
      <c r="D238" s="1264">
        <v>2022</v>
      </c>
      <c r="E238" s="1259">
        <v>3</v>
      </c>
      <c r="F238" s="1259" t="s">
        <v>632</v>
      </c>
      <c r="G238" s="1259" t="s">
        <v>1186</v>
      </c>
      <c r="H238" s="1259" t="s">
        <v>1187</v>
      </c>
      <c r="I238" s="1259">
        <v>3</v>
      </c>
      <c r="J238" s="1259" t="s">
        <v>473</v>
      </c>
      <c r="K238" s="1259">
        <f>SUMIF(CF.1!$D:$D,'CFS(연간)'!G238,CF.1!$U:$U)</f>
        <v>0</v>
      </c>
      <c r="L238" s="1259">
        <f t="shared" si="17"/>
        <v>0</v>
      </c>
      <c r="M238" s="1265">
        <f t="shared" si="18"/>
        <v>0</v>
      </c>
      <c r="O238" s="1280"/>
      <c r="P238" s="1270">
        <f t="shared" si="16"/>
        <v>0</v>
      </c>
      <c r="Q238" s="1281"/>
    </row>
    <row r="239" spans="4:17" ht="18" customHeight="1">
      <c r="D239" s="1264">
        <v>2022</v>
      </c>
      <c r="E239" s="1259">
        <v>3</v>
      </c>
      <c r="F239" s="1259" t="s">
        <v>632</v>
      </c>
      <c r="G239" s="1259" t="s">
        <v>1188</v>
      </c>
      <c r="H239" s="1259" t="s">
        <v>1189</v>
      </c>
      <c r="I239" s="1259">
        <v>3</v>
      </c>
      <c r="J239" s="1259" t="s">
        <v>473</v>
      </c>
      <c r="K239" s="1259">
        <f>SUMIF(CF.1!$D:$D,'CFS(연간)'!G239,CF.1!$U:$U)</f>
        <v>-100069993</v>
      </c>
      <c r="L239" s="1259">
        <f t="shared" si="17"/>
        <v>-100069993</v>
      </c>
      <c r="M239" s="1265">
        <f t="shared" si="18"/>
        <v>0</v>
      </c>
      <c r="O239" s="1280"/>
      <c r="P239" s="1270">
        <f t="shared" si="16"/>
        <v>100069993</v>
      </c>
      <c r="Q239" s="1281"/>
    </row>
    <row r="240" spans="4:17" ht="18" customHeight="1">
      <c r="D240" s="1264">
        <v>2022</v>
      </c>
      <c r="E240" s="1259">
        <v>3</v>
      </c>
      <c r="F240" s="1259" t="s">
        <v>632</v>
      </c>
      <c r="G240" s="1259" t="s">
        <v>1190</v>
      </c>
      <c r="H240" s="1259" t="s">
        <v>1191</v>
      </c>
      <c r="I240" s="1259">
        <v>3</v>
      </c>
      <c r="J240" s="1259" t="s">
        <v>473</v>
      </c>
      <c r="K240" s="1259">
        <f>SUMIF(CF.1!$D:$D,'CFS(연간)'!G240,CF.1!$U:$U)</f>
        <v>0</v>
      </c>
      <c r="L240" s="1259">
        <f t="shared" si="17"/>
        <v>0</v>
      </c>
      <c r="M240" s="1265">
        <f t="shared" si="18"/>
        <v>0</v>
      </c>
      <c r="O240" s="1280"/>
      <c r="P240" s="1270">
        <f t="shared" si="16"/>
        <v>0</v>
      </c>
      <c r="Q240" s="1281"/>
    </row>
    <row r="241" spans="4:21" ht="18" customHeight="1">
      <c r="D241" s="1264">
        <v>2022</v>
      </c>
      <c r="E241" s="1259">
        <v>3</v>
      </c>
      <c r="F241" s="1259" t="s">
        <v>632</v>
      </c>
      <c r="G241" s="1259" t="s">
        <v>1192</v>
      </c>
      <c r="H241" s="1259" t="s">
        <v>1193</v>
      </c>
      <c r="I241" s="1259">
        <v>3</v>
      </c>
      <c r="J241" s="1259" t="s">
        <v>473</v>
      </c>
      <c r="K241" s="1259">
        <f>SUMIF(CF.1!$D:$D,'CFS(연간)'!G241,CF.1!$U:$U)</f>
        <v>-911571524</v>
      </c>
      <c r="L241" s="1259">
        <f t="shared" si="17"/>
        <v>-911571524</v>
      </c>
      <c r="M241" s="1265">
        <f t="shared" si="18"/>
        <v>0</v>
      </c>
      <c r="O241" s="1280"/>
      <c r="P241" s="1270">
        <f t="shared" si="16"/>
        <v>911571524</v>
      </c>
      <c r="Q241" s="1281"/>
    </row>
    <row r="242" spans="4:21" ht="18" customHeight="1">
      <c r="D242" s="1264">
        <v>2022</v>
      </c>
      <c r="E242" s="1259">
        <v>3</v>
      </c>
      <c r="F242" s="1259" t="s">
        <v>632</v>
      </c>
      <c r="G242" s="1259" t="s">
        <v>1194</v>
      </c>
      <c r="H242" s="1259" t="s">
        <v>1195</v>
      </c>
      <c r="I242" s="1259">
        <v>3</v>
      </c>
      <c r="J242" s="1259" t="s">
        <v>473</v>
      </c>
      <c r="K242" s="1259">
        <f>SUMIF(CF.1!$D:$D,'CFS(연간)'!G242,CF.1!$U:$U)</f>
        <v>0</v>
      </c>
      <c r="L242" s="1259">
        <f t="shared" si="17"/>
        <v>0</v>
      </c>
      <c r="M242" s="1265">
        <f t="shared" si="18"/>
        <v>0</v>
      </c>
      <c r="O242" s="1280"/>
      <c r="P242" s="1270">
        <f t="shared" si="16"/>
        <v>0</v>
      </c>
      <c r="Q242" s="1281"/>
    </row>
    <row r="243" spans="4:21" ht="18" customHeight="1">
      <c r="D243" s="1264">
        <v>2022</v>
      </c>
      <c r="E243" s="1259">
        <v>3</v>
      </c>
      <c r="F243" s="1259" t="s">
        <v>632</v>
      </c>
      <c r="G243" s="1259" t="s">
        <v>1196</v>
      </c>
      <c r="H243" s="1259" t="s">
        <v>1197</v>
      </c>
      <c r="I243" s="1259">
        <v>3</v>
      </c>
      <c r="J243" s="1259" t="s">
        <v>473</v>
      </c>
      <c r="K243" s="1259">
        <f>SUMIF(CF.1!$D:$D,'CFS(연간)'!G243,CF.1!$U:$U)</f>
        <v>0</v>
      </c>
      <c r="L243" s="1259">
        <f t="shared" si="17"/>
        <v>0</v>
      </c>
      <c r="M243" s="1265">
        <f t="shared" si="18"/>
        <v>0</v>
      </c>
      <c r="O243" s="1280"/>
      <c r="P243" s="1270">
        <f t="shared" si="16"/>
        <v>0</v>
      </c>
      <c r="Q243" s="1281"/>
      <c r="U243" s="498">
        <f>S246-T246</f>
        <v>28950000</v>
      </c>
    </row>
    <row r="244" spans="4:21" ht="18" customHeight="1">
      <c r="D244" s="1264">
        <v>2022</v>
      </c>
      <c r="E244" s="1259">
        <v>3</v>
      </c>
      <c r="F244" s="1259" t="s">
        <v>632</v>
      </c>
      <c r="G244" s="1259" t="s">
        <v>1198</v>
      </c>
      <c r="H244" s="1259" t="s">
        <v>1199</v>
      </c>
      <c r="I244" s="1259">
        <v>3</v>
      </c>
      <c r="J244" s="1259" t="s">
        <v>473</v>
      </c>
      <c r="K244" s="1259">
        <f>SUMIF(CF.1!$D:$D,'CFS(연간)'!G244,CF.1!$U:$U)</f>
        <v>0</v>
      </c>
      <c r="L244" s="1259">
        <f t="shared" si="17"/>
        <v>0</v>
      </c>
      <c r="M244" s="1265">
        <f t="shared" si="18"/>
        <v>0</v>
      </c>
      <c r="O244" s="1280"/>
      <c r="P244" s="1270">
        <f t="shared" si="16"/>
        <v>0</v>
      </c>
      <c r="Q244" s="1281"/>
      <c r="U244" s="498">
        <f>S247-T247</f>
        <v>452591957</v>
      </c>
    </row>
    <row r="245" spans="4:21" ht="18" customHeight="1">
      <c r="D245" s="1264">
        <v>2022</v>
      </c>
      <c r="E245" s="1259">
        <v>3</v>
      </c>
      <c r="F245" s="1259" t="s">
        <v>632</v>
      </c>
      <c r="G245" s="1259" t="s">
        <v>1200</v>
      </c>
      <c r="H245" s="1259" t="s">
        <v>1201</v>
      </c>
      <c r="I245" s="1259">
        <v>3</v>
      </c>
      <c r="J245" s="1259" t="s">
        <v>473</v>
      </c>
      <c r="K245" s="1259">
        <f>SUMIF(CF.1!$D:$D,'CFS(연간)'!G245,CF.1!$U:$U)</f>
        <v>-13893621</v>
      </c>
      <c r="L245" s="1259">
        <f t="shared" si="17"/>
        <v>-13893621</v>
      </c>
      <c r="M245" s="1265">
        <f t="shared" si="18"/>
        <v>0</v>
      </c>
      <c r="O245" s="1280"/>
      <c r="P245" s="1270">
        <f t="shared" si="16"/>
        <v>13893621</v>
      </c>
      <c r="Q245" s="1281"/>
    </row>
    <row r="246" spans="4:21" ht="18" customHeight="1">
      <c r="D246" s="1264">
        <v>2022</v>
      </c>
      <c r="E246" s="1259">
        <v>3</v>
      </c>
      <c r="F246" s="1259" t="s">
        <v>632</v>
      </c>
      <c r="G246" s="1259" t="s">
        <v>1202</v>
      </c>
      <c r="H246" s="1259" t="s">
        <v>1203</v>
      </c>
      <c r="I246" s="1259">
        <v>3</v>
      </c>
      <c r="J246" s="1259" t="s">
        <v>473</v>
      </c>
      <c r="K246" s="1259">
        <f>SUMIF(CF.1!$D:$D,'CFS(연간)'!G246,CF.1!$U:$U)</f>
        <v>0</v>
      </c>
      <c r="L246" s="1259">
        <f t="shared" si="17"/>
        <v>0</v>
      </c>
      <c r="M246" s="1265">
        <f t="shared" si="18"/>
        <v>0</v>
      </c>
      <c r="O246" s="1280"/>
      <c r="P246" s="1270">
        <f t="shared" si="16"/>
        <v>0</v>
      </c>
      <c r="Q246" s="1281"/>
      <c r="S246" s="498">
        <v>28950000</v>
      </c>
    </row>
    <row r="247" spans="4:21" ht="18" customHeight="1">
      <c r="D247" s="1264">
        <v>2022</v>
      </c>
      <c r="E247" s="1259">
        <v>3</v>
      </c>
      <c r="F247" s="1259" t="s">
        <v>632</v>
      </c>
      <c r="G247" s="1259" t="s">
        <v>1204</v>
      </c>
      <c r="H247" s="1259" t="s">
        <v>1205</v>
      </c>
      <c r="I247" s="1259">
        <v>3</v>
      </c>
      <c r="J247" s="1259" t="s">
        <v>473</v>
      </c>
      <c r="K247" s="1259">
        <f>SUMIF(CF.1!$D:$D,'CFS(연간)'!G247,CF.1!$U:$U)</f>
        <v>0</v>
      </c>
      <c r="L247" s="1259">
        <f t="shared" si="17"/>
        <v>0</v>
      </c>
      <c r="M247" s="1265">
        <f t="shared" si="18"/>
        <v>0</v>
      </c>
      <c r="O247" s="1280"/>
      <c r="P247" s="1270">
        <f t="shared" si="16"/>
        <v>0</v>
      </c>
      <c r="Q247" s="1281"/>
      <c r="S247" s="498">
        <v>378945107</v>
      </c>
      <c r="T247" s="498">
        <v>-73646850</v>
      </c>
      <c r="U247" s="498">
        <f>S250-T250</f>
        <v>6630726</v>
      </c>
    </row>
    <row r="248" spans="4:21" ht="18" customHeight="1">
      <c r="D248" s="1264">
        <v>2022</v>
      </c>
      <c r="E248" s="1259">
        <v>3</v>
      </c>
      <c r="F248" s="1259" t="s">
        <v>632</v>
      </c>
      <c r="G248" s="1259" t="s">
        <v>1206</v>
      </c>
      <c r="H248" s="1259" t="s">
        <v>1207</v>
      </c>
      <c r="I248" s="1259">
        <v>3</v>
      </c>
      <c r="J248" s="1259" t="s">
        <v>473</v>
      </c>
      <c r="K248" s="1259">
        <f>SUMIF(CF.1!$D:$D,'CFS(연간)'!G248,CF.1!$U:$U)</f>
        <v>0</v>
      </c>
      <c r="L248" s="1259">
        <f t="shared" si="17"/>
        <v>0</v>
      </c>
      <c r="M248" s="1265">
        <f t="shared" si="18"/>
        <v>0</v>
      </c>
      <c r="O248" s="1280"/>
      <c r="P248" s="1270">
        <f t="shared" si="16"/>
        <v>0</v>
      </c>
      <c r="Q248" s="1281"/>
    </row>
    <row r="249" spans="4:21" ht="18" customHeight="1">
      <c r="D249" s="1264">
        <v>2022</v>
      </c>
      <c r="E249" s="1259">
        <v>3</v>
      </c>
      <c r="F249" s="1259" t="s">
        <v>632</v>
      </c>
      <c r="G249" s="1259" t="s">
        <v>1208</v>
      </c>
      <c r="H249" s="1259" t="s">
        <v>1209</v>
      </c>
      <c r="I249" s="1259">
        <v>3</v>
      </c>
      <c r="J249" s="1259" t="s">
        <v>473</v>
      </c>
      <c r="K249" s="1259">
        <f>SUMIF(CF.1!$D:$D,'CFS(연간)'!G249,CF.1!$U:$U)</f>
        <v>-1332219515</v>
      </c>
      <c r="L249" s="1259">
        <f t="shared" si="17"/>
        <v>-1332219515</v>
      </c>
      <c r="M249" s="1265">
        <f t="shared" si="18"/>
        <v>0</v>
      </c>
      <c r="O249" s="1280"/>
      <c r="P249" s="1270">
        <f t="shared" si="16"/>
        <v>1332219515</v>
      </c>
      <c r="Q249" s="1281"/>
    </row>
    <row r="250" spans="4:21" ht="18" customHeight="1">
      <c r="D250" s="1264">
        <v>2022</v>
      </c>
      <c r="E250" s="1259">
        <v>3</v>
      </c>
      <c r="F250" s="1259" t="s">
        <v>632</v>
      </c>
      <c r="G250" s="1259" t="s">
        <v>1210</v>
      </c>
      <c r="H250" s="1259" t="s">
        <v>1211</v>
      </c>
      <c r="I250" s="1259">
        <v>3</v>
      </c>
      <c r="J250" s="1259" t="s">
        <v>473</v>
      </c>
      <c r="K250" s="1259">
        <f>SUMIF(CF.1!$D:$D,'CFS(연간)'!G250,CF.1!$U:$U)</f>
        <v>0</v>
      </c>
      <c r="L250" s="1259">
        <f t="shared" si="17"/>
        <v>0</v>
      </c>
      <c r="M250" s="1265">
        <f t="shared" si="18"/>
        <v>0</v>
      </c>
      <c r="O250" s="1280"/>
      <c r="P250" s="1270">
        <f t="shared" si="16"/>
        <v>0</v>
      </c>
      <c r="Q250" s="1281"/>
      <c r="S250" s="498">
        <v>6176726</v>
      </c>
      <c r="T250" s="498">
        <v>-454000</v>
      </c>
      <c r="U250" s="498">
        <f>S253-T253</f>
        <v>14468724</v>
      </c>
    </row>
    <row r="251" spans="4:21" ht="18" customHeight="1">
      <c r="D251" s="1264">
        <v>2022</v>
      </c>
      <c r="E251" s="1259">
        <v>3</v>
      </c>
      <c r="F251" s="1259" t="s">
        <v>632</v>
      </c>
      <c r="G251" s="1259" t="s">
        <v>1212</v>
      </c>
      <c r="H251" s="1259" t="s">
        <v>1213</v>
      </c>
      <c r="I251" s="1259">
        <v>3</v>
      </c>
      <c r="J251" s="1259" t="s">
        <v>473</v>
      </c>
      <c r="K251" s="1259">
        <f>SUMIF(CF.1!$D:$D,'CFS(연간)'!G251,CF.1!$U:$U)</f>
        <v>0</v>
      </c>
      <c r="L251" s="1259">
        <f t="shared" si="17"/>
        <v>0</v>
      </c>
      <c r="M251" s="1265">
        <f t="shared" si="18"/>
        <v>0</v>
      </c>
      <c r="O251" s="1280"/>
      <c r="P251" s="1270">
        <f t="shared" si="16"/>
        <v>0</v>
      </c>
      <c r="Q251" s="1281"/>
    </row>
    <row r="252" spans="4:21" ht="18" customHeight="1">
      <c r="D252" s="1264">
        <v>2022</v>
      </c>
      <c r="E252" s="1259">
        <v>3</v>
      </c>
      <c r="F252" s="1259" t="s">
        <v>632</v>
      </c>
      <c r="G252" s="1259" t="s">
        <v>1214</v>
      </c>
      <c r="H252" s="1259" t="s">
        <v>1520</v>
      </c>
      <c r="I252" s="1259">
        <v>3</v>
      </c>
      <c r="J252" s="1259" t="s">
        <v>473</v>
      </c>
      <c r="K252" s="1259">
        <f>SUMIF(CF.1!$D:$D,'CFS(연간)'!G252,CF.1!$U:$U)</f>
        <v>0</v>
      </c>
      <c r="L252" s="1259">
        <f t="shared" si="17"/>
        <v>0</v>
      </c>
      <c r="M252" s="1265">
        <f t="shared" si="18"/>
        <v>0</v>
      </c>
      <c r="O252" s="1280"/>
      <c r="P252" s="1270">
        <f t="shared" si="16"/>
        <v>0</v>
      </c>
      <c r="Q252" s="1281"/>
    </row>
    <row r="253" spans="4:21" ht="18" customHeight="1">
      <c r="D253" s="1264">
        <v>2022</v>
      </c>
      <c r="E253" s="1259">
        <v>3</v>
      </c>
      <c r="F253" s="1259" t="s">
        <v>632</v>
      </c>
      <c r="G253" s="1259" t="s">
        <v>1216</v>
      </c>
      <c r="H253" s="1259" t="s">
        <v>1217</v>
      </c>
      <c r="I253" s="1259">
        <v>3</v>
      </c>
      <c r="J253" s="1259" t="s">
        <v>473</v>
      </c>
      <c r="K253" s="1259">
        <f>SUMIF(CF.1!$D:$D,'CFS(연간)'!G253,CF.1!$U:$U)</f>
        <v>0</v>
      </c>
      <c r="L253" s="1259">
        <f t="shared" si="17"/>
        <v>0</v>
      </c>
      <c r="M253" s="1265">
        <f t="shared" si="18"/>
        <v>0</v>
      </c>
      <c r="O253" s="1280"/>
      <c r="P253" s="1270">
        <f t="shared" si="16"/>
        <v>0</v>
      </c>
      <c r="Q253" s="1281"/>
      <c r="S253" s="498">
        <v>27265144</v>
      </c>
      <c r="T253" s="498">
        <v>12796420</v>
      </c>
    </row>
    <row r="254" spans="4:21" ht="18" customHeight="1">
      <c r="D254" s="1264">
        <v>2022</v>
      </c>
      <c r="E254" s="1259">
        <v>3</v>
      </c>
      <c r="F254" s="1259" t="s">
        <v>632</v>
      </c>
      <c r="G254" s="1259" t="s">
        <v>1218</v>
      </c>
      <c r="H254" s="1259" t="s">
        <v>1219</v>
      </c>
      <c r="I254" s="1259">
        <v>3</v>
      </c>
      <c r="J254" s="1259" t="s">
        <v>473</v>
      </c>
      <c r="K254" s="1259">
        <f>SUMIF(CF.1!$D:$D,'CFS(연간)'!G254,CF.1!$U:$U)</f>
        <v>0</v>
      </c>
      <c r="L254" s="1259">
        <f t="shared" si="17"/>
        <v>0</v>
      </c>
      <c r="M254" s="1265">
        <f t="shared" si="18"/>
        <v>0</v>
      </c>
      <c r="O254" s="1280"/>
      <c r="P254" s="1270">
        <f t="shared" si="16"/>
        <v>0</v>
      </c>
      <c r="Q254" s="1281"/>
    </row>
    <row r="255" spans="4:21" ht="18" customHeight="1">
      <c r="D255" s="1264">
        <v>2022</v>
      </c>
      <c r="E255" s="1259">
        <v>3</v>
      </c>
      <c r="F255" s="1259" t="s">
        <v>632</v>
      </c>
      <c r="G255" s="1259" t="s">
        <v>1220</v>
      </c>
      <c r="H255" s="1259" t="s">
        <v>1221</v>
      </c>
      <c r="I255" s="1259">
        <v>3</v>
      </c>
      <c r="J255" s="1259" t="s">
        <v>473</v>
      </c>
      <c r="K255" s="1259">
        <f>SUMIF(CF.1!$D:$D,'CFS(연간)'!G255,CF.1!$U:$U)</f>
        <v>0</v>
      </c>
      <c r="L255" s="1259">
        <f t="shared" si="17"/>
        <v>0</v>
      </c>
      <c r="M255" s="1265">
        <f t="shared" si="18"/>
        <v>0</v>
      </c>
      <c r="O255" s="1280"/>
      <c r="P255" s="1270">
        <f t="shared" si="16"/>
        <v>0</v>
      </c>
      <c r="Q255" s="1281"/>
    </row>
    <row r="256" spans="4:21" ht="18" customHeight="1">
      <c r="D256" s="1264">
        <v>2022</v>
      </c>
      <c r="E256" s="1259">
        <v>3</v>
      </c>
      <c r="F256" s="1259" t="s">
        <v>632</v>
      </c>
      <c r="G256" s="1259" t="s">
        <v>1222</v>
      </c>
      <c r="H256" s="1259" t="s">
        <v>1223</v>
      </c>
      <c r="I256" s="1259">
        <v>3</v>
      </c>
      <c r="J256" s="1259" t="s">
        <v>473</v>
      </c>
      <c r="K256" s="1259">
        <f>SUMIF(CF.1!$D:$D,'CFS(연간)'!G256,CF.1!$U:$U)</f>
        <v>0</v>
      </c>
      <c r="L256" s="1259">
        <f t="shared" si="17"/>
        <v>0</v>
      </c>
      <c r="M256" s="1265">
        <f t="shared" si="18"/>
        <v>0</v>
      </c>
      <c r="O256" s="1280"/>
      <c r="P256" s="1270">
        <f t="shared" si="16"/>
        <v>0</v>
      </c>
      <c r="Q256" s="1281"/>
    </row>
    <row r="257" spans="4:17" ht="18" customHeight="1">
      <c r="D257" s="1264">
        <v>2022</v>
      </c>
      <c r="E257" s="1259">
        <v>3</v>
      </c>
      <c r="F257" s="1259" t="s">
        <v>632</v>
      </c>
      <c r="G257" s="1259" t="s">
        <v>1232</v>
      </c>
      <c r="H257" s="1259" t="s">
        <v>1233</v>
      </c>
      <c r="I257" s="1259">
        <v>3</v>
      </c>
      <c r="J257" s="1259" t="s">
        <v>473</v>
      </c>
      <c r="K257" s="1259">
        <f>SUMIF(CF.1!$D:$D,'CFS(연간)'!G257,CF.1!$U:$U)</f>
        <v>0</v>
      </c>
      <c r="L257" s="1259">
        <f t="shared" si="17"/>
        <v>0</v>
      </c>
      <c r="M257" s="1265">
        <f t="shared" si="18"/>
        <v>0</v>
      </c>
      <c r="O257" s="1280"/>
      <c r="P257" s="1270">
        <f t="shared" si="16"/>
        <v>0</v>
      </c>
      <c r="Q257" s="1281"/>
    </row>
    <row r="258" spans="4:17" ht="18" customHeight="1">
      <c r="D258" s="1266">
        <v>2022</v>
      </c>
      <c r="E258" s="1267">
        <v>3</v>
      </c>
      <c r="F258" s="1267" t="s">
        <v>632</v>
      </c>
      <c r="G258" s="1267" t="s">
        <v>1234</v>
      </c>
      <c r="H258" s="1267" t="s">
        <v>1235</v>
      </c>
      <c r="I258" s="1267">
        <v>1</v>
      </c>
      <c r="J258" s="1267" t="s">
        <v>473</v>
      </c>
      <c r="K258" s="1267">
        <f>K259+K280</f>
        <v>-2079841945</v>
      </c>
      <c r="L258" s="1267">
        <f>L259+L280</f>
        <v>-2079841945</v>
      </c>
      <c r="M258" s="1268">
        <f>M259+M280</f>
        <v>0</v>
      </c>
      <c r="O258" s="1280"/>
      <c r="P258" s="1270">
        <f t="shared" si="16"/>
        <v>2079841945</v>
      </c>
      <c r="Q258" s="1281"/>
    </row>
    <row r="259" spans="4:17" ht="18" customHeight="1">
      <c r="D259" s="1266">
        <v>2022</v>
      </c>
      <c r="E259" s="1267">
        <v>3</v>
      </c>
      <c r="F259" s="1267" t="s">
        <v>632</v>
      </c>
      <c r="G259" s="1267" t="s">
        <v>1236</v>
      </c>
      <c r="H259" s="1267" t="s">
        <v>1237</v>
      </c>
      <c r="I259" s="1267">
        <v>2</v>
      </c>
      <c r="J259" s="1267" t="s">
        <v>473</v>
      </c>
      <c r="K259" s="1267">
        <f>SUM(K260:K279)</f>
        <v>2468977</v>
      </c>
      <c r="L259" s="1267">
        <f>SUM(L260:L279)</f>
        <v>2468977</v>
      </c>
      <c r="M259" s="1268">
        <f>SUM(M260:M279)</f>
        <v>0</v>
      </c>
      <c r="O259" s="1280"/>
      <c r="P259" s="1270">
        <f t="shared" si="16"/>
        <v>-2468977</v>
      </c>
      <c r="Q259" s="1281"/>
    </row>
    <row r="260" spans="4:17" ht="18" customHeight="1">
      <c r="D260" s="1269">
        <v>2022</v>
      </c>
      <c r="E260" s="1270">
        <v>3</v>
      </c>
      <c r="F260" s="1270" t="s">
        <v>632</v>
      </c>
      <c r="G260" s="1270" t="s">
        <v>1238</v>
      </c>
      <c r="H260" s="1270" t="s">
        <v>1239</v>
      </c>
      <c r="I260" s="1270">
        <v>3</v>
      </c>
      <c r="J260" s="1270" t="s">
        <v>473</v>
      </c>
      <c r="K260" s="1270">
        <f>SUMIF(CF.1!$D:$D,'CFS(연간)'!G260,CF.1!$U:$U)</f>
        <v>0</v>
      </c>
      <c r="L260" s="1270">
        <f t="shared" ref="L260:L279" si="19">K260</f>
        <v>0</v>
      </c>
      <c r="M260" s="1271">
        <f t="shared" ref="M260:M279" si="20">L260-K260</f>
        <v>0</v>
      </c>
      <c r="N260" s="575"/>
      <c r="O260" s="1280"/>
      <c r="P260" s="1270">
        <f t="shared" si="16"/>
        <v>0</v>
      </c>
      <c r="Q260" s="1281"/>
    </row>
    <row r="261" spans="4:17" ht="18" customHeight="1">
      <c r="D261" s="1264">
        <v>2022</v>
      </c>
      <c r="E261" s="1259">
        <v>3</v>
      </c>
      <c r="F261" s="1259" t="s">
        <v>632</v>
      </c>
      <c r="G261" s="1259" t="s">
        <v>1240</v>
      </c>
      <c r="H261" s="1259" t="s">
        <v>1241</v>
      </c>
      <c r="I261" s="1259">
        <v>3</v>
      </c>
      <c r="J261" s="1259" t="s">
        <v>473</v>
      </c>
      <c r="K261" s="1259">
        <f>SUMIF(CF.1!$D:$D,'CFS(연간)'!G261,CF.1!$U:$U)</f>
        <v>0</v>
      </c>
      <c r="L261" s="1259">
        <f t="shared" si="19"/>
        <v>0</v>
      </c>
      <c r="M261" s="1265">
        <f t="shared" si="20"/>
        <v>0</v>
      </c>
      <c r="O261" s="1280"/>
      <c r="P261" s="1270">
        <f t="shared" si="16"/>
        <v>0</v>
      </c>
      <c r="Q261" s="1281"/>
    </row>
    <row r="262" spans="4:17" ht="18" customHeight="1">
      <c r="D262" s="1264">
        <v>2022</v>
      </c>
      <c r="E262" s="1259">
        <v>3</v>
      </c>
      <c r="F262" s="1259" t="s">
        <v>632</v>
      </c>
      <c r="G262" s="1259" t="s">
        <v>1242</v>
      </c>
      <c r="H262" s="1259" t="s">
        <v>1243</v>
      </c>
      <c r="I262" s="1259">
        <v>3</v>
      </c>
      <c r="J262" s="1259" t="s">
        <v>473</v>
      </c>
      <c r="K262" s="1259">
        <f>SUMIF(CF.1!$D:$D,'CFS(연간)'!G262,CF.1!$U:$U)</f>
        <v>0</v>
      </c>
      <c r="L262" s="1259">
        <f t="shared" si="19"/>
        <v>0</v>
      </c>
      <c r="M262" s="1265">
        <f t="shared" si="20"/>
        <v>0</v>
      </c>
      <c r="O262" s="1280"/>
      <c r="P262" s="1270">
        <f t="shared" si="16"/>
        <v>0</v>
      </c>
      <c r="Q262" s="1281"/>
    </row>
    <row r="263" spans="4:17" ht="18" customHeight="1">
      <c r="D263" s="1264">
        <v>2022</v>
      </c>
      <c r="E263" s="1259">
        <v>3</v>
      </c>
      <c r="F263" s="1259" t="s">
        <v>632</v>
      </c>
      <c r="G263" s="1259" t="s">
        <v>1244</v>
      </c>
      <c r="H263" s="1259" t="s">
        <v>1245</v>
      </c>
      <c r="I263" s="1259">
        <v>3</v>
      </c>
      <c r="J263" s="1259" t="s">
        <v>473</v>
      </c>
      <c r="K263" s="1259">
        <f>SUMIF(CF.1!$D:$D,'CFS(연간)'!G263,CF.1!$U:$U)</f>
        <v>0</v>
      </c>
      <c r="L263" s="1259">
        <f t="shared" si="19"/>
        <v>0</v>
      </c>
      <c r="M263" s="1265">
        <f t="shared" si="20"/>
        <v>0</v>
      </c>
      <c r="O263" s="1280"/>
      <c r="P263" s="1270">
        <f t="shared" ref="P263:P314" si="21">O263-L263</f>
        <v>0</v>
      </c>
      <c r="Q263" s="1281"/>
    </row>
    <row r="264" spans="4:17" ht="18" customHeight="1">
      <c r="D264" s="1264">
        <v>2022</v>
      </c>
      <c r="E264" s="1259">
        <v>3</v>
      </c>
      <c r="F264" s="1259" t="s">
        <v>632</v>
      </c>
      <c r="G264" s="1259" t="s">
        <v>1246</v>
      </c>
      <c r="H264" s="1259" t="s">
        <v>1247</v>
      </c>
      <c r="I264" s="1259">
        <v>3</v>
      </c>
      <c r="J264" s="1259" t="s">
        <v>473</v>
      </c>
      <c r="K264" s="1259">
        <f>SUMIF(CF.1!$D:$D,'CFS(연간)'!G264,CF.1!$U:$U)</f>
        <v>0</v>
      </c>
      <c r="L264" s="1259">
        <f t="shared" si="19"/>
        <v>0</v>
      </c>
      <c r="M264" s="1265">
        <f t="shared" si="20"/>
        <v>0</v>
      </c>
      <c r="O264" s="1258"/>
      <c r="P264" s="1259">
        <f t="shared" si="21"/>
        <v>0</v>
      </c>
      <c r="Q264" s="1260"/>
    </row>
    <row r="265" spans="4:17" ht="18" customHeight="1">
      <c r="D265" s="1264">
        <v>2022</v>
      </c>
      <c r="E265" s="1259">
        <v>3</v>
      </c>
      <c r="F265" s="1259" t="s">
        <v>632</v>
      </c>
      <c r="G265" s="1259" t="s">
        <v>1248</v>
      </c>
      <c r="H265" s="1259" t="s">
        <v>1249</v>
      </c>
      <c r="I265" s="1259">
        <v>3</v>
      </c>
      <c r="J265" s="1259" t="s">
        <v>473</v>
      </c>
      <c r="K265" s="1259">
        <f>SUMIF(CF.1!$D:$D,'CFS(연간)'!G265,CF.1!$U:$U)</f>
        <v>0</v>
      </c>
      <c r="L265" s="1259">
        <f t="shared" si="19"/>
        <v>0</v>
      </c>
      <c r="M265" s="1265">
        <f t="shared" si="20"/>
        <v>0</v>
      </c>
      <c r="O265" s="1258"/>
      <c r="P265" s="1259">
        <f t="shared" si="21"/>
        <v>0</v>
      </c>
      <c r="Q265" s="1260"/>
    </row>
    <row r="266" spans="4:17" ht="18" customHeight="1">
      <c r="D266" s="1264">
        <v>2022</v>
      </c>
      <c r="E266" s="1259">
        <v>3</v>
      </c>
      <c r="F266" s="1259" t="s">
        <v>632</v>
      </c>
      <c r="G266" s="1259" t="s">
        <v>1250</v>
      </c>
      <c r="H266" s="1259" t="s">
        <v>1251</v>
      </c>
      <c r="I266" s="1259">
        <v>3</v>
      </c>
      <c r="J266" s="1259" t="s">
        <v>473</v>
      </c>
      <c r="K266" s="1259">
        <f>SUMIF(CF.1!$D:$D,'CFS(연간)'!G266,CF.1!$U:$U)</f>
        <v>0</v>
      </c>
      <c r="L266" s="1259">
        <f t="shared" si="19"/>
        <v>0</v>
      </c>
      <c r="M266" s="1265">
        <f t="shared" si="20"/>
        <v>0</v>
      </c>
      <c r="O266" s="1258"/>
      <c r="P266" s="1259">
        <f t="shared" si="21"/>
        <v>0</v>
      </c>
      <c r="Q266" s="1260"/>
    </row>
    <row r="267" spans="4:17" ht="18" customHeight="1">
      <c r="D267" s="1264">
        <v>2022</v>
      </c>
      <c r="E267" s="1259">
        <v>3</v>
      </c>
      <c r="F267" s="1259" t="s">
        <v>632</v>
      </c>
      <c r="G267" s="1259" t="s">
        <v>1252</v>
      </c>
      <c r="H267" s="1259" t="s">
        <v>1253</v>
      </c>
      <c r="I267" s="1259">
        <v>3</v>
      </c>
      <c r="J267" s="1259" t="s">
        <v>473</v>
      </c>
      <c r="K267" s="1259">
        <f>SUMIF(CF.1!$D:$D,'CFS(연간)'!G267,CF.1!$U:$U)</f>
        <v>0</v>
      </c>
      <c r="L267" s="1259">
        <f t="shared" si="19"/>
        <v>0</v>
      </c>
      <c r="M267" s="1265">
        <f t="shared" si="20"/>
        <v>0</v>
      </c>
      <c r="O267" s="1258"/>
      <c r="P267" s="1259">
        <f t="shared" si="21"/>
        <v>0</v>
      </c>
      <c r="Q267" s="1260"/>
    </row>
    <row r="268" spans="4:17" ht="18" customHeight="1">
      <c r="D268" s="1264">
        <v>2022</v>
      </c>
      <c r="E268" s="1259">
        <v>3</v>
      </c>
      <c r="F268" s="1259" t="s">
        <v>632</v>
      </c>
      <c r="G268" s="1259" t="s">
        <v>1254</v>
      </c>
      <c r="H268" s="1259" t="s">
        <v>1255</v>
      </c>
      <c r="I268" s="1259">
        <v>3</v>
      </c>
      <c r="J268" s="1259" t="s">
        <v>473</v>
      </c>
      <c r="K268" s="1259">
        <f>SUMIF(CF.1!$D:$D,'CFS(연간)'!G268,CF.1!$U:$U)</f>
        <v>0</v>
      </c>
      <c r="L268" s="1259">
        <f t="shared" si="19"/>
        <v>0</v>
      </c>
      <c r="M268" s="1265">
        <f t="shared" si="20"/>
        <v>0</v>
      </c>
      <c r="O268" s="1258"/>
      <c r="P268" s="1259">
        <f t="shared" si="21"/>
        <v>0</v>
      </c>
      <c r="Q268" s="1260"/>
    </row>
    <row r="269" spans="4:17" ht="18" customHeight="1">
      <c r="D269" s="1264">
        <v>2022</v>
      </c>
      <c r="E269" s="1259">
        <v>3</v>
      </c>
      <c r="F269" s="1259" t="s">
        <v>632</v>
      </c>
      <c r="G269" s="1259" t="s">
        <v>1256</v>
      </c>
      <c r="H269" s="1259" t="s">
        <v>1031</v>
      </c>
      <c r="I269" s="1259">
        <v>3</v>
      </c>
      <c r="J269" s="1259" t="s">
        <v>473</v>
      </c>
      <c r="K269" s="1259">
        <f>SUMIF(CF.1!$D:$D,'CFS(연간)'!G269,CF.1!$U:$U)</f>
        <v>0</v>
      </c>
      <c r="L269" s="1259">
        <f t="shared" si="19"/>
        <v>0</v>
      </c>
      <c r="M269" s="1265">
        <f t="shared" si="20"/>
        <v>0</v>
      </c>
      <c r="O269" s="1258"/>
      <c r="P269" s="1259">
        <f t="shared" si="21"/>
        <v>0</v>
      </c>
      <c r="Q269" s="1260"/>
    </row>
    <row r="270" spans="4:17" ht="18" customHeight="1">
      <c r="D270" s="1264">
        <v>2022</v>
      </c>
      <c r="E270" s="1259">
        <v>3</v>
      </c>
      <c r="F270" s="1259" t="s">
        <v>632</v>
      </c>
      <c r="G270" s="1259" t="s">
        <v>1257</v>
      </c>
      <c r="H270" s="1259" t="s">
        <v>1033</v>
      </c>
      <c r="I270" s="1259">
        <v>3</v>
      </c>
      <c r="J270" s="1259" t="s">
        <v>473</v>
      </c>
      <c r="K270" s="1259">
        <f>SUMIF(CF.1!$D:$D,'CFS(연간)'!G270,CF.1!$U:$U)</f>
        <v>0</v>
      </c>
      <c r="L270" s="1259">
        <f t="shared" si="19"/>
        <v>0</v>
      </c>
      <c r="M270" s="1265">
        <f t="shared" si="20"/>
        <v>0</v>
      </c>
      <c r="O270" s="1258"/>
      <c r="P270" s="1259">
        <f t="shared" si="21"/>
        <v>0</v>
      </c>
      <c r="Q270" s="1260"/>
    </row>
    <row r="271" spans="4:17" ht="18" customHeight="1">
      <c r="D271" s="1264">
        <v>2022</v>
      </c>
      <c r="E271" s="1259">
        <v>3</v>
      </c>
      <c r="F271" s="1259" t="s">
        <v>632</v>
      </c>
      <c r="G271" s="1259" t="s">
        <v>1258</v>
      </c>
      <c r="H271" s="1259" t="s">
        <v>1259</v>
      </c>
      <c r="I271" s="1259">
        <v>3</v>
      </c>
      <c r="J271" s="1259" t="s">
        <v>473</v>
      </c>
      <c r="K271" s="1259">
        <f>SUMIF(CF.1!$D:$D,'CFS(연간)'!G271,CF.1!$U:$U)</f>
        <v>2468977</v>
      </c>
      <c r="L271" s="1259">
        <f t="shared" si="19"/>
        <v>2468977</v>
      </c>
      <c r="M271" s="1265">
        <f t="shared" si="20"/>
        <v>0</v>
      </c>
      <c r="O271" s="1258"/>
      <c r="P271" s="1259">
        <f t="shared" si="21"/>
        <v>-2468977</v>
      </c>
      <c r="Q271" s="1260"/>
    </row>
    <row r="272" spans="4:17" ht="18" customHeight="1">
      <c r="D272" s="1264">
        <v>2022</v>
      </c>
      <c r="E272" s="1259">
        <v>3</v>
      </c>
      <c r="F272" s="1259" t="s">
        <v>632</v>
      </c>
      <c r="G272" s="1259" t="s">
        <v>1260</v>
      </c>
      <c r="H272" s="1259" t="s">
        <v>1261</v>
      </c>
      <c r="I272" s="1259">
        <v>3</v>
      </c>
      <c r="J272" s="1259" t="s">
        <v>473</v>
      </c>
      <c r="K272" s="1259">
        <f>SUMIF(CF.1!$D:$D,'CFS(연간)'!G272,CF.1!$U:$U)</f>
        <v>0</v>
      </c>
      <c r="L272" s="1259">
        <f t="shared" si="19"/>
        <v>0</v>
      </c>
      <c r="M272" s="1265">
        <f t="shared" si="20"/>
        <v>0</v>
      </c>
      <c r="O272" s="1258"/>
      <c r="P272" s="1259">
        <f t="shared" si="21"/>
        <v>0</v>
      </c>
      <c r="Q272" s="1260"/>
    </row>
    <row r="273" spans="4:17" ht="18" customHeight="1">
      <c r="D273" s="1264">
        <v>2022</v>
      </c>
      <c r="E273" s="1259">
        <v>3</v>
      </c>
      <c r="F273" s="1259" t="s">
        <v>632</v>
      </c>
      <c r="G273" s="1259" t="s">
        <v>1262</v>
      </c>
      <c r="H273" s="1259" t="s">
        <v>1263</v>
      </c>
      <c r="I273" s="1259">
        <v>3</v>
      </c>
      <c r="J273" s="1259" t="s">
        <v>473</v>
      </c>
      <c r="K273" s="1259">
        <f>SUMIF(CF.1!$D:$D,'CFS(연간)'!G273,CF.1!$U:$U)</f>
        <v>0</v>
      </c>
      <c r="L273" s="1259">
        <f t="shared" si="19"/>
        <v>0</v>
      </c>
      <c r="M273" s="1265">
        <f t="shared" si="20"/>
        <v>0</v>
      </c>
      <c r="O273" s="1258"/>
      <c r="P273" s="1259">
        <f t="shared" si="21"/>
        <v>0</v>
      </c>
      <c r="Q273" s="1260"/>
    </row>
    <row r="274" spans="4:17" ht="18" customHeight="1">
      <c r="D274" s="1264">
        <v>2022</v>
      </c>
      <c r="E274" s="1259">
        <v>3</v>
      </c>
      <c r="F274" s="1259" t="s">
        <v>632</v>
      </c>
      <c r="G274" s="1259" t="s">
        <v>1264</v>
      </c>
      <c r="H274" s="1259" t="s">
        <v>1265</v>
      </c>
      <c r="I274" s="1259">
        <v>3</v>
      </c>
      <c r="J274" s="1259" t="s">
        <v>473</v>
      </c>
      <c r="K274" s="1259">
        <f>SUMIF(CF.1!$D:$D,'CFS(연간)'!G274,CF.1!$U:$U)</f>
        <v>0</v>
      </c>
      <c r="L274" s="1259">
        <f t="shared" si="19"/>
        <v>0</v>
      </c>
      <c r="M274" s="1265">
        <f t="shared" si="20"/>
        <v>0</v>
      </c>
      <c r="O274" s="1258"/>
      <c r="P274" s="1259">
        <f t="shared" si="21"/>
        <v>0</v>
      </c>
      <c r="Q274" s="1260"/>
    </row>
    <row r="275" spans="4:17" ht="18" customHeight="1">
      <c r="D275" s="1264">
        <v>2022</v>
      </c>
      <c r="E275" s="1259">
        <v>3</v>
      </c>
      <c r="F275" s="1259" t="s">
        <v>632</v>
      </c>
      <c r="G275" s="1259" t="s">
        <v>1266</v>
      </c>
      <c r="H275" s="1259" t="s">
        <v>1267</v>
      </c>
      <c r="I275" s="1259">
        <v>3</v>
      </c>
      <c r="J275" s="1259" t="s">
        <v>473</v>
      </c>
      <c r="K275" s="1259">
        <f>SUMIF(CF.1!$D:$D,'CFS(연간)'!G275,CF.1!$U:$U)</f>
        <v>0</v>
      </c>
      <c r="L275" s="1259">
        <f t="shared" si="19"/>
        <v>0</v>
      </c>
      <c r="M275" s="1265">
        <f t="shared" si="20"/>
        <v>0</v>
      </c>
      <c r="O275" s="1258"/>
      <c r="P275" s="1259">
        <f t="shared" si="21"/>
        <v>0</v>
      </c>
      <c r="Q275" s="1260"/>
    </row>
    <row r="276" spans="4:17" ht="18" customHeight="1">
      <c r="D276" s="1264">
        <v>2022</v>
      </c>
      <c r="E276" s="1259">
        <v>3</v>
      </c>
      <c r="F276" s="1259" t="s">
        <v>632</v>
      </c>
      <c r="G276" s="1259" t="s">
        <v>1268</v>
      </c>
      <c r="H276" s="1259" t="s">
        <v>1269</v>
      </c>
      <c r="I276" s="1259">
        <v>3</v>
      </c>
      <c r="J276" s="1259" t="s">
        <v>473</v>
      </c>
      <c r="K276" s="1259">
        <f>SUMIF(CF.1!$D:$D,'CFS(연간)'!G276,CF.1!$U:$U)</f>
        <v>0</v>
      </c>
      <c r="L276" s="1259">
        <f t="shared" si="19"/>
        <v>0</v>
      </c>
      <c r="M276" s="1265">
        <f t="shared" si="20"/>
        <v>0</v>
      </c>
      <c r="O276" s="1258"/>
      <c r="P276" s="1259">
        <f t="shared" si="21"/>
        <v>0</v>
      </c>
      <c r="Q276" s="1260"/>
    </row>
    <row r="277" spans="4:17" ht="18" customHeight="1">
      <c r="D277" s="1264">
        <v>2022</v>
      </c>
      <c r="E277" s="1259">
        <v>3</v>
      </c>
      <c r="F277" s="1259" t="s">
        <v>632</v>
      </c>
      <c r="G277" s="1259" t="s">
        <v>1270</v>
      </c>
      <c r="H277" s="1259" t="s">
        <v>1271</v>
      </c>
      <c r="I277" s="1259">
        <v>3</v>
      </c>
      <c r="J277" s="1259" t="s">
        <v>473</v>
      </c>
      <c r="K277" s="1259">
        <f>SUMIF(CF.1!$D:$D,'CFS(연간)'!G277,CF.1!$U:$U)</f>
        <v>0</v>
      </c>
      <c r="L277" s="1259">
        <f t="shared" si="19"/>
        <v>0</v>
      </c>
      <c r="M277" s="1265">
        <f t="shared" si="20"/>
        <v>0</v>
      </c>
      <c r="O277" s="1258"/>
      <c r="P277" s="1259">
        <f t="shared" si="21"/>
        <v>0</v>
      </c>
      <c r="Q277" s="1260"/>
    </row>
    <row r="278" spans="4:17" ht="18" customHeight="1">
      <c r="D278" s="1264">
        <v>2022</v>
      </c>
      <c r="E278" s="1259">
        <v>3</v>
      </c>
      <c r="F278" s="1259" t="s">
        <v>632</v>
      </c>
      <c r="G278" s="1259" t="s">
        <v>1521</v>
      </c>
      <c r="H278" s="1259" t="s">
        <v>1522</v>
      </c>
      <c r="I278" s="1259">
        <v>3</v>
      </c>
      <c r="J278" s="1259" t="s">
        <v>473</v>
      </c>
      <c r="K278" s="1259">
        <f>SUMIF(CF.1!$D:$D,'CFS(연간)'!G278,CF.1!$U:$U)</f>
        <v>0</v>
      </c>
      <c r="L278" s="1259">
        <f t="shared" si="19"/>
        <v>0</v>
      </c>
      <c r="M278" s="1265">
        <f t="shared" si="20"/>
        <v>0</v>
      </c>
      <c r="O278" s="1258"/>
      <c r="P278" s="1259">
        <f t="shared" si="21"/>
        <v>0</v>
      </c>
      <c r="Q278" s="1260"/>
    </row>
    <row r="279" spans="4:17" ht="18" customHeight="1">
      <c r="D279" s="1264">
        <v>2022</v>
      </c>
      <c r="E279" s="1259">
        <v>3</v>
      </c>
      <c r="F279" s="1259" t="s">
        <v>632</v>
      </c>
      <c r="G279" s="1259" t="s">
        <v>1276</v>
      </c>
      <c r="H279" s="1259" t="s">
        <v>1277</v>
      </c>
      <c r="I279" s="1259">
        <v>3</v>
      </c>
      <c r="J279" s="1259" t="s">
        <v>473</v>
      </c>
      <c r="K279" s="1259">
        <f>SUMIF(CF.1!$D:$D,'CFS(연간)'!G279,CF.1!$U:$U)</f>
        <v>0</v>
      </c>
      <c r="L279" s="1259">
        <f t="shared" si="19"/>
        <v>0</v>
      </c>
      <c r="M279" s="1265">
        <f t="shared" si="20"/>
        <v>0</v>
      </c>
      <c r="O279" s="1258"/>
      <c r="P279" s="1259">
        <f t="shared" si="21"/>
        <v>0</v>
      </c>
      <c r="Q279" s="1260"/>
    </row>
    <row r="280" spans="4:17" ht="18" customHeight="1">
      <c r="D280" s="1266">
        <v>2022</v>
      </c>
      <c r="E280" s="1267">
        <v>3</v>
      </c>
      <c r="F280" s="1267" t="s">
        <v>632</v>
      </c>
      <c r="G280" s="1267" t="s">
        <v>1278</v>
      </c>
      <c r="H280" s="1267" t="s">
        <v>1279</v>
      </c>
      <c r="I280" s="1267">
        <v>2</v>
      </c>
      <c r="J280" s="1267" t="s">
        <v>473</v>
      </c>
      <c r="K280" s="1267">
        <f>SUM(K281:K298)</f>
        <v>-2082310922</v>
      </c>
      <c r="L280" s="1267">
        <f>SUM(L281:L298)</f>
        <v>-2082310922</v>
      </c>
      <c r="M280" s="1268">
        <f>SUM(M281:M298)</f>
        <v>0</v>
      </c>
      <c r="O280" s="1258"/>
      <c r="P280" s="1259">
        <f t="shared" si="21"/>
        <v>2082310922</v>
      </c>
      <c r="Q280" s="1260"/>
    </row>
    <row r="281" spans="4:17" ht="18" customHeight="1">
      <c r="D281" s="1264">
        <v>2022</v>
      </c>
      <c r="E281" s="1259">
        <v>3</v>
      </c>
      <c r="F281" s="1259" t="s">
        <v>632</v>
      </c>
      <c r="G281" s="1259" t="s">
        <v>1280</v>
      </c>
      <c r="H281" s="1259" t="s">
        <v>1281</v>
      </c>
      <c r="I281" s="1259">
        <v>3</v>
      </c>
      <c r="J281" s="1259" t="s">
        <v>473</v>
      </c>
      <c r="K281" s="1259">
        <f>SUMIF(CF.1!$D:$D,'CFS(연간)'!G281,CF.1!$U:$U)</f>
        <v>0</v>
      </c>
      <c r="L281" s="1259">
        <f t="shared" ref="L281:L298" si="22">K281</f>
        <v>0</v>
      </c>
      <c r="M281" s="1265">
        <f t="shared" ref="M281:M301" si="23">L281-K281</f>
        <v>0</v>
      </c>
      <c r="O281" s="1258"/>
      <c r="P281" s="1259">
        <f t="shared" si="21"/>
        <v>0</v>
      </c>
      <c r="Q281" s="1260"/>
    </row>
    <row r="282" spans="4:17" ht="18" customHeight="1">
      <c r="D282" s="1264">
        <v>2022</v>
      </c>
      <c r="E282" s="1259">
        <v>3</v>
      </c>
      <c r="F282" s="1259" t="s">
        <v>632</v>
      </c>
      <c r="G282" s="1259" t="s">
        <v>1282</v>
      </c>
      <c r="H282" s="1259" t="s">
        <v>1283</v>
      </c>
      <c r="I282" s="1259">
        <v>3</v>
      </c>
      <c r="J282" s="1259" t="s">
        <v>473</v>
      </c>
      <c r="K282" s="1259">
        <f>SUMIF(CF.1!$D:$D,'CFS(연간)'!G282,CF.1!$U:$U)</f>
        <v>0</v>
      </c>
      <c r="L282" s="1259">
        <f t="shared" si="22"/>
        <v>0</v>
      </c>
      <c r="M282" s="1265">
        <f t="shared" si="23"/>
        <v>0</v>
      </c>
      <c r="O282" s="1258"/>
      <c r="P282" s="1259">
        <f t="shared" si="21"/>
        <v>0</v>
      </c>
      <c r="Q282" s="1260"/>
    </row>
    <row r="283" spans="4:17" ht="18" customHeight="1">
      <c r="D283" s="1264">
        <v>2022</v>
      </c>
      <c r="E283" s="1259">
        <v>3</v>
      </c>
      <c r="F283" s="1259" t="s">
        <v>632</v>
      </c>
      <c r="G283" s="1259" t="s">
        <v>1284</v>
      </c>
      <c r="H283" s="1259" t="s">
        <v>1285</v>
      </c>
      <c r="I283" s="1259">
        <v>3</v>
      </c>
      <c r="J283" s="1259" t="s">
        <v>473</v>
      </c>
      <c r="K283" s="1259">
        <f>SUMIF(CF.1!$D:$D,'CFS(연간)'!G283,CF.1!$U:$U)</f>
        <v>0</v>
      </c>
      <c r="L283" s="1259">
        <f t="shared" si="22"/>
        <v>0</v>
      </c>
      <c r="M283" s="1265">
        <f t="shared" si="23"/>
        <v>0</v>
      </c>
      <c r="O283" s="1258"/>
      <c r="P283" s="1259">
        <f t="shared" si="21"/>
        <v>0</v>
      </c>
      <c r="Q283" s="1260"/>
    </row>
    <row r="284" spans="4:17" ht="18" customHeight="1">
      <c r="D284" s="1264">
        <v>2022</v>
      </c>
      <c r="E284" s="1259">
        <v>3</v>
      </c>
      <c r="F284" s="1259" t="s">
        <v>632</v>
      </c>
      <c r="G284" s="1259" t="s">
        <v>1286</v>
      </c>
      <c r="H284" s="1259" t="s">
        <v>1287</v>
      </c>
      <c r="I284" s="1259">
        <v>3</v>
      </c>
      <c r="J284" s="1259" t="s">
        <v>473</v>
      </c>
      <c r="K284" s="1259">
        <f>SUMIF(CF.1!$D:$D,'CFS(연간)'!G284,CF.1!$U:$U)</f>
        <v>0</v>
      </c>
      <c r="L284" s="1259">
        <f t="shared" si="22"/>
        <v>0</v>
      </c>
      <c r="M284" s="1265">
        <f t="shared" si="23"/>
        <v>0</v>
      </c>
      <c r="O284" s="1258"/>
      <c r="P284" s="1259">
        <f t="shared" si="21"/>
        <v>0</v>
      </c>
      <c r="Q284" s="1260"/>
    </row>
    <row r="285" spans="4:17" ht="18" customHeight="1">
      <c r="D285" s="1264">
        <v>2022</v>
      </c>
      <c r="E285" s="1259">
        <v>3</v>
      </c>
      <c r="F285" s="1259" t="s">
        <v>632</v>
      </c>
      <c r="G285" s="1259" t="s">
        <v>1288</v>
      </c>
      <c r="H285" s="1259" t="s">
        <v>1289</v>
      </c>
      <c r="I285" s="1259">
        <v>3</v>
      </c>
      <c r="J285" s="1259" t="s">
        <v>473</v>
      </c>
      <c r="K285" s="1259">
        <f>SUMIF(CF.1!$D:$D,'CFS(연간)'!G285,CF.1!$U:$U)</f>
        <v>0</v>
      </c>
      <c r="L285" s="1259">
        <f t="shared" si="22"/>
        <v>0</v>
      </c>
      <c r="M285" s="1265">
        <f t="shared" si="23"/>
        <v>0</v>
      </c>
      <c r="O285" s="1258"/>
      <c r="P285" s="1259">
        <f t="shared" si="21"/>
        <v>0</v>
      </c>
      <c r="Q285" s="1260"/>
    </row>
    <row r="286" spans="4:17" ht="18" customHeight="1">
      <c r="D286" s="1264">
        <v>2022</v>
      </c>
      <c r="E286" s="1259">
        <v>3</v>
      </c>
      <c r="F286" s="1259" t="s">
        <v>632</v>
      </c>
      <c r="G286" s="1259" t="s">
        <v>1290</v>
      </c>
      <c r="H286" s="1259" t="s">
        <v>1291</v>
      </c>
      <c r="I286" s="1259">
        <v>3</v>
      </c>
      <c r="J286" s="1259" t="s">
        <v>473</v>
      </c>
      <c r="K286" s="1259">
        <f>SUMIF(CF.1!$D:$D,'CFS(연간)'!G286,CF.1!$U:$U)</f>
        <v>0</v>
      </c>
      <c r="L286" s="1259">
        <f t="shared" si="22"/>
        <v>0</v>
      </c>
      <c r="M286" s="1265">
        <f t="shared" si="23"/>
        <v>0</v>
      </c>
      <c r="O286" s="1258"/>
      <c r="P286" s="1259">
        <f t="shared" si="21"/>
        <v>0</v>
      </c>
      <c r="Q286" s="1260"/>
    </row>
    <row r="287" spans="4:17" ht="18" customHeight="1">
      <c r="D287" s="1264">
        <v>2022</v>
      </c>
      <c r="E287" s="1259">
        <v>3</v>
      </c>
      <c r="F287" s="1259" t="s">
        <v>632</v>
      </c>
      <c r="G287" s="1259" t="s">
        <v>1292</v>
      </c>
      <c r="H287" s="1259" t="s">
        <v>1140</v>
      </c>
      <c r="I287" s="1259">
        <v>3</v>
      </c>
      <c r="J287" s="1259" t="s">
        <v>473</v>
      </c>
      <c r="K287" s="1259">
        <f>SUMIF(CF.1!$D:$D,'CFS(연간)'!G287,CF.1!$U:$U)</f>
        <v>0</v>
      </c>
      <c r="L287" s="1259">
        <f t="shared" si="22"/>
        <v>0</v>
      </c>
      <c r="M287" s="1265">
        <f t="shared" si="23"/>
        <v>0</v>
      </c>
      <c r="O287" s="1258"/>
      <c r="P287" s="1259">
        <f t="shared" si="21"/>
        <v>0</v>
      </c>
      <c r="Q287" s="1260"/>
    </row>
    <row r="288" spans="4:17" ht="18" customHeight="1">
      <c r="D288" s="1264">
        <v>2022</v>
      </c>
      <c r="E288" s="1259">
        <v>3</v>
      </c>
      <c r="F288" s="1259" t="s">
        <v>632</v>
      </c>
      <c r="G288" s="1259" t="s">
        <v>1293</v>
      </c>
      <c r="H288" s="1259" t="s">
        <v>1142</v>
      </c>
      <c r="I288" s="1259">
        <v>3</v>
      </c>
      <c r="J288" s="1259" t="s">
        <v>473</v>
      </c>
      <c r="K288" s="1259">
        <f>SUMIF(CF.1!$D:$D,'CFS(연간)'!G288,CF.1!$U:$U)</f>
        <v>0</v>
      </c>
      <c r="L288" s="1259">
        <f t="shared" si="22"/>
        <v>0</v>
      </c>
      <c r="M288" s="1265">
        <f t="shared" si="23"/>
        <v>0</v>
      </c>
      <c r="O288" s="1258"/>
      <c r="P288" s="1259">
        <f t="shared" si="21"/>
        <v>0</v>
      </c>
      <c r="Q288" s="1260"/>
    </row>
    <row r="289" spans="4:17" ht="18" customHeight="1">
      <c r="D289" s="1264">
        <v>2022</v>
      </c>
      <c r="E289" s="1259">
        <v>3</v>
      </c>
      <c r="F289" s="1259" t="s">
        <v>632</v>
      </c>
      <c r="G289" s="1259" t="s">
        <v>1294</v>
      </c>
      <c r="H289" s="1259" t="s">
        <v>1295</v>
      </c>
      <c r="I289" s="1259">
        <v>3</v>
      </c>
      <c r="J289" s="509" t="s">
        <v>473</v>
      </c>
      <c r="K289" s="1259">
        <f>SUMIF(CF.1!$D:$D,'CFS(연간)'!G289,CF.1!$U:$U)</f>
        <v>0</v>
      </c>
      <c r="L289" s="1259">
        <f t="shared" si="22"/>
        <v>0</v>
      </c>
      <c r="M289" s="1265">
        <f t="shared" si="23"/>
        <v>0</v>
      </c>
      <c r="O289" s="1258"/>
      <c r="P289" s="1259">
        <f t="shared" si="21"/>
        <v>0</v>
      </c>
      <c r="Q289" s="1260"/>
    </row>
    <row r="290" spans="4:17" ht="18" customHeight="1">
      <c r="D290" s="1264">
        <v>2022</v>
      </c>
      <c r="E290" s="1259">
        <v>3</v>
      </c>
      <c r="F290" s="1259" t="s">
        <v>632</v>
      </c>
      <c r="G290" s="1259" t="s">
        <v>1296</v>
      </c>
      <c r="H290" s="1259" t="s">
        <v>1297</v>
      </c>
      <c r="I290" s="1259">
        <v>3</v>
      </c>
      <c r="J290" s="1259" t="s">
        <v>473</v>
      </c>
      <c r="K290" s="1259">
        <f>SUMIF(CF.1!$D:$D,'CFS(연간)'!G290,CF.1!$U:$U)</f>
        <v>0</v>
      </c>
      <c r="L290" s="1259">
        <f t="shared" si="22"/>
        <v>0</v>
      </c>
      <c r="M290" s="1265">
        <f t="shared" si="23"/>
        <v>0</v>
      </c>
      <c r="O290" s="1258"/>
      <c r="P290" s="1259">
        <f t="shared" si="21"/>
        <v>0</v>
      </c>
      <c r="Q290" s="1260"/>
    </row>
    <row r="291" spans="4:17" ht="18" customHeight="1">
      <c r="D291" s="1264">
        <v>2022</v>
      </c>
      <c r="E291" s="1259">
        <v>3</v>
      </c>
      <c r="F291" s="1259" t="s">
        <v>632</v>
      </c>
      <c r="G291" s="1259" t="s">
        <v>1298</v>
      </c>
      <c r="H291" s="1259" t="s">
        <v>1299</v>
      </c>
      <c r="I291" s="1259">
        <v>3</v>
      </c>
      <c r="J291" s="1259" t="s">
        <v>473</v>
      </c>
      <c r="K291" s="1259">
        <f>SUMIF(CF.1!$D:$D,'CFS(연간)'!G291,CF.1!$U:$U)</f>
        <v>0</v>
      </c>
      <c r="L291" s="1259">
        <f t="shared" si="22"/>
        <v>0</v>
      </c>
      <c r="M291" s="1265">
        <f t="shared" si="23"/>
        <v>0</v>
      </c>
      <c r="O291" s="1258"/>
      <c r="P291" s="1259">
        <f t="shared" si="21"/>
        <v>0</v>
      </c>
      <c r="Q291" s="1260"/>
    </row>
    <row r="292" spans="4:17" ht="18" customHeight="1">
      <c r="D292" s="1264">
        <v>2022</v>
      </c>
      <c r="E292" s="1259">
        <v>3</v>
      </c>
      <c r="F292" s="1259" t="s">
        <v>632</v>
      </c>
      <c r="G292" s="1259" t="s">
        <v>1300</v>
      </c>
      <c r="H292" s="1259" t="s">
        <v>1523</v>
      </c>
      <c r="I292" s="1259">
        <v>3</v>
      </c>
      <c r="J292" s="1259" t="s">
        <v>473</v>
      </c>
      <c r="K292" s="1259">
        <f>SUMIF(CF.1!$D:$D,'CFS(연간)'!G292,CF.1!$U:$U)</f>
        <v>0</v>
      </c>
      <c r="L292" s="1259">
        <f t="shared" si="22"/>
        <v>0</v>
      </c>
      <c r="M292" s="1265">
        <f t="shared" si="23"/>
        <v>0</v>
      </c>
      <c r="O292" s="1258"/>
      <c r="P292" s="1259">
        <f t="shared" si="21"/>
        <v>0</v>
      </c>
      <c r="Q292" s="1260"/>
    </row>
    <row r="293" spans="4:17" ht="18" customHeight="1">
      <c r="D293" s="1264">
        <v>2022</v>
      </c>
      <c r="E293" s="1259">
        <v>3</v>
      </c>
      <c r="F293" s="1259" t="s">
        <v>632</v>
      </c>
      <c r="G293" s="1259" t="s">
        <v>1302</v>
      </c>
      <c r="H293" s="1259" t="s">
        <v>1303</v>
      </c>
      <c r="I293" s="1259">
        <v>3</v>
      </c>
      <c r="J293" s="1259" t="s">
        <v>473</v>
      </c>
      <c r="K293" s="1259">
        <f>SUMIF(CF.1!$D:$D,'CFS(연간)'!G293,CF.1!$U:$U)</f>
        <v>0</v>
      </c>
      <c r="L293" s="1259">
        <f t="shared" si="22"/>
        <v>0</v>
      </c>
      <c r="M293" s="1265">
        <f t="shared" si="23"/>
        <v>0</v>
      </c>
      <c r="O293" s="1258"/>
      <c r="P293" s="1259">
        <f t="shared" si="21"/>
        <v>0</v>
      </c>
      <c r="Q293" s="1260"/>
    </row>
    <row r="294" spans="4:17" ht="18" customHeight="1">
      <c r="D294" s="1264">
        <v>2022</v>
      </c>
      <c r="E294" s="1259">
        <v>3</v>
      </c>
      <c r="F294" s="1259" t="s">
        <v>632</v>
      </c>
      <c r="G294" s="1259" t="s">
        <v>1304</v>
      </c>
      <c r="H294" s="1259" t="s">
        <v>1305</v>
      </c>
      <c r="I294" s="1259">
        <v>3</v>
      </c>
      <c r="J294" s="1259" t="s">
        <v>473</v>
      </c>
      <c r="K294" s="1259">
        <f>SUMIF(CF.1!$D:$D,'CFS(연간)'!G294,CF.1!$U:$U)</f>
        <v>0</v>
      </c>
      <c r="L294" s="1259">
        <f t="shared" si="22"/>
        <v>0</v>
      </c>
      <c r="M294" s="1265">
        <f t="shared" si="23"/>
        <v>0</v>
      </c>
      <c r="O294" s="1258"/>
      <c r="P294" s="1259">
        <f t="shared" si="21"/>
        <v>0</v>
      </c>
      <c r="Q294" s="1260"/>
    </row>
    <row r="295" spans="4:17" ht="18" customHeight="1">
      <c r="D295" s="1264">
        <v>2022</v>
      </c>
      <c r="E295" s="1259">
        <v>3</v>
      </c>
      <c r="F295" s="1259" t="s">
        <v>632</v>
      </c>
      <c r="G295" s="1259" t="s">
        <v>1306</v>
      </c>
      <c r="H295" s="1259" t="s">
        <v>1307</v>
      </c>
      <c r="I295" s="1259">
        <v>3</v>
      </c>
      <c r="J295" s="1259" t="s">
        <v>473</v>
      </c>
      <c r="K295" s="1259">
        <f>SUMIF(CF.1!$D:$D,'CFS(연간)'!G295,CF.1!$U:$U)</f>
        <v>-2082310922</v>
      </c>
      <c r="L295" s="1259">
        <f t="shared" si="22"/>
        <v>-2082310922</v>
      </c>
      <c r="M295" s="1265">
        <f t="shared" si="23"/>
        <v>0</v>
      </c>
      <c r="O295" s="1258"/>
      <c r="P295" s="1259">
        <f t="shared" si="21"/>
        <v>2082310922</v>
      </c>
      <c r="Q295" s="1260"/>
    </row>
    <row r="296" spans="4:17" ht="18" customHeight="1">
      <c r="D296" s="1264">
        <v>2022</v>
      </c>
      <c r="E296" s="1259">
        <v>3</v>
      </c>
      <c r="F296" s="1259" t="s">
        <v>632</v>
      </c>
      <c r="G296" s="1259" t="s">
        <v>1308</v>
      </c>
      <c r="H296" s="1259" t="s">
        <v>1309</v>
      </c>
      <c r="I296" s="1259">
        <v>3</v>
      </c>
      <c r="J296" s="1259" t="s">
        <v>473</v>
      </c>
      <c r="K296" s="1259">
        <f>SUMIF(CF.1!$D:$D,'CFS(연간)'!G296,CF.1!$U:$U)</f>
        <v>0</v>
      </c>
      <c r="L296" s="1259">
        <f t="shared" si="22"/>
        <v>0</v>
      </c>
      <c r="M296" s="1265">
        <f t="shared" si="23"/>
        <v>0</v>
      </c>
      <c r="O296" s="1258"/>
      <c r="P296" s="1259">
        <f t="shared" si="21"/>
        <v>0</v>
      </c>
      <c r="Q296" s="1260"/>
    </row>
    <row r="297" spans="4:17" ht="18" customHeight="1">
      <c r="D297" s="1264">
        <v>2022</v>
      </c>
      <c r="E297" s="1259">
        <v>3</v>
      </c>
      <c r="F297" s="1259" t="s">
        <v>632</v>
      </c>
      <c r="G297" s="1259" t="s">
        <v>1524</v>
      </c>
      <c r="H297" s="1259" t="s">
        <v>1525</v>
      </c>
      <c r="I297" s="1259">
        <v>3</v>
      </c>
      <c r="J297" s="1259" t="s">
        <v>473</v>
      </c>
      <c r="K297" s="1259">
        <f>SUMIF(CF.1!$D:$D,'CFS(연간)'!G297,CF.1!$U:$U)</f>
        <v>0</v>
      </c>
      <c r="L297" s="1259">
        <f t="shared" si="22"/>
        <v>0</v>
      </c>
      <c r="M297" s="1265">
        <f t="shared" si="23"/>
        <v>0</v>
      </c>
      <c r="O297" s="1258"/>
      <c r="P297" s="1259">
        <f t="shared" si="21"/>
        <v>0</v>
      </c>
      <c r="Q297" s="1260"/>
    </row>
    <row r="298" spans="4:17" ht="18" customHeight="1">
      <c r="D298" s="1264">
        <v>2022</v>
      </c>
      <c r="E298" s="1259">
        <v>3</v>
      </c>
      <c r="F298" s="1259" t="s">
        <v>632</v>
      </c>
      <c r="G298" s="1259" t="s">
        <v>1312</v>
      </c>
      <c r="H298" s="1259" t="s">
        <v>1313</v>
      </c>
      <c r="I298" s="1259">
        <v>3</v>
      </c>
      <c r="J298" s="1259" t="s">
        <v>473</v>
      </c>
      <c r="K298" s="1259">
        <f>SUMIF(CF.1!$D:$D,'CFS(연간)'!G298,CF.1!$U:$U)</f>
        <v>0</v>
      </c>
      <c r="L298" s="1259">
        <f t="shared" si="22"/>
        <v>0</v>
      </c>
      <c r="M298" s="1265">
        <f t="shared" si="23"/>
        <v>0</v>
      </c>
      <c r="O298" s="1258"/>
      <c r="P298" s="1259">
        <f t="shared" si="21"/>
        <v>0</v>
      </c>
      <c r="Q298" s="1260"/>
    </row>
    <row r="299" spans="4:17" ht="18" customHeight="1">
      <c r="D299" s="1266">
        <v>2022</v>
      </c>
      <c r="E299" s="1267">
        <v>3</v>
      </c>
      <c r="F299" s="1267" t="s">
        <v>632</v>
      </c>
      <c r="G299" s="1267" t="s">
        <v>1314</v>
      </c>
      <c r="H299" s="1267" t="s">
        <v>1315</v>
      </c>
      <c r="I299" s="1267">
        <v>1</v>
      </c>
      <c r="J299" s="1267" t="s">
        <v>473</v>
      </c>
      <c r="K299" s="1267">
        <f t="shared" ref="K299:M300" si="24">K300</f>
        <v>1334300764</v>
      </c>
      <c r="L299" s="1267">
        <f t="shared" si="24"/>
        <v>1322534764</v>
      </c>
      <c r="M299" s="1268">
        <f t="shared" si="24"/>
        <v>-11766000</v>
      </c>
      <c r="O299" s="1258"/>
      <c r="P299" s="1259">
        <f t="shared" si="21"/>
        <v>-1322534764</v>
      </c>
      <c r="Q299" s="1260"/>
    </row>
    <row r="300" spans="4:17" ht="18" customHeight="1">
      <c r="D300" s="1266">
        <v>2022</v>
      </c>
      <c r="E300" s="1267">
        <v>3</v>
      </c>
      <c r="F300" s="1267" t="s">
        <v>632</v>
      </c>
      <c r="G300" s="1267" t="s">
        <v>1316</v>
      </c>
      <c r="H300" s="1267" t="s">
        <v>1315</v>
      </c>
      <c r="I300" s="1267">
        <v>2</v>
      </c>
      <c r="J300" s="1267" t="s">
        <v>473</v>
      </c>
      <c r="K300" s="1267">
        <f t="shared" si="24"/>
        <v>1334300764</v>
      </c>
      <c r="L300" s="1267">
        <f t="shared" si="24"/>
        <v>1322534764</v>
      </c>
      <c r="M300" s="1268">
        <f t="shared" si="24"/>
        <v>-11766000</v>
      </c>
      <c r="O300" s="1258"/>
      <c r="P300" s="1259">
        <f t="shared" si="21"/>
        <v>-1322534764</v>
      </c>
      <c r="Q300" s="1260"/>
    </row>
    <row r="301" spans="4:17" ht="18" customHeight="1">
      <c r="D301" s="1264">
        <v>2022</v>
      </c>
      <c r="E301" s="1259">
        <v>3</v>
      </c>
      <c r="F301" s="1259" t="s">
        <v>632</v>
      </c>
      <c r="G301" s="1259" t="s">
        <v>1317</v>
      </c>
      <c r="H301" s="1259" t="s">
        <v>1318</v>
      </c>
      <c r="I301" s="1259">
        <v>3</v>
      </c>
      <c r="J301" s="1259" t="s">
        <v>473</v>
      </c>
      <c r="K301" s="1270">
        <f>SUMIF(CF.1!$D:$D,'CFS(연간)'!G301,CF.1!$U:$U)</f>
        <v>1334300764</v>
      </c>
      <c r="L301" s="1270">
        <v>1322534764</v>
      </c>
      <c r="M301" s="1271">
        <f t="shared" si="23"/>
        <v>-11766000</v>
      </c>
      <c r="O301" s="1258"/>
      <c r="P301" s="1259">
        <f t="shared" si="21"/>
        <v>-1322534764</v>
      </c>
      <c r="Q301" s="1260"/>
    </row>
    <row r="302" spans="4:17" ht="18" customHeight="1">
      <c r="D302" s="1282">
        <v>2022</v>
      </c>
      <c r="E302" s="1283">
        <v>3</v>
      </c>
      <c r="F302" s="1283" t="s">
        <v>632</v>
      </c>
      <c r="G302" s="1283" t="s">
        <v>1319</v>
      </c>
      <c r="H302" s="1283" t="s">
        <v>1526</v>
      </c>
      <c r="I302" s="1283">
        <v>1</v>
      </c>
      <c r="J302" s="1283" t="s">
        <v>473</v>
      </c>
      <c r="K302" s="1283">
        <f t="shared" ref="K302:M303" si="25">K303</f>
        <v>0</v>
      </c>
      <c r="L302" s="1283">
        <f t="shared" si="25"/>
        <v>0</v>
      </c>
      <c r="M302" s="1284">
        <f t="shared" si="25"/>
        <v>0</v>
      </c>
      <c r="O302" s="1258"/>
      <c r="P302" s="1259">
        <f t="shared" si="21"/>
        <v>0</v>
      </c>
      <c r="Q302" s="1260"/>
    </row>
    <row r="303" spans="4:17" ht="18" customHeight="1">
      <c r="D303" s="1282">
        <v>2022</v>
      </c>
      <c r="E303" s="1283">
        <v>3</v>
      </c>
      <c r="F303" s="1283" t="s">
        <v>632</v>
      </c>
      <c r="G303" s="1283" t="s">
        <v>1321</v>
      </c>
      <c r="H303" s="1283" t="s">
        <v>1526</v>
      </c>
      <c r="I303" s="1283">
        <v>2</v>
      </c>
      <c r="J303" s="1283" t="s">
        <v>473</v>
      </c>
      <c r="K303" s="1283">
        <f t="shared" si="25"/>
        <v>0</v>
      </c>
      <c r="L303" s="1283">
        <f t="shared" si="25"/>
        <v>0</v>
      </c>
      <c r="M303" s="1284">
        <f t="shared" si="25"/>
        <v>0</v>
      </c>
      <c r="O303" s="1258"/>
      <c r="P303" s="1259">
        <f t="shared" si="21"/>
        <v>0</v>
      </c>
      <c r="Q303" s="1260"/>
    </row>
    <row r="304" spans="4:17" ht="18" customHeight="1">
      <c r="D304" s="1264">
        <v>2022</v>
      </c>
      <c r="E304" s="1259">
        <v>3</v>
      </c>
      <c r="F304" s="1259" t="s">
        <v>632</v>
      </c>
      <c r="G304" s="1259" t="s">
        <v>1322</v>
      </c>
      <c r="H304" s="1259" t="s">
        <v>1527</v>
      </c>
      <c r="I304" s="1259">
        <v>3</v>
      </c>
      <c r="J304" s="1259" t="s">
        <v>473</v>
      </c>
      <c r="K304" s="1259">
        <f>SUMIF(CF.1!$D:$D,'CFS(연간)'!G304,CF.1!$U:$U)</f>
        <v>0</v>
      </c>
      <c r="L304" s="1259">
        <f>K304</f>
        <v>0</v>
      </c>
      <c r="M304" s="1265">
        <f t="shared" ref="M304:M314" si="26">L304-K304</f>
        <v>0</v>
      </c>
      <c r="O304" s="1258"/>
      <c r="P304" s="1259">
        <f t="shared" si="21"/>
        <v>0</v>
      </c>
      <c r="Q304" s="1260"/>
    </row>
    <row r="305" spans="4:17" ht="18" customHeight="1">
      <c r="D305" s="1282">
        <v>2022</v>
      </c>
      <c r="E305" s="1283">
        <v>3</v>
      </c>
      <c r="F305" s="1283" t="s">
        <v>632</v>
      </c>
      <c r="G305" s="1283" t="s">
        <v>1324</v>
      </c>
      <c r="H305" s="1283" t="s">
        <v>1325</v>
      </c>
      <c r="I305" s="1283">
        <v>1</v>
      </c>
      <c r="J305" s="1283" t="s">
        <v>473</v>
      </c>
      <c r="K305" s="1283">
        <f>K299+K258+K155+K5</f>
        <v>8111331517</v>
      </c>
      <c r="L305" s="1283">
        <f>L299+L258+L155+L5</f>
        <v>7802259517</v>
      </c>
      <c r="M305" s="1284">
        <f t="shared" si="26"/>
        <v>-309072000</v>
      </c>
      <c r="O305" s="1258"/>
      <c r="P305" s="1259">
        <f t="shared" si="21"/>
        <v>-7802259517</v>
      </c>
      <c r="Q305" s="1260"/>
    </row>
    <row r="306" spans="4:17" ht="18" customHeight="1">
      <c r="D306" s="1282">
        <v>2022</v>
      </c>
      <c r="E306" s="1283">
        <v>3</v>
      </c>
      <c r="F306" s="1283" t="s">
        <v>632</v>
      </c>
      <c r="G306" s="1283" t="s">
        <v>1326</v>
      </c>
      <c r="H306" s="1283" t="s">
        <v>1327</v>
      </c>
      <c r="I306" s="1283">
        <v>1</v>
      </c>
      <c r="J306" s="1283" t="s">
        <v>473</v>
      </c>
      <c r="K306" s="1283">
        <f>K307</f>
        <v>132018644520</v>
      </c>
      <c r="L306" s="1283">
        <f>L307</f>
        <v>132327716520</v>
      </c>
      <c r="M306" s="1284">
        <f t="shared" si="26"/>
        <v>309072000</v>
      </c>
      <c r="O306" s="1258"/>
      <c r="P306" s="1259">
        <f t="shared" si="21"/>
        <v>-132327716520</v>
      </c>
      <c r="Q306" s="1260"/>
    </row>
    <row r="307" spans="4:17" ht="18" customHeight="1">
      <c r="D307" s="1282">
        <v>2022</v>
      </c>
      <c r="E307" s="1283">
        <v>3</v>
      </c>
      <c r="F307" s="1283" t="s">
        <v>632</v>
      </c>
      <c r="G307" s="1283" t="s">
        <v>1328</v>
      </c>
      <c r="H307" s="1283" t="s">
        <v>1327</v>
      </c>
      <c r="I307" s="1283">
        <v>2</v>
      </c>
      <c r="J307" s="1283" t="s">
        <v>473</v>
      </c>
      <c r="K307" s="1283">
        <f>K308</f>
        <v>132018644520</v>
      </c>
      <c r="L307" s="1283">
        <f>L308</f>
        <v>132327716520</v>
      </c>
      <c r="M307" s="1284">
        <f t="shared" si="26"/>
        <v>309072000</v>
      </c>
      <c r="O307" s="1258"/>
      <c r="P307" s="1259">
        <f t="shared" si="21"/>
        <v>-132327716520</v>
      </c>
      <c r="Q307" s="1260"/>
    </row>
    <row r="308" spans="4:17" ht="18" customHeight="1">
      <c r="D308" s="1264">
        <v>2022</v>
      </c>
      <c r="E308" s="1259">
        <v>3</v>
      </c>
      <c r="F308" s="1259" t="s">
        <v>632</v>
      </c>
      <c r="G308" s="1259" t="s">
        <v>1329</v>
      </c>
      <c r="H308" s="1259" t="s">
        <v>1330</v>
      </c>
      <c r="I308" s="1259">
        <v>3</v>
      </c>
      <c r="J308" s="1259" t="s">
        <v>473</v>
      </c>
      <c r="K308" s="1270">
        <f>SUMIF(CF.1!$D:$D,'CFS(연간)'!G308,CF.1!$U:$U)</f>
        <v>132018644520</v>
      </c>
      <c r="L308" s="1270">
        <v>132327716520</v>
      </c>
      <c r="M308" s="1271">
        <f t="shared" si="26"/>
        <v>309072000</v>
      </c>
      <c r="O308" s="1258"/>
      <c r="P308" s="1259">
        <f t="shared" si="21"/>
        <v>-132327716520</v>
      </c>
      <c r="Q308" s="1260"/>
    </row>
    <row r="309" spans="4:17" ht="18" customHeight="1">
      <c r="D309" s="1282">
        <v>2022</v>
      </c>
      <c r="E309" s="1283">
        <v>3</v>
      </c>
      <c r="F309" s="1283" t="s">
        <v>632</v>
      </c>
      <c r="G309" s="1283" t="s">
        <v>1331</v>
      </c>
      <c r="H309" s="1283" t="s">
        <v>1332</v>
      </c>
      <c r="I309" s="1283">
        <v>1</v>
      </c>
      <c r="J309" s="1283" t="s">
        <v>473</v>
      </c>
      <c r="K309" s="1283">
        <f t="shared" ref="K309:M310" si="27">K310</f>
        <v>150242234297</v>
      </c>
      <c r="L309" s="1283">
        <f t="shared" si="27"/>
        <v>150242234297</v>
      </c>
      <c r="M309" s="1284">
        <f t="shared" si="27"/>
        <v>0</v>
      </c>
      <c r="O309" s="1258"/>
      <c r="P309" s="1259">
        <f t="shared" si="21"/>
        <v>-150242234297</v>
      </c>
      <c r="Q309" s="1260"/>
    </row>
    <row r="310" spans="4:17" ht="18" customHeight="1">
      <c r="D310" s="1282">
        <v>2022</v>
      </c>
      <c r="E310" s="1283">
        <v>3</v>
      </c>
      <c r="F310" s="1283" t="s">
        <v>632</v>
      </c>
      <c r="G310" s="1283" t="s">
        <v>1333</v>
      </c>
      <c r="H310" s="1283" t="s">
        <v>1332</v>
      </c>
      <c r="I310" s="1283">
        <v>2</v>
      </c>
      <c r="J310" s="1283" t="s">
        <v>473</v>
      </c>
      <c r="K310" s="1283">
        <f t="shared" si="27"/>
        <v>150242234297</v>
      </c>
      <c r="L310" s="1283">
        <f t="shared" si="27"/>
        <v>150242234297</v>
      </c>
      <c r="M310" s="1284">
        <f t="shared" si="27"/>
        <v>0</v>
      </c>
      <c r="O310" s="1258"/>
      <c r="P310" s="1259">
        <f t="shared" si="21"/>
        <v>-150242234297</v>
      </c>
      <c r="Q310" s="1260"/>
    </row>
    <row r="311" spans="4:17" ht="18" customHeight="1">
      <c r="D311" s="1264">
        <v>2022</v>
      </c>
      <c r="E311" s="1259">
        <v>3</v>
      </c>
      <c r="F311" s="1259" t="s">
        <v>632</v>
      </c>
      <c r="G311" s="1259" t="s">
        <v>1334</v>
      </c>
      <c r="H311" s="1259" t="s">
        <v>1335</v>
      </c>
      <c r="I311" s="1259">
        <v>3</v>
      </c>
      <c r="J311" s="1259" t="s">
        <v>473</v>
      </c>
      <c r="K311" s="1259">
        <f>SUMIF(CF.1!$D:$D,'CFS(연간)'!G311,CF.1!$U:$U)</f>
        <v>150242234297</v>
      </c>
      <c r="L311" s="1259">
        <f>K311</f>
        <v>150242234297</v>
      </c>
      <c r="M311" s="1265">
        <f t="shared" si="26"/>
        <v>0</v>
      </c>
      <c r="O311" s="1258"/>
      <c r="P311" s="1259">
        <f t="shared" si="21"/>
        <v>-150242234297</v>
      </c>
      <c r="Q311" s="1260"/>
    </row>
    <row r="312" spans="4:17" ht="18" customHeight="1">
      <c r="D312" s="1282">
        <v>2022</v>
      </c>
      <c r="E312" s="1283">
        <v>3</v>
      </c>
      <c r="F312" s="1283" t="s">
        <v>632</v>
      </c>
      <c r="G312" s="1283" t="s">
        <v>1336</v>
      </c>
      <c r="H312" s="1283" t="s">
        <v>1337</v>
      </c>
      <c r="I312" s="1283">
        <v>1</v>
      </c>
      <c r="J312" s="1283" t="s">
        <v>473</v>
      </c>
      <c r="K312" s="1283">
        <v>0</v>
      </c>
      <c r="L312" s="1283">
        <v>0</v>
      </c>
      <c r="M312" s="1284">
        <f t="shared" si="26"/>
        <v>0</v>
      </c>
      <c r="O312" s="1258"/>
      <c r="P312" s="1259">
        <f t="shared" si="21"/>
        <v>0</v>
      </c>
      <c r="Q312" s="1260"/>
    </row>
    <row r="313" spans="4:17" ht="18" customHeight="1">
      <c r="D313" s="1282">
        <v>2022</v>
      </c>
      <c r="E313" s="1283">
        <v>3</v>
      </c>
      <c r="F313" s="1283" t="s">
        <v>632</v>
      </c>
      <c r="G313" s="1283" t="s">
        <v>1338</v>
      </c>
      <c r="H313" s="1283" t="s">
        <v>1337</v>
      </c>
      <c r="I313" s="1283">
        <v>2</v>
      </c>
      <c r="J313" s="1283" t="s">
        <v>473</v>
      </c>
      <c r="K313" s="1283">
        <v>0</v>
      </c>
      <c r="L313" s="1283">
        <v>0</v>
      </c>
      <c r="M313" s="1284">
        <f t="shared" si="26"/>
        <v>0</v>
      </c>
      <c r="O313" s="1258"/>
      <c r="P313" s="1259">
        <f t="shared" si="21"/>
        <v>0</v>
      </c>
      <c r="Q313" s="1260"/>
    </row>
    <row r="314" spans="4:17" ht="18" customHeight="1" thickBot="1">
      <c r="D314" s="1285">
        <v>2022</v>
      </c>
      <c r="E314" s="1286">
        <v>3</v>
      </c>
      <c r="F314" s="1286" t="s">
        <v>632</v>
      </c>
      <c r="G314" s="1286" t="s">
        <v>1339</v>
      </c>
      <c r="H314" s="1286" t="s">
        <v>1340</v>
      </c>
      <c r="I314" s="1286">
        <v>3</v>
      </c>
      <c r="J314" s="1286" t="s">
        <v>473</v>
      </c>
      <c r="K314" s="1286">
        <f>SUMIF(CF.1!$D:$D,'CFS(연간)'!G314,CF.1!$U:$U)</f>
        <v>0</v>
      </c>
      <c r="L314" s="1287">
        <f>K314</f>
        <v>0</v>
      </c>
      <c r="M314" s="1288">
        <f t="shared" si="26"/>
        <v>0</v>
      </c>
      <c r="O314" s="1289"/>
      <c r="P314" s="1290">
        <f t="shared" si="21"/>
        <v>0</v>
      </c>
      <c r="Q314" s="1291"/>
    </row>
    <row r="315" spans="4:17" ht="18" customHeight="1" thickBot="1">
      <c r="D315" s="1292"/>
      <c r="E315" s="1293"/>
      <c r="F315" s="1293"/>
      <c r="G315" s="1293"/>
      <c r="H315" s="1293"/>
      <c r="I315" s="1293"/>
      <c r="J315" s="1293"/>
      <c r="K315" s="1293">
        <f>K305+K306-K311</f>
        <v>-10112258260</v>
      </c>
      <c r="L315" s="1293">
        <f>L305+L306-L311</f>
        <v>-10112258260</v>
      </c>
      <c r="M315" s="1294"/>
    </row>
  </sheetData>
  <autoFilter ref="D4:M315"/>
  <phoneticPr fontId="21" type="noConversion"/>
  <pageMargins left="0.7" right="0.7" top="0.75" bottom="0.75" header="0.3" footer="0.3"/>
  <pageSetup orientation="portrait" r:id="rId1"/>
  <ignoredErrors>
    <ignoredError sqref="K310:M310 K280:K309 L206:N206 L8:M8 L112:N116 K62:M65 L149:N168 L210:N219 M209:N209 L302:N304 L309:N309 M308:N308 L105:N110 L306:N307 M305:N305 L208:N208 M207:N207 K66:M68 L169:N204 L220:N300 P112:P116 P105:P110 M301:N301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FF00"/>
  </sheetPr>
  <dimension ref="A2:O181"/>
  <sheetViews>
    <sheetView showGridLines="0" tabSelected="1" zoomScale="85" zoomScaleNormal="85" workbookViewId="0">
      <pane xSplit="5" ySplit="4" topLeftCell="F50" activePane="bottomRight" state="frozen"/>
      <selection activeCell="L18" sqref="L18"/>
      <selection pane="topRight" activeCell="L18" sqref="L18"/>
      <selection pane="bottomLeft" activeCell="L18" sqref="L18"/>
      <selection pane="bottomRight" activeCell="J69" sqref="J69"/>
    </sheetView>
  </sheetViews>
  <sheetFormatPr defaultColWidth="8.75" defaultRowHeight="18" customHeight="1"/>
  <cols>
    <col min="1" max="3" width="2.375" style="710" customWidth="1"/>
    <col min="4" max="4" width="15.25" style="1219" bestFit="1" customWidth="1"/>
    <col min="5" max="5" width="12.375" style="1220" bestFit="1" customWidth="1"/>
    <col min="6" max="6" width="32.75" style="1221" bestFit="1" customWidth="1"/>
    <col min="7" max="7" width="12.375" style="1219" bestFit="1" customWidth="1"/>
    <col min="8" max="8" width="11.875" style="1219" customWidth="1"/>
    <col min="9" max="9" width="15.25" style="1219" bestFit="1" customWidth="1"/>
    <col min="10" max="10" width="15.625" style="1243" customWidth="1"/>
    <col min="11" max="11" width="17.375" style="1219" bestFit="1" customWidth="1"/>
    <col min="12" max="12" width="15.625" style="1244" customWidth="1"/>
    <col min="13" max="13" width="10.125" style="562" bestFit="1" customWidth="1"/>
    <col min="14" max="14" width="2.25" style="509" customWidth="1"/>
    <col min="15" max="16384" width="8.75" style="509"/>
  </cols>
  <sheetData>
    <row r="2" spans="1:15" ht="18" customHeight="1">
      <c r="J2" s="1222"/>
      <c r="K2" s="1222"/>
      <c r="L2" s="1222"/>
    </row>
    <row r="3" spans="1:15" s="935" customFormat="1" ht="18" customHeight="1" thickBot="1">
      <c r="A3" s="934"/>
      <c r="B3" s="934"/>
      <c r="C3" s="934"/>
      <c r="D3" s="1222"/>
      <c r="E3" s="1223"/>
      <c r="F3" s="1224"/>
      <c r="G3" s="1222"/>
      <c r="H3" s="1222"/>
      <c r="I3" s="1222"/>
      <c r="J3" s="1222">
        <f>SUM(J5:J173)</f>
        <v>0</v>
      </c>
      <c r="K3" s="1222"/>
      <c r="L3" s="1222">
        <f>SUM(L5:L173)</f>
        <v>0</v>
      </c>
    </row>
    <row r="4" spans="1:15" s="935" customFormat="1" ht="18" customHeight="1">
      <c r="A4" s="934"/>
      <c r="B4" s="934"/>
      <c r="C4" s="934"/>
      <c r="D4" s="536" t="s">
        <v>626</v>
      </c>
      <c r="E4" s="1225" t="s">
        <v>627</v>
      </c>
      <c r="F4" s="537" t="s">
        <v>628</v>
      </c>
      <c r="G4" s="537" t="s">
        <v>629</v>
      </c>
      <c r="H4" s="537" t="s">
        <v>630</v>
      </c>
      <c r="I4" s="537" t="s">
        <v>631</v>
      </c>
      <c r="J4" s="537" t="s">
        <v>2360</v>
      </c>
      <c r="K4" s="537" t="s">
        <v>631</v>
      </c>
      <c r="L4" s="1226" t="str">
        <f>T_BS!X3</f>
        <v>2022.10.31</v>
      </c>
      <c r="M4" s="935" t="s">
        <v>2048</v>
      </c>
    </row>
    <row r="5" spans="1:15" ht="18" customHeight="1">
      <c r="C5" s="710">
        <v>1</v>
      </c>
      <c r="D5" s="1227" t="s">
        <v>1887</v>
      </c>
      <c r="E5" s="1228">
        <v>1101</v>
      </c>
      <c r="F5" s="670" t="s">
        <v>633</v>
      </c>
      <c r="G5" s="1229">
        <v>1000</v>
      </c>
      <c r="H5" s="1229"/>
      <c r="I5" s="1229" t="s">
        <v>473</v>
      </c>
      <c r="J5" s="668">
        <f t="shared" ref="J5:J23" si="0">+L5</f>
        <v>0</v>
      </c>
      <c r="K5" s="1229" t="s">
        <v>473</v>
      </c>
      <c r="L5" s="1230">
        <f>ROUND(SUMIF(T_BS!$F:$F,T198_TB!E5,T_BS!$X:$X),0)</f>
        <v>0</v>
      </c>
      <c r="M5" s="740" t="s">
        <v>0</v>
      </c>
    </row>
    <row r="6" spans="1:15" ht="18" customHeight="1">
      <c r="C6" s="710">
        <v>1</v>
      </c>
      <c r="D6" s="1227" t="s">
        <v>632</v>
      </c>
      <c r="E6" s="1228">
        <v>1102</v>
      </c>
      <c r="F6" s="670" t="s">
        <v>634</v>
      </c>
      <c r="G6" s="1229">
        <v>1000</v>
      </c>
      <c r="H6" s="1229"/>
      <c r="I6" s="1229" t="s">
        <v>473</v>
      </c>
      <c r="J6" s="668">
        <f t="shared" si="0"/>
        <v>150101047291</v>
      </c>
      <c r="K6" s="1229" t="s">
        <v>473</v>
      </c>
      <c r="L6" s="1230">
        <f>ROUND(SUMIF(T_BS!$F:$F,T198_TB!E6,T_BS!$X:$X),0)</f>
        <v>150101047291</v>
      </c>
      <c r="M6" s="740" t="s">
        <v>0</v>
      </c>
    </row>
    <row r="7" spans="1:15" s="710" customFormat="1" ht="18" customHeight="1">
      <c r="C7" s="710">
        <v>1</v>
      </c>
      <c r="D7" s="1227" t="s">
        <v>632</v>
      </c>
      <c r="E7" s="1228">
        <v>1201</v>
      </c>
      <c r="F7" s="670" t="s">
        <v>636</v>
      </c>
      <c r="G7" s="1229">
        <v>1000</v>
      </c>
      <c r="H7" s="1229"/>
      <c r="I7" s="1229" t="s">
        <v>473</v>
      </c>
      <c r="J7" s="668">
        <f t="shared" si="0"/>
        <v>18845489191</v>
      </c>
      <c r="K7" s="1229" t="s">
        <v>473</v>
      </c>
      <c r="L7" s="1230">
        <f>ROUND(SUMIF(T_BS!$F:$F,T198_TB!E7,T_BS!$X:$X),0)</f>
        <v>18845489191</v>
      </c>
      <c r="M7" s="740" t="s">
        <v>0</v>
      </c>
      <c r="O7" s="509"/>
    </row>
    <row r="8" spans="1:15" s="710" customFormat="1" ht="18" customHeight="1">
      <c r="C8" s="710">
        <v>1</v>
      </c>
      <c r="D8" s="1227" t="s">
        <v>632</v>
      </c>
      <c r="E8" s="1228">
        <v>1202</v>
      </c>
      <c r="F8" s="670" t="s">
        <v>637</v>
      </c>
      <c r="G8" s="1229">
        <v>1000</v>
      </c>
      <c r="H8" s="1229"/>
      <c r="I8" s="1229" t="s">
        <v>473</v>
      </c>
      <c r="J8" s="668">
        <f t="shared" si="0"/>
        <v>-1004615105</v>
      </c>
      <c r="K8" s="1229" t="s">
        <v>473</v>
      </c>
      <c r="L8" s="1230">
        <f>ROUND(SUMIF(T_BS!$F:$F,T198_TB!E8,T_BS!$X:$X),0)</f>
        <v>-1004615105</v>
      </c>
      <c r="M8" s="740" t="s">
        <v>0</v>
      </c>
      <c r="O8" s="509"/>
    </row>
    <row r="9" spans="1:15" s="710" customFormat="1" ht="18" customHeight="1">
      <c r="C9" s="710">
        <v>1</v>
      </c>
      <c r="D9" s="1227" t="s">
        <v>632</v>
      </c>
      <c r="E9" s="1228">
        <v>1203</v>
      </c>
      <c r="F9" s="670" t="s">
        <v>638</v>
      </c>
      <c r="G9" s="1229">
        <v>1000</v>
      </c>
      <c r="H9" s="1229"/>
      <c r="I9" s="1229" t="s">
        <v>473</v>
      </c>
      <c r="J9" s="668">
        <f t="shared" si="0"/>
        <v>3537548051</v>
      </c>
      <c r="K9" s="1229" t="s">
        <v>473</v>
      </c>
      <c r="L9" s="1230">
        <f>ROUND(SUMIF(T_BS!$F:$F,T198_TB!E9,T_BS!$X:$X),0)</f>
        <v>3537548051</v>
      </c>
      <c r="M9" s="740" t="s">
        <v>0</v>
      </c>
      <c r="O9" s="509"/>
    </row>
    <row r="10" spans="1:15" s="710" customFormat="1" ht="18" customHeight="1">
      <c r="C10" s="710">
        <v>1</v>
      </c>
      <c r="D10" s="1227" t="s">
        <v>632</v>
      </c>
      <c r="E10" s="1228">
        <v>1208</v>
      </c>
      <c r="F10" s="670" t="s">
        <v>639</v>
      </c>
      <c r="G10" s="1229">
        <v>1000</v>
      </c>
      <c r="H10" s="1229"/>
      <c r="I10" s="1229" t="s">
        <v>473</v>
      </c>
      <c r="J10" s="668">
        <f t="shared" si="0"/>
        <v>28330974842</v>
      </c>
      <c r="K10" s="1229" t="s">
        <v>473</v>
      </c>
      <c r="L10" s="1230">
        <f>ROUND(SUMIF(T_BS!$F:$F,T198_TB!E10,T_BS!$X:$X),0)</f>
        <v>28330974842</v>
      </c>
      <c r="M10" s="740" t="s">
        <v>0</v>
      </c>
      <c r="O10" s="509"/>
    </row>
    <row r="11" spans="1:15" s="710" customFormat="1" ht="18" customHeight="1">
      <c r="C11" s="710">
        <v>1</v>
      </c>
      <c r="D11" s="1227" t="s">
        <v>632</v>
      </c>
      <c r="E11" s="1228">
        <v>1209</v>
      </c>
      <c r="F11" s="670" t="s">
        <v>1782</v>
      </c>
      <c r="G11" s="1229">
        <v>1000</v>
      </c>
      <c r="H11" s="1229"/>
      <c r="I11" s="1229" t="s">
        <v>473</v>
      </c>
      <c r="J11" s="668">
        <f t="shared" si="0"/>
        <v>-4543501551</v>
      </c>
      <c r="K11" s="1229" t="s">
        <v>473</v>
      </c>
      <c r="L11" s="1230">
        <f>ROUND(SUMIF(T_BS!$F:$F,T198_TB!E11,T_BS!$X:$X),0)</f>
        <v>-4543501551</v>
      </c>
      <c r="M11" s="740" t="s">
        <v>0</v>
      </c>
      <c r="O11" s="509"/>
    </row>
    <row r="12" spans="1:15" s="710" customFormat="1" ht="18" customHeight="1">
      <c r="C12" s="710">
        <v>1</v>
      </c>
      <c r="D12" s="1227" t="s">
        <v>632</v>
      </c>
      <c r="E12" s="1228">
        <v>1212</v>
      </c>
      <c r="F12" s="670" t="s">
        <v>36</v>
      </c>
      <c r="G12" s="1229">
        <v>1000</v>
      </c>
      <c r="H12" s="1229"/>
      <c r="I12" s="1229" t="s">
        <v>473</v>
      </c>
      <c r="J12" s="668">
        <f t="shared" si="0"/>
        <v>312716165</v>
      </c>
      <c r="K12" s="1229" t="s">
        <v>473</v>
      </c>
      <c r="L12" s="1230">
        <f>ROUND(SUMIF(T_BS!$F:$F,T198_TB!E12,T_BS!$X:$X),0)</f>
        <v>312716165</v>
      </c>
      <c r="M12" s="740" t="s">
        <v>0</v>
      </c>
      <c r="O12" s="509"/>
    </row>
    <row r="13" spans="1:15" s="710" customFormat="1" ht="18" customHeight="1">
      <c r="C13" s="710">
        <v>1</v>
      </c>
      <c r="D13" s="1227" t="s">
        <v>632</v>
      </c>
      <c r="E13" s="1228">
        <v>1213</v>
      </c>
      <c r="F13" s="670" t="s">
        <v>37</v>
      </c>
      <c r="G13" s="1229">
        <v>1000</v>
      </c>
      <c r="H13" s="1229"/>
      <c r="I13" s="1229" t="s">
        <v>473</v>
      </c>
      <c r="J13" s="668">
        <f t="shared" si="0"/>
        <v>1465123126</v>
      </c>
      <c r="K13" s="1229" t="s">
        <v>473</v>
      </c>
      <c r="L13" s="1230">
        <f>ROUND(SUMIF(T_BS!$F:$F,T198_TB!E13,T_BS!$X:$X),0)</f>
        <v>1465123126</v>
      </c>
      <c r="M13" s="740" t="s">
        <v>0</v>
      </c>
      <c r="O13" s="509"/>
    </row>
    <row r="14" spans="1:15" s="710" customFormat="1" ht="18" customHeight="1">
      <c r="C14" s="710">
        <v>1</v>
      </c>
      <c r="D14" s="1227" t="s">
        <v>632</v>
      </c>
      <c r="E14" s="1228">
        <v>1221</v>
      </c>
      <c r="F14" s="670" t="s">
        <v>1877</v>
      </c>
      <c r="G14" s="1229">
        <v>1000</v>
      </c>
      <c r="H14" s="1229"/>
      <c r="I14" s="1229" t="s">
        <v>473</v>
      </c>
      <c r="J14" s="668">
        <f t="shared" si="0"/>
        <v>0</v>
      </c>
      <c r="K14" s="1229" t="s">
        <v>473</v>
      </c>
      <c r="L14" s="1230">
        <f>ROUND(SUMIF(T_BS!$F:$F,T198_TB!E14,T_BS!$X:$X),0)</f>
        <v>0</v>
      </c>
      <c r="M14" s="740" t="s">
        <v>0</v>
      </c>
      <c r="O14" s="509"/>
    </row>
    <row r="15" spans="1:15" s="710" customFormat="1" ht="18" customHeight="1">
      <c r="D15" s="1227" t="s">
        <v>632</v>
      </c>
      <c r="E15" s="1228">
        <v>1301</v>
      </c>
      <c r="F15" s="670" t="s">
        <v>43</v>
      </c>
      <c r="G15" s="1229">
        <v>1000</v>
      </c>
      <c r="H15" s="1229"/>
      <c r="I15" s="1229" t="s">
        <v>473</v>
      </c>
      <c r="J15" s="668">
        <f t="shared" si="0"/>
        <v>10972243270</v>
      </c>
      <c r="K15" s="1229" t="s">
        <v>473</v>
      </c>
      <c r="L15" s="1230">
        <f>ROUND(SUMIF(T_BS!$F:$F,T198_TB!E15,T_BS!$X:$X),0)</f>
        <v>10972243270</v>
      </c>
      <c r="M15" s="740" t="s">
        <v>0</v>
      </c>
      <c r="O15" s="509"/>
    </row>
    <row r="16" spans="1:15" s="710" customFormat="1" ht="18" customHeight="1">
      <c r="D16" s="1227" t="s">
        <v>632</v>
      </c>
      <c r="E16" s="1228">
        <v>1302</v>
      </c>
      <c r="F16" s="670" t="s">
        <v>44</v>
      </c>
      <c r="G16" s="1229">
        <v>1000</v>
      </c>
      <c r="H16" s="1229"/>
      <c r="I16" s="1229" t="s">
        <v>473</v>
      </c>
      <c r="J16" s="668">
        <f t="shared" si="0"/>
        <v>-5616858075</v>
      </c>
      <c r="K16" s="1229" t="s">
        <v>473</v>
      </c>
      <c r="L16" s="1230">
        <f>ROUND(SUMIF(T_BS!$F:$F,T198_TB!E16,T_BS!$X:$X),0)</f>
        <v>-5616858075</v>
      </c>
      <c r="M16" s="740" t="s">
        <v>0</v>
      </c>
      <c r="O16" s="509"/>
    </row>
    <row r="17" spans="3:15" s="710" customFormat="1" ht="18" customHeight="1">
      <c r="C17" s="710">
        <v>1</v>
      </c>
      <c r="D17" s="1227" t="s">
        <v>632</v>
      </c>
      <c r="E17" s="1228">
        <v>1303</v>
      </c>
      <c r="F17" s="670" t="s">
        <v>45</v>
      </c>
      <c r="G17" s="1229">
        <v>1000</v>
      </c>
      <c r="H17" s="1229"/>
      <c r="I17" s="1229" t="s">
        <v>473</v>
      </c>
      <c r="J17" s="668">
        <f t="shared" si="0"/>
        <v>4279594508</v>
      </c>
      <c r="K17" s="1229" t="s">
        <v>473</v>
      </c>
      <c r="L17" s="1230">
        <f>ROUND(SUMIF(T_BS!$F:$F,T198_TB!E17,T_BS!$X:$X),0)</f>
        <v>4279594508</v>
      </c>
      <c r="M17" s="740" t="s">
        <v>0</v>
      </c>
      <c r="O17" s="509"/>
    </row>
    <row r="18" spans="3:15" s="710" customFormat="1" ht="18" customHeight="1">
      <c r="C18" s="710">
        <v>1</v>
      </c>
      <c r="D18" s="1227" t="s">
        <v>632</v>
      </c>
      <c r="E18" s="1228">
        <v>1304</v>
      </c>
      <c r="F18" s="670" t="s">
        <v>46</v>
      </c>
      <c r="G18" s="1229">
        <v>1000</v>
      </c>
      <c r="H18" s="1229"/>
      <c r="I18" s="1229" t="s">
        <v>473</v>
      </c>
      <c r="J18" s="668">
        <f t="shared" si="0"/>
        <v>-1165347186</v>
      </c>
      <c r="K18" s="1229" t="s">
        <v>473</v>
      </c>
      <c r="L18" s="1230">
        <f>ROUND(SUMIF(T_BS!$F:$F,T198_TB!E18,T_BS!$X:$X),0)</f>
        <v>-1165347186</v>
      </c>
      <c r="M18" s="740" t="s">
        <v>0</v>
      </c>
      <c r="O18" s="509"/>
    </row>
    <row r="19" spans="3:15" s="710" customFormat="1" ht="18" customHeight="1">
      <c r="C19" s="710">
        <v>1</v>
      </c>
      <c r="D19" s="1227" t="s">
        <v>632</v>
      </c>
      <c r="E19" s="1228">
        <v>1305</v>
      </c>
      <c r="F19" s="670" t="s">
        <v>47</v>
      </c>
      <c r="G19" s="1229">
        <v>1000</v>
      </c>
      <c r="H19" s="1229"/>
      <c r="I19" s="1229" t="s">
        <v>473</v>
      </c>
      <c r="J19" s="668">
        <f t="shared" si="0"/>
        <v>1853002880</v>
      </c>
      <c r="K19" s="1229" t="s">
        <v>473</v>
      </c>
      <c r="L19" s="1230">
        <f>ROUND(SUMIF(T_BS!$F:$F,T198_TB!E19,T_BS!$X:$X),0)</f>
        <v>1853002880</v>
      </c>
      <c r="M19" s="740" t="s">
        <v>0</v>
      </c>
      <c r="O19" s="509"/>
    </row>
    <row r="20" spans="3:15" s="710" customFormat="1" ht="18" customHeight="1">
      <c r="C20" s="710">
        <v>1</v>
      </c>
      <c r="D20" s="1227" t="s">
        <v>632</v>
      </c>
      <c r="E20" s="1228">
        <v>1306</v>
      </c>
      <c r="F20" s="670" t="s">
        <v>48</v>
      </c>
      <c r="G20" s="1229">
        <v>1000</v>
      </c>
      <c r="H20" s="1229"/>
      <c r="I20" s="1229" t="s">
        <v>473</v>
      </c>
      <c r="J20" s="668">
        <f t="shared" si="0"/>
        <v>-589355725</v>
      </c>
      <c r="K20" s="1229" t="s">
        <v>473</v>
      </c>
      <c r="L20" s="1230">
        <f>ROUND(SUMIF(T_BS!$F:$F,T198_TB!E20,T_BS!$X:$X),0)</f>
        <v>-589355725</v>
      </c>
      <c r="M20" s="740" t="s">
        <v>0</v>
      </c>
      <c r="O20" s="509"/>
    </row>
    <row r="21" spans="3:15" s="710" customFormat="1" ht="18" customHeight="1">
      <c r="C21" s="710">
        <v>1</v>
      </c>
      <c r="D21" s="1227" t="s">
        <v>632</v>
      </c>
      <c r="E21" s="1228">
        <v>1307</v>
      </c>
      <c r="F21" s="670" t="s">
        <v>49</v>
      </c>
      <c r="G21" s="1229">
        <v>1000</v>
      </c>
      <c r="H21" s="1229"/>
      <c r="I21" s="1229" t="s">
        <v>473</v>
      </c>
      <c r="J21" s="668">
        <f t="shared" si="0"/>
        <v>10042110360</v>
      </c>
      <c r="K21" s="1229" t="s">
        <v>473</v>
      </c>
      <c r="L21" s="1230">
        <f>ROUND(SUMIF(T_BS!$F:$F,T198_TB!E21,T_BS!$X:$X),0)</f>
        <v>10042110360</v>
      </c>
      <c r="M21" s="740" t="s">
        <v>0</v>
      </c>
      <c r="O21" s="509"/>
    </row>
    <row r="22" spans="3:15" s="710" customFormat="1" ht="18" customHeight="1">
      <c r="C22" s="710">
        <v>1</v>
      </c>
      <c r="D22" s="1227" t="s">
        <v>632</v>
      </c>
      <c r="E22" s="1228">
        <v>1308</v>
      </c>
      <c r="F22" s="670" t="s">
        <v>50</v>
      </c>
      <c r="G22" s="1229">
        <v>1000</v>
      </c>
      <c r="H22" s="1229"/>
      <c r="I22" s="1229" t="s">
        <v>473</v>
      </c>
      <c r="J22" s="668">
        <f t="shared" si="0"/>
        <v>-5398788677</v>
      </c>
      <c r="K22" s="1229" t="s">
        <v>473</v>
      </c>
      <c r="L22" s="1230">
        <f>ROUND(SUMIF(T_BS!$F:$F,T198_TB!E22,T_BS!$X:$X),0)</f>
        <v>-5398788677</v>
      </c>
      <c r="M22" s="740" t="s">
        <v>0</v>
      </c>
      <c r="O22" s="509"/>
    </row>
    <row r="23" spans="3:15" s="710" customFormat="1" ht="18" customHeight="1">
      <c r="C23" s="710">
        <v>1</v>
      </c>
      <c r="D23" s="1227" t="s">
        <v>632</v>
      </c>
      <c r="E23" s="1228">
        <v>1401</v>
      </c>
      <c r="F23" s="670" t="s">
        <v>54</v>
      </c>
      <c r="G23" s="1229">
        <v>1000</v>
      </c>
      <c r="H23" s="1229"/>
      <c r="I23" s="1229" t="s">
        <v>473</v>
      </c>
      <c r="J23" s="668">
        <f t="shared" si="0"/>
        <v>124271330</v>
      </c>
      <c r="K23" s="1229" t="s">
        <v>473</v>
      </c>
      <c r="L23" s="1230">
        <f>ROUND(SUMIF(T_BS!$F:$F,T198_TB!E23,T_BS!$X:$X),0)</f>
        <v>124271330</v>
      </c>
      <c r="M23" s="740" t="s">
        <v>0</v>
      </c>
      <c r="O23" s="509"/>
    </row>
    <row r="24" spans="3:15" s="925" customFormat="1" ht="18" customHeight="1">
      <c r="C24" s="925">
        <v>1</v>
      </c>
      <c r="D24" s="1227" t="s">
        <v>632</v>
      </c>
      <c r="E24" s="1228">
        <v>1501</v>
      </c>
      <c r="F24" s="670" t="s">
        <v>2394</v>
      </c>
      <c r="G24" s="1229">
        <v>1000</v>
      </c>
      <c r="H24" s="1229"/>
      <c r="I24" s="1229" t="s">
        <v>473</v>
      </c>
      <c r="J24" s="668">
        <f t="shared" ref="J24:J70" si="1">+L24</f>
        <v>0</v>
      </c>
      <c r="K24" s="1229" t="s">
        <v>473</v>
      </c>
      <c r="L24" s="1230">
        <f>ROUND(SUMIF(T_BS!$F:$F,T198_TB!E24,T_BS!$X:$X),0)</f>
        <v>0</v>
      </c>
      <c r="M24" s="740" t="s">
        <v>0</v>
      </c>
      <c r="O24" s="509"/>
    </row>
    <row r="25" spans="3:15" s="710" customFormat="1" ht="18" customHeight="1">
      <c r="C25" s="710">
        <v>1</v>
      </c>
      <c r="D25" s="1227" t="s">
        <v>632</v>
      </c>
      <c r="E25" s="1228">
        <v>1601</v>
      </c>
      <c r="F25" s="670" t="s">
        <v>640</v>
      </c>
      <c r="G25" s="1229">
        <v>1000</v>
      </c>
      <c r="H25" s="1229"/>
      <c r="I25" s="1229" t="s">
        <v>473</v>
      </c>
      <c r="J25" s="668">
        <f t="shared" ref="J25:J33" si="2">+L25</f>
        <v>4494762345</v>
      </c>
      <c r="K25" s="1229" t="s">
        <v>473</v>
      </c>
      <c r="L25" s="1230">
        <f>ROUND(SUMIF(T_BS!$F:$F,T198_TB!E25,T_BS!$X:$X),0)</f>
        <v>4494762345</v>
      </c>
      <c r="M25" s="740" t="s">
        <v>0</v>
      </c>
      <c r="O25" s="509"/>
    </row>
    <row r="26" spans="3:15" s="710" customFormat="1" ht="18" customHeight="1">
      <c r="C26" s="710">
        <v>1</v>
      </c>
      <c r="D26" s="1227" t="s">
        <v>632</v>
      </c>
      <c r="E26" s="1228">
        <v>1605</v>
      </c>
      <c r="F26" s="670" t="s">
        <v>641</v>
      </c>
      <c r="G26" s="1229">
        <v>1000</v>
      </c>
      <c r="H26" s="1229"/>
      <c r="I26" s="1229" t="s">
        <v>473</v>
      </c>
      <c r="J26" s="668">
        <f t="shared" si="2"/>
        <v>2905321733</v>
      </c>
      <c r="K26" s="1229" t="s">
        <v>473</v>
      </c>
      <c r="L26" s="1230">
        <f>ROUND(SUMIF(T_BS!$F:$F,T198_TB!E26,T_BS!$X:$X),0)</f>
        <v>2905321733</v>
      </c>
      <c r="M26" s="740" t="s">
        <v>0</v>
      </c>
      <c r="O26" s="509"/>
    </row>
    <row r="27" spans="3:15" ht="18" customHeight="1">
      <c r="C27" s="710">
        <v>1</v>
      </c>
      <c r="D27" s="1227" t="s">
        <v>632</v>
      </c>
      <c r="E27" s="1237">
        <v>1607</v>
      </c>
      <c r="F27" s="1238" t="s">
        <v>689</v>
      </c>
      <c r="G27" s="1229">
        <v>1000</v>
      </c>
      <c r="H27" s="1229"/>
      <c r="I27" s="1229" t="s">
        <v>473</v>
      </c>
      <c r="J27" s="668">
        <f t="shared" si="2"/>
        <v>66315496</v>
      </c>
      <c r="K27" s="1229" t="s">
        <v>473</v>
      </c>
      <c r="L27" s="1230">
        <f>ROUND(SUMIF(T_BS!$F:$F,T198_TB!E27,T_BS!$X:$X),0)</f>
        <v>66315496</v>
      </c>
      <c r="M27" s="740" t="s">
        <v>0</v>
      </c>
    </row>
    <row r="28" spans="3:15" s="710" customFormat="1" ht="18" customHeight="1">
      <c r="C28" s="710">
        <v>1</v>
      </c>
      <c r="D28" s="1822" t="s">
        <v>632</v>
      </c>
      <c r="E28" s="1823">
        <v>2101</v>
      </c>
      <c r="F28" s="1824" t="s">
        <v>1878</v>
      </c>
      <c r="G28" s="1825">
        <v>1000</v>
      </c>
      <c r="H28" s="1825"/>
      <c r="I28" s="1825" t="s">
        <v>473</v>
      </c>
      <c r="J28" s="1826">
        <f t="shared" si="2"/>
        <v>1257560</v>
      </c>
      <c r="K28" s="1825" t="s">
        <v>473</v>
      </c>
      <c r="L28" s="1827">
        <f>ROUND(SUMIF(T_BS!$F:$F,T198_TB!E28,T_BS!$X:$X),0)</f>
        <v>1257560</v>
      </c>
      <c r="M28" s="740" t="s">
        <v>0</v>
      </c>
      <c r="O28" s="509"/>
    </row>
    <row r="29" spans="3:15" s="710" customFormat="1" ht="18" customHeight="1">
      <c r="C29" s="710">
        <v>1</v>
      </c>
      <c r="D29" s="1227" t="s">
        <v>632</v>
      </c>
      <c r="E29" s="1228" t="s">
        <v>1872</v>
      </c>
      <c r="F29" s="670" t="s">
        <v>75</v>
      </c>
      <c r="G29" s="1229">
        <v>1000</v>
      </c>
      <c r="H29" s="1229"/>
      <c r="I29" s="1229" t="s">
        <v>473</v>
      </c>
      <c r="J29" s="668">
        <f t="shared" si="2"/>
        <v>1523784916</v>
      </c>
      <c r="K29" s="1229" t="s">
        <v>473</v>
      </c>
      <c r="L29" s="1230">
        <f>ROUND(SUMIF(T_BS!$F:$F,T198_TB!E29,T_BS!$X:$X),0)</f>
        <v>1523784916</v>
      </c>
      <c r="M29" s="740" t="s">
        <v>0</v>
      </c>
      <c r="O29" s="509"/>
    </row>
    <row r="30" spans="3:15" s="710" customFormat="1" ht="18" customHeight="1">
      <c r="C30" s="710">
        <v>1</v>
      </c>
      <c r="D30" s="1227" t="s">
        <v>632</v>
      </c>
      <c r="E30" s="1228" t="s">
        <v>1873</v>
      </c>
      <c r="F30" s="670" t="s">
        <v>1879</v>
      </c>
      <c r="G30" s="1229">
        <v>1000</v>
      </c>
      <c r="H30" s="1229"/>
      <c r="I30" s="1229" t="s">
        <v>473</v>
      </c>
      <c r="J30" s="668">
        <f t="shared" si="2"/>
        <v>-109454918</v>
      </c>
      <c r="K30" s="1229" t="s">
        <v>473</v>
      </c>
      <c r="L30" s="1230">
        <f>ROUND(SUMIF(T_BS!$F:$F,T198_TB!E30,T_BS!$X:$X),0)</f>
        <v>-109454918</v>
      </c>
      <c r="M30" s="740" t="s">
        <v>0</v>
      </c>
      <c r="O30" s="509"/>
    </row>
    <row r="31" spans="3:15" s="710" customFormat="1" ht="18" customHeight="1">
      <c r="D31" s="1227" t="s">
        <v>632</v>
      </c>
      <c r="E31" s="1232">
        <v>2202</v>
      </c>
      <c r="F31" s="678" t="s">
        <v>83</v>
      </c>
      <c r="G31" s="1229">
        <v>1000</v>
      </c>
      <c r="H31" s="1229"/>
      <c r="I31" s="1229" t="s">
        <v>473</v>
      </c>
      <c r="J31" s="668">
        <f t="shared" si="2"/>
        <v>7941091721</v>
      </c>
      <c r="K31" s="1229" t="s">
        <v>473</v>
      </c>
      <c r="L31" s="1230">
        <f>ROUND(SUMIF(T_BS!$F:$F,T198_TB!E31,T_BS!$X:$X),0)</f>
        <v>7941091721</v>
      </c>
      <c r="M31" s="740" t="s">
        <v>0</v>
      </c>
      <c r="O31" s="509"/>
    </row>
    <row r="32" spans="3:15" s="710" customFormat="1" ht="18" customHeight="1">
      <c r="C32" s="710">
        <v>1</v>
      </c>
      <c r="D32" s="1227" t="s">
        <v>632</v>
      </c>
      <c r="E32" s="1228">
        <v>2302</v>
      </c>
      <c r="F32" s="670" t="s">
        <v>136</v>
      </c>
      <c r="G32" s="1229">
        <v>1000</v>
      </c>
      <c r="H32" s="1229"/>
      <c r="I32" s="1229" t="s">
        <v>473</v>
      </c>
      <c r="J32" s="668">
        <f t="shared" si="2"/>
        <v>0</v>
      </c>
      <c r="K32" s="1229" t="s">
        <v>473</v>
      </c>
      <c r="L32" s="1230">
        <f>ROUND(SUMIF(T_BS!$F:$F,T198_TB!E32,T_BS!$X:$X),0)</f>
        <v>0</v>
      </c>
      <c r="M32" s="740" t="s">
        <v>0</v>
      </c>
      <c r="N32" s="925"/>
      <c r="O32" s="509"/>
    </row>
    <row r="33" spans="3:15" s="710" customFormat="1" ht="18" customHeight="1">
      <c r="C33" s="710">
        <v>1</v>
      </c>
      <c r="D33" s="1227" t="s">
        <v>632</v>
      </c>
      <c r="E33" s="1228">
        <v>2311</v>
      </c>
      <c r="F33" s="670" t="s">
        <v>1694</v>
      </c>
      <c r="G33" s="1229">
        <v>1000</v>
      </c>
      <c r="H33" s="1229"/>
      <c r="I33" s="1229" t="s">
        <v>473</v>
      </c>
      <c r="J33" s="668">
        <f t="shared" si="2"/>
        <v>0</v>
      </c>
      <c r="K33" s="1229" t="s">
        <v>473</v>
      </c>
      <c r="L33" s="1230">
        <f>ROUND(SUMIF(T_BS!$F:$F,T198_TB!E33,T_BS!$X:$X),0)</f>
        <v>0</v>
      </c>
      <c r="M33" s="740" t="s">
        <v>0</v>
      </c>
      <c r="O33" s="509"/>
    </row>
    <row r="34" spans="3:15" s="710" customFormat="1" ht="18" customHeight="1">
      <c r="C34" s="710">
        <v>1</v>
      </c>
      <c r="D34" s="1227" t="s">
        <v>632</v>
      </c>
      <c r="E34" s="1228">
        <v>2321</v>
      </c>
      <c r="F34" s="670" t="s">
        <v>1704</v>
      </c>
      <c r="G34" s="1229">
        <v>1000</v>
      </c>
      <c r="H34" s="1229"/>
      <c r="I34" s="1229" t="s">
        <v>473</v>
      </c>
      <c r="J34" s="668">
        <f t="shared" si="1"/>
        <v>0</v>
      </c>
      <c r="K34" s="1229" t="s">
        <v>473</v>
      </c>
      <c r="L34" s="1230">
        <f>ROUND(SUMIF(T_BS!$F:$F,T198_TB!E34,T_BS!$X:$X),0)</f>
        <v>0</v>
      </c>
      <c r="M34" s="740" t="s">
        <v>0</v>
      </c>
      <c r="O34" s="509"/>
    </row>
    <row r="35" spans="3:15" s="710" customFormat="1" ht="18" customHeight="1">
      <c r="C35" s="710">
        <v>1</v>
      </c>
      <c r="D35" s="1227" t="s">
        <v>632</v>
      </c>
      <c r="E35" s="1228">
        <v>2322</v>
      </c>
      <c r="F35" s="670" t="s">
        <v>1705</v>
      </c>
      <c r="G35" s="1229">
        <v>1000</v>
      </c>
      <c r="H35" s="1229"/>
      <c r="I35" s="1229" t="s">
        <v>473</v>
      </c>
      <c r="J35" s="668">
        <f t="shared" ref="J35:J55" si="3">+L35</f>
        <v>0</v>
      </c>
      <c r="K35" s="1229" t="s">
        <v>473</v>
      </c>
      <c r="L35" s="1230">
        <f>ROUND(SUMIF(T_BS!$F:$F,T198_TB!E35,T_BS!$X:$X),0)</f>
        <v>0</v>
      </c>
      <c r="M35" s="740" t="s">
        <v>0</v>
      </c>
      <c r="O35" s="509"/>
    </row>
    <row r="36" spans="3:15" s="710" customFormat="1" ht="18" customHeight="1">
      <c r="C36" s="710">
        <v>1</v>
      </c>
      <c r="D36" s="1227" t="s">
        <v>632</v>
      </c>
      <c r="E36" s="1228">
        <v>2401</v>
      </c>
      <c r="F36" s="1231" t="s">
        <v>84</v>
      </c>
      <c r="G36" s="1229">
        <v>1000</v>
      </c>
      <c r="H36" s="1229"/>
      <c r="I36" s="1229" t="s">
        <v>473</v>
      </c>
      <c r="J36" s="668">
        <f t="shared" si="3"/>
        <v>31456249</v>
      </c>
      <c r="K36" s="1229" t="s">
        <v>473</v>
      </c>
      <c r="L36" s="1230">
        <f>ROUND(SUMIF(T_BS!$F:$F,T198_TB!E36,T_BS!$X:$X),0)</f>
        <v>31456249</v>
      </c>
      <c r="M36" s="740" t="s">
        <v>0</v>
      </c>
      <c r="O36" s="509"/>
    </row>
    <row r="37" spans="3:15" s="710" customFormat="1" ht="18" customHeight="1">
      <c r="C37" s="710">
        <v>1</v>
      </c>
      <c r="D37" s="1227" t="s">
        <v>632</v>
      </c>
      <c r="E37" s="1228">
        <v>2402</v>
      </c>
      <c r="F37" s="1231" t="s">
        <v>642</v>
      </c>
      <c r="G37" s="1229">
        <v>1000</v>
      </c>
      <c r="H37" s="1229"/>
      <c r="I37" s="1229" t="s">
        <v>473</v>
      </c>
      <c r="J37" s="668">
        <f t="shared" si="3"/>
        <v>-27730513</v>
      </c>
      <c r="K37" s="1229" t="s">
        <v>473</v>
      </c>
      <c r="L37" s="1230">
        <f>ROUND(SUMIF(T_BS!$F:$F,T198_TB!E37,T_BS!$X:$X),0)</f>
        <v>-27730513</v>
      </c>
      <c r="M37" s="740" t="s">
        <v>0</v>
      </c>
      <c r="O37" s="509"/>
    </row>
    <row r="38" spans="3:15" s="710" customFormat="1" ht="18" customHeight="1">
      <c r="C38" s="710">
        <v>1</v>
      </c>
      <c r="D38" s="1227" t="s">
        <v>632</v>
      </c>
      <c r="E38" s="1228">
        <v>2404</v>
      </c>
      <c r="F38" s="1231" t="s">
        <v>86</v>
      </c>
      <c r="G38" s="1229">
        <v>1000</v>
      </c>
      <c r="H38" s="1229"/>
      <c r="I38" s="1229" t="s">
        <v>473</v>
      </c>
      <c r="J38" s="668">
        <f t="shared" si="3"/>
        <v>209637249</v>
      </c>
      <c r="K38" s="1229" t="s">
        <v>473</v>
      </c>
      <c r="L38" s="1230">
        <f>ROUND(SUMIF(T_BS!$F:$F,T198_TB!E38,T_BS!$X:$X),0)</f>
        <v>209637249</v>
      </c>
      <c r="M38" s="740" t="s">
        <v>0</v>
      </c>
      <c r="O38" s="509"/>
    </row>
    <row r="39" spans="3:15" s="710" customFormat="1" ht="18" customHeight="1">
      <c r="C39" s="710">
        <v>1</v>
      </c>
      <c r="D39" s="1227" t="s">
        <v>632</v>
      </c>
      <c r="E39" s="1228">
        <v>2405</v>
      </c>
      <c r="F39" s="670" t="s">
        <v>643</v>
      </c>
      <c r="G39" s="1229">
        <v>1000</v>
      </c>
      <c r="H39" s="1229"/>
      <c r="I39" s="1229" t="s">
        <v>473</v>
      </c>
      <c r="J39" s="668">
        <f t="shared" si="3"/>
        <v>-164352480</v>
      </c>
      <c r="K39" s="1229" t="s">
        <v>473</v>
      </c>
      <c r="L39" s="1230">
        <f>ROUND(SUMIF(T_BS!$F:$F,T198_TB!E39,T_BS!$X:$X),0)</f>
        <v>-164352480</v>
      </c>
      <c r="M39" s="740" t="s">
        <v>0</v>
      </c>
      <c r="O39" s="509"/>
    </row>
    <row r="40" spans="3:15" s="710" customFormat="1" ht="18" customHeight="1">
      <c r="C40" s="710">
        <v>1</v>
      </c>
      <c r="D40" s="1227" t="s">
        <v>632</v>
      </c>
      <c r="E40" s="1228">
        <v>2406</v>
      </c>
      <c r="F40" s="670" t="s">
        <v>644</v>
      </c>
      <c r="G40" s="1229">
        <v>1000</v>
      </c>
      <c r="H40" s="1229"/>
      <c r="I40" s="1229" t="s">
        <v>473</v>
      </c>
      <c r="J40" s="668">
        <f t="shared" si="3"/>
        <v>-19482073</v>
      </c>
      <c r="K40" s="1229" t="s">
        <v>473</v>
      </c>
      <c r="L40" s="1230">
        <f>ROUND(SUMIF(T_BS!$F:$F,T198_TB!E40,T_BS!$X:$X),0)</f>
        <v>-19482073</v>
      </c>
      <c r="M40" s="740" t="s">
        <v>0</v>
      </c>
      <c r="O40" s="509"/>
    </row>
    <row r="41" spans="3:15" s="710" customFormat="1" ht="18" customHeight="1">
      <c r="C41" s="710">
        <v>1</v>
      </c>
      <c r="D41" s="1227" t="s">
        <v>632</v>
      </c>
      <c r="E41" s="1228">
        <v>2407</v>
      </c>
      <c r="F41" s="670" t="s">
        <v>89</v>
      </c>
      <c r="G41" s="1229">
        <v>1000</v>
      </c>
      <c r="H41" s="1229"/>
      <c r="I41" s="1229" t="s">
        <v>473</v>
      </c>
      <c r="J41" s="668">
        <f t="shared" si="3"/>
        <v>3918249092</v>
      </c>
      <c r="K41" s="1229" t="s">
        <v>473</v>
      </c>
      <c r="L41" s="1230">
        <f>ROUND(SUMIF(T_BS!$F:$F,T198_TB!E41,T_BS!$X:$X),0)</f>
        <v>3918249092</v>
      </c>
      <c r="M41" s="740" t="s">
        <v>0</v>
      </c>
      <c r="O41" s="509"/>
    </row>
    <row r="42" spans="3:15" s="710" customFormat="1" ht="18" customHeight="1">
      <c r="C42" s="710">
        <v>1</v>
      </c>
      <c r="D42" s="1227" t="s">
        <v>632</v>
      </c>
      <c r="E42" s="1228">
        <v>2408</v>
      </c>
      <c r="F42" s="670" t="s">
        <v>645</v>
      </c>
      <c r="G42" s="1229">
        <v>1000</v>
      </c>
      <c r="H42" s="1229"/>
      <c r="I42" s="1229" t="s">
        <v>473</v>
      </c>
      <c r="J42" s="668">
        <f t="shared" si="3"/>
        <v>-3086005287</v>
      </c>
      <c r="K42" s="1229" t="s">
        <v>473</v>
      </c>
      <c r="L42" s="1230">
        <f>ROUND(SUMIF(T_BS!$F:$F,T198_TB!E42,T_BS!$X:$X),0)</f>
        <v>-3086005287</v>
      </c>
      <c r="M42" s="740" t="s">
        <v>0</v>
      </c>
      <c r="O42" s="509"/>
    </row>
    <row r="43" spans="3:15" s="710" customFormat="1" ht="18" customHeight="1">
      <c r="C43" s="710">
        <v>1</v>
      </c>
      <c r="D43" s="1227" t="s">
        <v>632</v>
      </c>
      <c r="E43" s="1228">
        <v>2409</v>
      </c>
      <c r="F43" s="670" t="s">
        <v>646</v>
      </c>
      <c r="G43" s="1229">
        <v>1000</v>
      </c>
      <c r="H43" s="1229"/>
      <c r="I43" s="1229" t="s">
        <v>473</v>
      </c>
      <c r="J43" s="668">
        <f t="shared" si="3"/>
        <v>-266113106</v>
      </c>
      <c r="K43" s="1229" t="s">
        <v>473</v>
      </c>
      <c r="L43" s="1230">
        <f>ROUND(SUMIF(T_BS!$F:$F,T198_TB!E43,T_BS!$X:$X),0)</f>
        <v>-266113106</v>
      </c>
      <c r="M43" s="740" t="s">
        <v>0</v>
      </c>
      <c r="O43" s="509"/>
    </row>
    <row r="44" spans="3:15" s="710" customFormat="1" ht="18" customHeight="1">
      <c r="C44" s="710">
        <v>1</v>
      </c>
      <c r="D44" s="1227" t="s">
        <v>632</v>
      </c>
      <c r="E44" s="1228">
        <v>2413</v>
      </c>
      <c r="F44" s="670" t="s">
        <v>95</v>
      </c>
      <c r="G44" s="1229">
        <v>1000</v>
      </c>
      <c r="H44" s="1229"/>
      <c r="I44" s="1229" t="s">
        <v>473</v>
      </c>
      <c r="J44" s="668">
        <f t="shared" si="3"/>
        <v>5903368570</v>
      </c>
      <c r="K44" s="1229" t="s">
        <v>473</v>
      </c>
      <c r="L44" s="1230">
        <f>ROUND(SUMIF(T_BS!$F:$F,T198_TB!E44,T_BS!$X:$X),0)</f>
        <v>5903368570</v>
      </c>
      <c r="M44" s="740" t="s">
        <v>0</v>
      </c>
      <c r="O44" s="509"/>
    </row>
    <row r="45" spans="3:15" s="710" customFormat="1" ht="18" customHeight="1">
      <c r="C45" s="710">
        <v>1</v>
      </c>
      <c r="D45" s="1227" t="s">
        <v>632</v>
      </c>
      <c r="E45" s="1228">
        <v>2414</v>
      </c>
      <c r="F45" s="670" t="s">
        <v>647</v>
      </c>
      <c r="G45" s="1229">
        <v>1000</v>
      </c>
      <c r="H45" s="1229"/>
      <c r="I45" s="1229" t="s">
        <v>473</v>
      </c>
      <c r="J45" s="668">
        <f t="shared" si="3"/>
        <v>-3895541310</v>
      </c>
      <c r="K45" s="1229" t="s">
        <v>473</v>
      </c>
      <c r="L45" s="1230">
        <f>ROUND(SUMIF(T_BS!$F:$F,T198_TB!E45,T_BS!$X:$X),0)</f>
        <v>-3895541310</v>
      </c>
      <c r="M45" s="740" t="s">
        <v>0</v>
      </c>
      <c r="O45" s="509"/>
    </row>
    <row r="46" spans="3:15" s="710" customFormat="1" ht="18" customHeight="1">
      <c r="C46" s="710">
        <v>1</v>
      </c>
      <c r="D46" s="1227" t="s">
        <v>632</v>
      </c>
      <c r="E46" s="1228">
        <v>2415</v>
      </c>
      <c r="F46" s="670" t="s">
        <v>648</v>
      </c>
      <c r="G46" s="1229">
        <v>1000</v>
      </c>
      <c r="H46" s="1229"/>
      <c r="I46" s="1229" t="s">
        <v>473</v>
      </c>
      <c r="J46" s="668">
        <f t="shared" si="3"/>
        <v>-259526662</v>
      </c>
      <c r="K46" s="1229" t="s">
        <v>473</v>
      </c>
      <c r="L46" s="1230">
        <f>ROUND(SUMIF(T_BS!$F:$F,T198_TB!E46,T_BS!$X:$X),0)</f>
        <v>-259526662</v>
      </c>
      <c r="M46" s="740" t="s">
        <v>0</v>
      </c>
      <c r="O46" s="509"/>
    </row>
    <row r="47" spans="3:15" s="710" customFormat="1" ht="18" customHeight="1">
      <c r="C47" s="710">
        <v>1</v>
      </c>
      <c r="D47" s="1227" t="s">
        <v>632</v>
      </c>
      <c r="E47" s="1228">
        <v>2419</v>
      </c>
      <c r="F47" s="670" t="s">
        <v>533</v>
      </c>
      <c r="G47" s="1229">
        <v>1000</v>
      </c>
      <c r="H47" s="1229"/>
      <c r="I47" s="1229" t="s">
        <v>473</v>
      </c>
      <c r="J47" s="668">
        <f t="shared" si="3"/>
        <v>132828982</v>
      </c>
      <c r="K47" s="1229" t="s">
        <v>473</v>
      </c>
      <c r="L47" s="1230">
        <f>ROUND(SUMIF(T_BS!$F:$F,T198_TB!E47,T_BS!$X:$X),0)</f>
        <v>132828982</v>
      </c>
      <c r="M47" s="740" t="s">
        <v>0</v>
      </c>
      <c r="O47" s="509"/>
    </row>
    <row r="48" spans="3:15" s="710" customFormat="1" ht="18" customHeight="1">
      <c r="C48" s="710">
        <v>1</v>
      </c>
      <c r="D48" s="1227" t="s">
        <v>632</v>
      </c>
      <c r="E48" s="1228">
        <v>2501</v>
      </c>
      <c r="F48" s="670" t="s">
        <v>649</v>
      </c>
      <c r="G48" s="1229">
        <v>1000</v>
      </c>
      <c r="H48" s="1229"/>
      <c r="I48" s="1229" t="s">
        <v>473</v>
      </c>
      <c r="J48" s="668">
        <f t="shared" si="3"/>
        <v>1767082723</v>
      </c>
      <c r="K48" s="1229" t="s">
        <v>473</v>
      </c>
      <c r="L48" s="1230">
        <f>ROUND(SUMIF(T_BS!$F:$F,T198_TB!E48,T_BS!$X:$X),0)</f>
        <v>1767082723</v>
      </c>
      <c r="M48" s="740" t="s">
        <v>0</v>
      </c>
      <c r="O48" s="509"/>
    </row>
    <row r="49" spans="3:15" s="710" customFormat="1" ht="18" customHeight="1">
      <c r="C49" s="710">
        <v>1</v>
      </c>
      <c r="D49" s="1227" t="s">
        <v>632</v>
      </c>
      <c r="E49" s="1228">
        <v>2503</v>
      </c>
      <c r="F49" s="670" t="s">
        <v>110</v>
      </c>
      <c r="G49" s="1229">
        <v>1000</v>
      </c>
      <c r="H49" s="1229"/>
      <c r="I49" s="1229" t="s">
        <v>473</v>
      </c>
      <c r="J49" s="668">
        <f t="shared" si="3"/>
        <v>1525839605</v>
      </c>
      <c r="K49" s="1229" t="s">
        <v>473</v>
      </c>
      <c r="L49" s="1230">
        <f>ROUND(SUMIF(T_BS!$F:$F,T198_TB!E49,T_BS!$X:$X),0)</f>
        <v>1525839605</v>
      </c>
      <c r="M49" s="740" t="s">
        <v>0</v>
      </c>
      <c r="O49" s="509"/>
    </row>
    <row r="50" spans="3:15" s="710" customFormat="1" ht="18" customHeight="1">
      <c r="C50" s="710">
        <v>1</v>
      </c>
      <c r="D50" s="1227" t="s">
        <v>632</v>
      </c>
      <c r="E50" s="1228">
        <v>2505</v>
      </c>
      <c r="F50" s="670" t="s">
        <v>123</v>
      </c>
      <c r="G50" s="1229">
        <v>1000</v>
      </c>
      <c r="H50" s="1229"/>
      <c r="I50" s="1229" t="s">
        <v>473</v>
      </c>
      <c r="J50" s="668">
        <f t="shared" si="3"/>
        <v>2038567088</v>
      </c>
      <c r="K50" s="1229" t="s">
        <v>473</v>
      </c>
      <c r="L50" s="1230">
        <f>ROUND(SUMIF(T_BS!$F:$F,T198_TB!E50,T_BS!$X:$X),0)</f>
        <v>2038567088</v>
      </c>
      <c r="M50" s="740" t="s">
        <v>0</v>
      </c>
      <c r="O50" s="509"/>
    </row>
    <row r="51" spans="3:15" s="710" customFormat="1" ht="18" customHeight="1">
      <c r="C51" s="710">
        <v>1</v>
      </c>
      <c r="D51" s="1227" t="s">
        <v>632</v>
      </c>
      <c r="E51" s="1228">
        <v>2507</v>
      </c>
      <c r="F51" s="670" t="s">
        <v>650</v>
      </c>
      <c r="G51" s="1229">
        <v>1000</v>
      </c>
      <c r="H51" s="1229"/>
      <c r="I51" s="1229" t="s">
        <v>473</v>
      </c>
      <c r="J51" s="668">
        <f t="shared" si="3"/>
        <v>1444590351</v>
      </c>
      <c r="K51" s="1229" t="s">
        <v>473</v>
      </c>
      <c r="L51" s="1230">
        <f>ROUND(SUMIF(T_BS!$F:$F,T198_TB!E51,T_BS!$X:$X),0)</f>
        <v>1444590351</v>
      </c>
      <c r="M51" s="740" t="s">
        <v>0</v>
      </c>
      <c r="O51" s="509"/>
    </row>
    <row r="52" spans="3:15" s="710" customFormat="1" ht="18" customHeight="1">
      <c r="C52" s="710">
        <v>1</v>
      </c>
      <c r="D52" s="1227" t="s">
        <v>632</v>
      </c>
      <c r="E52" s="1228">
        <v>2508</v>
      </c>
      <c r="F52" s="670" t="s">
        <v>129</v>
      </c>
      <c r="G52" s="1229">
        <v>1000</v>
      </c>
      <c r="H52" s="1229"/>
      <c r="I52" s="1229" t="s">
        <v>473</v>
      </c>
      <c r="J52" s="668">
        <f t="shared" si="3"/>
        <v>7403615721</v>
      </c>
      <c r="K52" s="1229" t="s">
        <v>473</v>
      </c>
      <c r="L52" s="1230">
        <f>ROUND(SUMIF(T_BS!$F:$F,T198_TB!E52,T_BS!$X:$X),0)</f>
        <v>7403615721</v>
      </c>
      <c r="M52" s="740" t="s">
        <v>0</v>
      </c>
      <c r="O52" s="509"/>
    </row>
    <row r="53" spans="3:15" s="710" customFormat="1" ht="18" customHeight="1">
      <c r="C53" s="710">
        <v>1</v>
      </c>
      <c r="D53" s="1227" t="s">
        <v>632</v>
      </c>
      <c r="E53" s="1228">
        <v>2509</v>
      </c>
      <c r="F53" s="670" t="s">
        <v>1886</v>
      </c>
      <c r="G53" s="1229">
        <v>1000</v>
      </c>
      <c r="H53" s="1229"/>
      <c r="I53" s="1229" t="s">
        <v>473</v>
      </c>
      <c r="J53" s="668">
        <f t="shared" si="3"/>
        <v>462235490</v>
      </c>
      <c r="K53" s="1229" t="s">
        <v>473</v>
      </c>
      <c r="L53" s="1230">
        <f>ROUND(SUMIF(T_BS!$F:$F,T198_TB!E53,T_BS!$X:$X),0)</f>
        <v>462235490</v>
      </c>
      <c r="M53" s="740" t="s">
        <v>0</v>
      </c>
      <c r="O53" s="509"/>
    </row>
    <row r="54" spans="3:15" s="710" customFormat="1" ht="18" customHeight="1">
      <c r="C54" s="710">
        <v>1</v>
      </c>
      <c r="D54" s="1227" t="s">
        <v>632</v>
      </c>
      <c r="E54" s="1228">
        <v>2603</v>
      </c>
      <c r="F54" s="670" t="s">
        <v>2389</v>
      </c>
      <c r="G54" s="1229">
        <v>1000</v>
      </c>
      <c r="H54" s="1229"/>
      <c r="I54" s="1229" t="s">
        <v>473</v>
      </c>
      <c r="J54" s="668">
        <f t="shared" si="3"/>
        <v>0</v>
      </c>
      <c r="K54" s="1229" t="s">
        <v>473</v>
      </c>
      <c r="L54" s="1230">
        <f>ROUND(SUMIF(T_BS!$F:$F,T198_TB!E54,T_BS!$X:$X),0)</f>
        <v>0</v>
      </c>
      <c r="M54" s="740" t="s">
        <v>0</v>
      </c>
      <c r="O54" s="509"/>
    </row>
    <row r="55" spans="3:15" s="925" customFormat="1" ht="18" customHeight="1">
      <c r="C55" s="925">
        <v>1</v>
      </c>
      <c r="D55" s="1227" t="s">
        <v>632</v>
      </c>
      <c r="E55" s="1228">
        <v>2604</v>
      </c>
      <c r="F55" s="670" t="s">
        <v>2390</v>
      </c>
      <c r="G55" s="1229">
        <v>1000</v>
      </c>
      <c r="H55" s="1229"/>
      <c r="I55" s="1229" t="s">
        <v>473</v>
      </c>
      <c r="J55" s="668">
        <f t="shared" si="3"/>
        <v>26244925537</v>
      </c>
      <c r="K55" s="1229" t="s">
        <v>473</v>
      </c>
      <c r="L55" s="1230">
        <f>ROUND(SUMIF(T_BS!$F:$F,T198_TB!E55,T_BS!$X:$X),0)</f>
        <v>26244925537</v>
      </c>
      <c r="M55" s="740" t="s">
        <v>0</v>
      </c>
      <c r="O55" s="509"/>
    </row>
    <row r="56" spans="3:15" s="710" customFormat="1" ht="18" customHeight="1">
      <c r="C56" s="710">
        <v>1</v>
      </c>
      <c r="D56" s="1227" t="s">
        <v>632</v>
      </c>
      <c r="E56" s="1228">
        <v>2650</v>
      </c>
      <c r="F56" s="670" t="s">
        <v>1778</v>
      </c>
      <c r="G56" s="1229">
        <v>1000</v>
      </c>
      <c r="H56" s="1229"/>
      <c r="I56" s="1229" t="s">
        <v>473</v>
      </c>
      <c r="J56" s="668">
        <f t="shared" si="1"/>
        <v>0</v>
      </c>
      <c r="K56" s="1229" t="s">
        <v>473</v>
      </c>
      <c r="L56" s="1230">
        <f>ROUND(SUMIF(T_BS!$F:$F,T198_TB!E56,T_BS!$X:$X),0)</f>
        <v>0</v>
      </c>
      <c r="M56" s="740" t="s">
        <v>0</v>
      </c>
      <c r="O56" s="509"/>
    </row>
    <row r="57" spans="3:15" s="710" customFormat="1" ht="18" customHeight="1">
      <c r="C57" s="710">
        <v>1</v>
      </c>
      <c r="D57" s="1227" t="s">
        <v>632</v>
      </c>
      <c r="E57" s="1228">
        <v>2701</v>
      </c>
      <c r="F57" s="670" t="s">
        <v>101</v>
      </c>
      <c r="G57" s="1229">
        <v>1000</v>
      </c>
      <c r="H57" s="1229"/>
      <c r="I57" s="1229" t="s">
        <v>473</v>
      </c>
      <c r="J57" s="668">
        <f t="shared" si="1"/>
        <v>9686853866</v>
      </c>
      <c r="K57" s="1229" t="s">
        <v>473</v>
      </c>
      <c r="L57" s="1230">
        <f>ROUND(SUMIF(T_BS!$F:$F,T198_TB!E57,T_BS!$X:$X),0)</f>
        <v>9686853866</v>
      </c>
      <c r="M57" s="740" t="s">
        <v>0</v>
      </c>
      <c r="O57" s="509"/>
    </row>
    <row r="58" spans="3:15" s="710" customFormat="1" ht="18" customHeight="1">
      <c r="C58" s="710">
        <v>1</v>
      </c>
      <c r="D58" s="1227" t="s">
        <v>632</v>
      </c>
      <c r="E58" s="1228">
        <v>2702</v>
      </c>
      <c r="F58" s="670" t="s">
        <v>1588</v>
      </c>
      <c r="G58" s="1229">
        <v>1000</v>
      </c>
      <c r="H58" s="1229"/>
      <c r="I58" s="1229" t="s">
        <v>473</v>
      </c>
      <c r="J58" s="668">
        <f t="shared" si="1"/>
        <v>-8085785884</v>
      </c>
      <c r="K58" s="1229" t="s">
        <v>473</v>
      </c>
      <c r="L58" s="1230">
        <f>ROUND(SUMIF(T_BS!$F:$F,T198_TB!E58,T_BS!$X:$X),0)</f>
        <v>-8085785884</v>
      </c>
      <c r="M58" s="740" t="s">
        <v>0</v>
      </c>
      <c r="O58" s="509"/>
    </row>
    <row r="59" spans="3:15" s="710" customFormat="1" ht="18" customHeight="1">
      <c r="C59" s="710">
        <v>1</v>
      </c>
      <c r="D59" s="1227" t="s">
        <v>632</v>
      </c>
      <c r="E59" s="1228">
        <v>2801</v>
      </c>
      <c r="F59" s="1231" t="s">
        <v>103</v>
      </c>
      <c r="G59" s="1229">
        <v>1000</v>
      </c>
      <c r="H59" s="1229"/>
      <c r="I59" s="1229" t="s">
        <v>473</v>
      </c>
      <c r="J59" s="668">
        <f t="shared" si="1"/>
        <v>154590759</v>
      </c>
      <c r="K59" s="1229" t="s">
        <v>473</v>
      </c>
      <c r="L59" s="1230">
        <f>ROUND(SUMIF(T_BS!$F:$F,T198_TB!E59,T_BS!$X:$X),0)</f>
        <v>154590759</v>
      </c>
      <c r="M59" s="740" t="s">
        <v>0</v>
      </c>
      <c r="O59" s="509"/>
    </row>
    <row r="60" spans="3:15" s="710" customFormat="1" ht="18" customHeight="1">
      <c r="C60" s="710">
        <v>1</v>
      </c>
      <c r="D60" s="1227" t="s">
        <v>632</v>
      </c>
      <c r="E60" s="1228">
        <v>2802</v>
      </c>
      <c r="F60" s="1231" t="s">
        <v>1589</v>
      </c>
      <c r="G60" s="1229">
        <v>1000</v>
      </c>
      <c r="H60" s="1229"/>
      <c r="I60" s="1229" t="s">
        <v>473</v>
      </c>
      <c r="J60" s="668">
        <f t="shared" si="1"/>
        <v>-60201010</v>
      </c>
      <c r="K60" s="1229" t="s">
        <v>473</v>
      </c>
      <c r="L60" s="1230">
        <f>ROUND(SUMIF(T_BS!$F:$F,T198_TB!E60,T_BS!$X:$X),0)</f>
        <v>-60201010</v>
      </c>
      <c r="M60" s="740" t="s">
        <v>0</v>
      </c>
      <c r="O60" s="509"/>
    </row>
    <row r="61" spans="3:15" s="710" customFormat="1" ht="18" customHeight="1">
      <c r="C61" s="710">
        <v>1</v>
      </c>
      <c r="D61" s="1227" t="s">
        <v>632</v>
      </c>
      <c r="E61" s="1232">
        <v>2811</v>
      </c>
      <c r="F61" s="1233" t="s">
        <v>2678</v>
      </c>
      <c r="G61" s="1229">
        <v>1000</v>
      </c>
      <c r="H61" s="1229"/>
      <c r="I61" s="1229" t="s">
        <v>473</v>
      </c>
      <c r="J61" s="668">
        <f t="shared" si="1"/>
        <v>244897772</v>
      </c>
      <c r="K61" s="1229" t="s">
        <v>473</v>
      </c>
      <c r="L61" s="1230">
        <f>ROUND(SUMIF(T_BS!$F:$F,T198_TB!E61,T_BS!$X:$X),0)</f>
        <v>244897772</v>
      </c>
      <c r="M61" s="740" t="s">
        <v>0</v>
      </c>
      <c r="O61" s="509"/>
    </row>
    <row r="62" spans="3:15" s="710" customFormat="1" ht="18" customHeight="1">
      <c r="C62" s="710">
        <v>1</v>
      </c>
      <c r="D62" s="1227" t="s">
        <v>632</v>
      </c>
      <c r="E62" s="1232">
        <v>2812</v>
      </c>
      <c r="F62" s="1233" t="s">
        <v>2679</v>
      </c>
      <c r="G62" s="1229">
        <v>1000</v>
      </c>
      <c r="H62" s="1229"/>
      <c r="I62" s="1229" t="s">
        <v>473</v>
      </c>
      <c r="J62" s="668">
        <f t="shared" si="1"/>
        <v>-92338507</v>
      </c>
      <c r="K62" s="1229" t="s">
        <v>473</v>
      </c>
      <c r="L62" s="1230">
        <f>ROUND(SUMIF(T_BS!$F:$F,T198_TB!E62,T_BS!$X:$X),0)</f>
        <v>-92338507</v>
      </c>
      <c r="M62" s="740" t="s">
        <v>0</v>
      </c>
      <c r="O62" s="509"/>
    </row>
    <row r="63" spans="3:15" s="710" customFormat="1" ht="18" customHeight="1">
      <c r="C63" s="710">
        <v>1</v>
      </c>
      <c r="D63" s="1227" t="s">
        <v>632</v>
      </c>
      <c r="E63" s="1228" t="s">
        <v>1876</v>
      </c>
      <c r="F63" s="670" t="s">
        <v>1785</v>
      </c>
      <c r="G63" s="1229">
        <v>1000</v>
      </c>
      <c r="H63" s="1229"/>
      <c r="I63" s="1229" t="s">
        <v>473</v>
      </c>
      <c r="J63" s="668">
        <f t="shared" si="1"/>
        <v>0</v>
      </c>
      <c r="K63" s="1229" t="s">
        <v>473</v>
      </c>
      <c r="L63" s="1230">
        <f>ROUND(SUMIF(T_BS!$F:$F,T198_TB!E63,T_BS!$X:$X),0)</f>
        <v>0</v>
      </c>
      <c r="M63" s="740" t="s">
        <v>0</v>
      </c>
      <c r="O63" s="509"/>
    </row>
    <row r="64" spans="3:15" s="710" customFormat="1" ht="18" customHeight="1">
      <c r="C64" s="710">
        <v>1</v>
      </c>
      <c r="D64" s="1227" t="s">
        <v>632</v>
      </c>
      <c r="E64" s="1228">
        <v>112900</v>
      </c>
      <c r="F64" s="670" t="s">
        <v>2675</v>
      </c>
      <c r="G64" s="1229">
        <v>1000</v>
      </c>
      <c r="H64" s="1229"/>
      <c r="I64" s="1229" t="s">
        <v>473</v>
      </c>
      <c r="J64" s="668">
        <f>+L64</f>
        <v>0</v>
      </c>
      <c r="K64" s="1229" t="s">
        <v>473</v>
      </c>
      <c r="L64" s="1230">
        <f>ROUND(SUMIF(T_BS!$F:$F,T198_TB!E64,T_BS!$X:$X),0)</f>
        <v>0</v>
      </c>
      <c r="M64" s="740" t="s">
        <v>2411</v>
      </c>
      <c r="O64" s="509"/>
    </row>
    <row r="65" spans="3:15" s="710" customFormat="1" ht="18" customHeight="1">
      <c r="C65" s="710">
        <v>1</v>
      </c>
      <c r="D65" s="1227" t="s">
        <v>632</v>
      </c>
      <c r="E65" s="1228">
        <v>3101</v>
      </c>
      <c r="F65" s="670" t="s">
        <v>651</v>
      </c>
      <c r="G65" s="1229">
        <v>1000</v>
      </c>
      <c r="H65" s="1229"/>
      <c r="I65" s="1229" t="s">
        <v>473</v>
      </c>
      <c r="J65" s="668">
        <f t="shared" si="1"/>
        <v>-39259372795</v>
      </c>
      <c r="K65" s="1229" t="s">
        <v>473</v>
      </c>
      <c r="L65" s="1230">
        <f>-ROUND(SUMIF(T_BS!$F:$F,T198_TB!E65,T_BS!$X:$X),0)</f>
        <v>-39259372795</v>
      </c>
      <c r="M65" s="740" t="s">
        <v>8</v>
      </c>
      <c r="O65" s="509"/>
    </row>
    <row r="66" spans="3:15" s="710" customFormat="1" ht="18" customHeight="1">
      <c r="C66" s="710">
        <v>1</v>
      </c>
      <c r="D66" s="1227" t="s">
        <v>632</v>
      </c>
      <c r="E66" s="1228">
        <v>3102</v>
      </c>
      <c r="F66" s="670" t="s">
        <v>653</v>
      </c>
      <c r="G66" s="1229">
        <v>1000</v>
      </c>
      <c r="H66" s="1229"/>
      <c r="I66" s="1229" t="s">
        <v>473</v>
      </c>
      <c r="J66" s="668">
        <f t="shared" si="1"/>
        <v>-41898686163</v>
      </c>
      <c r="K66" s="1229" t="s">
        <v>473</v>
      </c>
      <c r="L66" s="1230">
        <f>-ROUND(SUMIF(T_BS!$F:$F,T198_TB!E66,T_BS!$X:$X),0)</f>
        <v>-41898686163</v>
      </c>
      <c r="M66" s="740" t="s">
        <v>8</v>
      </c>
      <c r="O66" s="509"/>
    </row>
    <row r="67" spans="3:15" s="710" customFormat="1" ht="18" customHeight="1">
      <c r="C67" s="710">
        <v>1</v>
      </c>
      <c r="D67" s="1227" t="s">
        <v>632</v>
      </c>
      <c r="E67" s="1228">
        <v>3103</v>
      </c>
      <c r="F67" s="670" t="s">
        <v>657</v>
      </c>
      <c r="G67" s="1229">
        <v>1000</v>
      </c>
      <c r="H67" s="1229"/>
      <c r="I67" s="1229" t="s">
        <v>473</v>
      </c>
      <c r="J67" s="668">
        <f>+L67</f>
        <v>-1984258486</v>
      </c>
      <c r="K67" s="1229" t="s">
        <v>473</v>
      </c>
      <c r="L67" s="1230">
        <f>-ROUND(SUMIF(T_BS!$F:$F,T198_TB!E67,T_BS!$X:$X),0)</f>
        <v>-1984258486</v>
      </c>
      <c r="M67" s="740" t="s">
        <v>8</v>
      </c>
      <c r="O67" s="509"/>
    </row>
    <row r="68" spans="3:15" s="710" customFormat="1" ht="18" customHeight="1">
      <c r="C68" s="710">
        <v>1</v>
      </c>
      <c r="D68" s="1227" t="s">
        <v>632</v>
      </c>
      <c r="E68" s="1228">
        <v>3201</v>
      </c>
      <c r="F68" s="670" t="s">
        <v>656</v>
      </c>
      <c r="G68" s="1229">
        <v>1000</v>
      </c>
      <c r="H68" s="1229"/>
      <c r="I68" s="1229" t="s">
        <v>473</v>
      </c>
      <c r="J68" s="668">
        <f>+L68</f>
        <v>-17944904</v>
      </c>
      <c r="K68" s="1229" t="s">
        <v>473</v>
      </c>
      <c r="L68" s="1230">
        <f>-ROUND(SUMIF(T_BS!$F:$F,T198_TB!E68,T_BS!$X:$X),0)</f>
        <v>-17944904</v>
      </c>
      <c r="M68" s="740" t="s">
        <v>8</v>
      </c>
      <c r="O68" s="509"/>
    </row>
    <row r="69" spans="3:15" s="710" customFormat="1" ht="18" customHeight="1">
      <c r="C69" s="710">
        <v>1</v>
      </c>
      <c r="D69" s="1227" t="s">
        <v>632</v>
      </c>
      <c r="E69" s="1228">
        <v>3401</v>
      </c>
      <c r="F69" s="670" t="s">
        <v>654</v>
      </c>
      <c r="G69" s="1229">
        <v>1000</v>
      </c>
      <c r="H69" s="1229"/>
      <c r="I69" s="1229" t="s">
        <v>473</v>
      </c>
      <c r="J69" s="668">
        <f t="shared" si="1"/>
        <v>-260934294</v>
      </c>
      <c r="K69" s="1229" t="s">
        <v>473</v>
      </c>
      <c r="L69" s="1230">
        <f>-ROUND(SUMIF(T_BS!$F:$F,T198_TB!E69,T_BS!$X:$X),0)</f>
        <v>-260934294</v>
      </c>
      <c r="M69" s="740" t="s">
        <v>8</v>
      </c>
      <c r="O69" s="509"/>
    </row>
    <row r="70" spans="3:15" s="710" customFormat="1" ht="18" customHeight="1">
      <c r="C70" s="710">
        <v>1</v>
      </c>
      <c r="D70" s="1227" t="s">
        <v>632</v>
      </c>
      <c r="E70" s="1228">
        <v>3402</v>
      </c>
      <c r="F70" s="670" t="s">
        <v>655</v>
      </c>
      <c r="G70" s="1229">
        <v>1000</v>
      </c>
      <c r="H70" s="1229"/>
      <c r="I70" s="1229" t="s">
        <v>473</v>
      </c>
      <c r="J70" s="668">
        <f t="shared" si="1"/>
        <v>-594690241</v>
      </c>
      <c r="K70" s="1229" t="s">
        <v>473</v>
      </c>
      <c r="L70" s="1230">
        <f>-ROUND(SUMIF(T_BS!$F:$F,T198_TB!E70,T_BS!$X:$X),0)</f>
        <v>-594690241</v>
      </c>
      <c r="M70" s="740" t="s">
        <v>8</v>
      </c>
      <c r="O70" s="509"/>
    </row>
    <row r="71" spans="3:15" s="710" customFormat="1" ht="18" customHeight="1">
      <c r="C71" s="710">
        <v>1</v>
      </c>
      <c r="D71" s="1227" t="s">
        <v>632</v>
      </c>
      <c r="E71" s="1228">
        <v>3403</v>
      </c>
      <c r="F71" s="670" t="s">
        <v>661</v>
      </c>
      <c r="G71" s="1229">
        <v>1000</v>
      </c>
      <c r="H71" s="1229"/>
      <c r="I71" s="1229" t="s">
        <v>473</v>
      </c>
      <c r="J71" s="668">
        <f>+L71</f>
        <v>0</v>
      </c>
      <c r="K71" s="1229" t="s">
        <v>473</v>
      </c>
      <c r="L71" s="1230">
        <f>-ROUND(SUMIF(T_BS!$F:$F,T198_TB!E71,T_BS!$X:$X),0)</f>
        <v>0</v>
      </c>
      <c r="M71" s="740" t="s">
        <v>8</v>
      </c>
      <c r="O71" s="509"/>
    </row>
    <row r="72" spans="3:15" s="710" customFormat="1" ht="18" customHeight="1">
      <c r="C72" s="710">
        <v>1</v>
      </c>
      <c r="D72" s="1227" t="s">
        <v>632</v>
      </c>
      <c r="E72" s="1228">
        <v>3404</v>
      </c>
      <c r="F72" s="670" t="s">
        <v>180</v>
      </c>
      <c r="G72" s="1229">
        <v>1000</v>
      </c>
      <c r="H72" s="1229"/>
      <c r="I72" s="1229" t="s">
        <v>473</v>
      </c>
      <c r="J72" s="668">
        <f>+L72</f>
        <v>-399893521</v>
      </c>
      <c r="K72" s="1229" t="s">
        <v>473</v>
      </c>
      <c r="L72" s="1230">
        <f>-ROUND(SUMIF(T_BS!$F:$F,T198_TB!E72,T_BS!$X:$X),0)</f>
        <v>-399893521</v>
      </c>
      <c r="M72" s="740" t="s">
        <v>8</v>
      </c>
      <c r="O72" s="509"/>
    </row>
    <row r="73" spans="3:15" s="710" customFormat="1" ht="18" customHeight="1">
      <c r="C73" s="710">
        <v>1</v>
      </c>
      <c r="D73" s="1227" t="s">
        <v>632</v>
      </c>
      <c r="E73" s="1228">
        <v>3405</v>
      </c>
      <c r="F73" s="670" t="s">
        <v>2385</v>
      </c>
      <c r="G73" s="1229">
        <v>1000</v>
      </c>
      <c r="H73" s="1229"/>
      <c r="I73" s="1229" t="s">
        <v>473</v>
      </c>
      <c r="J73" s="668">
        <f>+L73</f>
        <v>0</v>
      </c>
      <c r="K73" s="1229" t="s">
        <v>473</v>
      </c>
      <c r="L73" s="1230">
        <f>-ROUND(SUMIF(T_BS!$F:$F,T198_TB!E73,T_BS!$X:$X),0)</f>
        <v>0</v>
      </c>
      <c r="M73" s="740" t="s">
        <v>8</v>
      </c>
      <c r="O73" s="509"/>
    </row>
    <row r="74" spans="3:15" s="710" customFormat="1" ht="18" customHeight="1">
      <c r="C74" s="710">
        <v>1</v>
      </c>
      <c r="D74" s="1227" t="s">
        <v>632</v>
      </c>
      <c r="E74" s="1237">
        <v>3406</v>
      </c>
      <c r="F74" s="1238" t="s">
        <v>1918</v>
      </c>
      <c r="G74" s="1229">
        <v>1000</v>
      </c>
      <c r="H74" s="1229"/>
      <c r="I74" s="1229" t="s">
        <v>473</v>
      </c>
      <c r="J74" s="668">
        <f>+L74</f>
        <v>-80038925</v>
      </c>
      <c r="K74" s="1229" t="s">
        <v>473</v>
      </c>
      <c r="L74" s="1230">
        <f>-ROUND(SUMIF(T_BS!$F:$F,T198_TB!E74,T_BS!$X:$X),0)</f>
        <v>-80038925</v>
      </c>
      <c r="M74" s="740" t="s">
        <v>8</v>
      </c>
      <c r="N74" s="509"/>
      <c r="O74" s="509"/>
    </row>
    <row r="75" spans="3:15" ht="18" customHeight="1">
      <c r="C75" s="710">
        <v>1</v>
      </c>
      <c r="D75" s="1227" t="s">
        <v>632</v>
      </c>
      <c r="E75" s="1237">
        <v>3408</v>
      </c>
      <c r="F75" s="1238" t="s">
        <v>2290</v>
      </c>
      <c r="G75" s="1229">
        <v>1000</v>
      </c>
      <c r="H75" s="1229"/>
      <c r="I75" s="1229" t="s">
        <v>473</v>
      </c>
      <c r="J75" s="668">
        <f>+L75</f>
        <v>-6195010647</v>
      </c>
      <c r="K75" s="1229" t="s">
        <v>473</v>
      </c>
      <c r="L75" s="1230">
        <f>-ROUND(SUMIF(T_BS!$F:$F,T198_TB!E75,T_BS!$X:$X),0)</f>
        <v>-6195010647</v>
      </c>
      <c r="M75" s="740" t="s">
        <v>8</v>
      </c>
    </row>
    <row r="76" spans="3:15" s="710" customFormat="1" ht="18" customHeight="1">
      <c r="C76" s="710">
        <v>1</v>
      </c>
      <c r="D76" s="1227" t="s">
        <v>632</v>
      </c>
      <c r="E76" s="1228">
        <v>3501</v>
      </c>
      <c r="F76" s="670" t="s">
        <v>658</v>
      </c>
      <c r="G76" s="1229">
        <v>1000</v>
      </c>
      <c r="H76" s="1229"/>
      <c r="I76" s="1229" t="s">
        <v>473</v>
      </c>
      <c r="J76" s="668">
        <f t="shared" ref="J76:J141" si="4">+L76</f>
        <v>0</v>
      </c>
      <c r="K76" s="1229" t="s">
        <v>473</v>
      </c>
      <c r="L76" s="1230">
        <f>-ROUND(SUMIF(T_BS!$F:$F,T198_TB!E76,T_BS!$X:$X),0)</f>
        <v>0</v>
      </c>
      <c r="M76" s="740" t="s">
        <v>8</v>
      </c>
      <c r="O76" s="509"/>
    </row>
    <row r="77" spans="3:15" s="710" customFormat="1" ht="18" customHeight="1">
      <c r="C77" s="710">
        <v>1</v>
      </c>
      <c r="D77" s="1227" t="s">
        <v>632</v>
      </c>
      <c r="E77" s="1228">
        <v>3502</v>
      </c>
      <c r="F77" s="670" t="s">
        <v>660</v>
      </c>
      <c r="G77" s="1229">
        <v>1000</v>
      </c>
      <c r="H77" s="1229"/>
      <c r="I77" s="1229" t="s">
        <v>473</v>
      </c>
      <c r="J77" s="668">
        <f>+L77</f>
        <v>0</v>
      </c>
      <c r="K77" s="1229" t="s">
        <v>473</v>
      </c>
      <c r="L77" s="1230">
        <f>-ROUND(SUMIF(T_BS!$F:$F,T198_TB!E77,T_BS!$X:$X),0)</f>
        <v>0</v>
      </c>
      <c r="M77" s="740" t="s">
        <v>8</v>
      </c>
      <c r="O77" s="509"/>
    </row>
    <row r="78" spans="3:15" s="710" customFormat="1" ht="18" customHeight="1">
      <c r="C78" s="710">
        <v>1</v>
      </c>
      <c r="D78" s="1227" t="s">
        <v>632</v>
      </c>
      <c r="E78" s="1228">
        <v>3503</v>
      </c>
      <c r="F78" s="670" t="s">
        <v>659</v>
      </c>
      <c r="G78" s="1229">
        <v>1000</v>
      </c>
      <c r="H78" s="1229"/>
      <c r="I78" s="1229" t="s">
        <v>473</v>
      </c>
      <c r="J78" s="668">
        <f t="shared" si="4"/>
        <v>0</v>
      </c>
      <c r="K78" s="1229" t="s">
        <v>473</v>
      </c>
      <c r="L78" s="1230">
        <f>-ROUND(SUMIF(T_BS!$F:$F,T198_TB!E78,T_BS!$X:$X),0)</f>
        <v>0</v>
      </c>
      <c r="M78" s="740" t="s">
        <v>8</v>
      </c>
      <c r="O78" s="509"/>
    </row>
    <row r="79" spans="3:15" s="710" customFormat="1" ht="18" customHeight="1">
      <c r="C79" s="710">
        <v>1</v>
      </c>
      <c r="D79" s="1227" t="s">
        <v>632</v>
      </c>
      <c r="E79" s="1228">
        <v>3504</v>
      </c>
      <c r="F79" s="1231" t="s">
        <v>1590</v>
      </c>
      <c r="G79" s="1229">
        <v>1000</v>
      </c>
      <c r="H79" s="1229"/>
      <c r="I79" s="1229" t="s">
        <v>473</v>
      </c>
      <c r="J79" s="668">
        <f>+L79</f>
        <v>-2069673958</v>
      </c>
      <c r="K79" s="1229" t="s">
        <v>473</v>
      </c>
      <c r="L79" s="1230">
        <f>-ROUND(SUMIF(T_BS!$F:$F,T198_TB!E79,T_BS!$X:$X),0)</f>
        <v>-2069673958</v>
      </c>
      <c r="M79" s="740" t="s">
        <v>8</v>
      </c>
      <c r="O79" s="509"/>
    </row>
    <row r="80" spans="3:15" s="710" customFormat="1" ht="18" customHeight="1">
      <c r="C80" s="710">
        <v>1</v>
      </c>
      <c r="D80" s="1227" t="s">
        <v>632</v>
      </c>
      <c r="E80" s="1228">
        <v>3505</v>
      </c>
      <c r="F80" s="670" t="s">
        <v>2680</v>
      </c>
      <c r="G80" s="1229">
        <v>1000</v>
      </c>
      <c r="H80" s="1229"/>
      <c r="I80" s="1229" t="s">
        <v>473</v>
      </c>
      <c r="J80" s="668">
        <f t="shared" si="4"/>
        <v>-51782363760</v>
      </c>
      <c r="K80" s="1229" t="s">
        <v>473</v>
      </c>
      <c r="L80" s="1230">
        <f>-ROUND(SUMIF(T_BS!$F:$F,T198_TB!E80,T_BS!$X:$X),0)</f>
        <v>-51782363760</v>
      </c>
      <c r="M80" s="740" t="s">
        <v>8</v>
      </c>
      <c r="O80" s="509"/>
    </row>
    <row r="81" spans="3:15" s="710" customFormat="1" ht="18" customHeight="1">
      <c r="C81" s="710">
        <v>1</v>
      </c>
      <c r="D81" s="1227" t="s">
        <v>632</v>
      </c>
      <c r="E81" s="1228">
        <v>4103</v>
      </c>
      <c r="F81" s="670" t="s">
        <v>1587</v>
      </c>
      <c r="G81" s="1229">
        <v>1000</v>
      </c>
      <c r="H81" s="1229"/>
      <c r="I81" s="1229" t="s">
        <v>473</v>
      </c>
      <c r="J81" s="668">
        <f t="shared" ref="J81:J87" si="5">+L81</f>
        <v>0</v>
      </c>
      <c r="K81" s="1229" t="s">
        <v>473</v>
      </c>
      <c r="L81" s="1230">
        <f>-ROUND(SUMIF(T_BS!$F:$F,T198_TB!E81,T_BS!$X:$X),0)</f>
        <v>0</v>
      </c>
      <c r="M81" s="740" t="s">
        <v>8</v>
      </c>
      <c r="O81" s="509"/>
    </row>
    <row r="82" spans="3:15" s="710" customFormat="1" ht="18" customHeight="1">
      <c r="C82" s="710">
        <v>1</v>
      </c>
      <c r="D82" s="1227" t="s">
        <v>632</v>
      </c>
      <c r="E82" s="1228">
        <v>4104</v>
      </c>
      <c r="F82" s="1231" t="s">
        <v>1695</v>
      </c>
      <c r="G82" s="1229">
        <v>1000</v>
      </c>
      <c r="H82" s="1229"/>
      <c r="I82" s="1229" t="s">
        <v>473</v>
      </c>
      <c r="J82" s="668">
        <f t="shared" si="5"/>
        <v>0</v>
      </c>
      <c r="K82" s="1229" t="s">
        <v>473</v>
      </c>
      <c r="L82" s="1230">
        <f>-ROUND(SUMIF(T_BS!$F:$F,T198_TB!E82,T_BS!$X:$X),0)</f>
        <v>0</v>
      </c>
      <c r="M82" s="740" t="s">
        <v>8</v>
      </c>
      <c r="O82" s="509"/>
    </row>
    <row r="83" spans="3:15" s="710" customFormat="1" ht="18" customHeight="1">
      <c r="C83" s="710">
        <v>1</v>
      </c>
      <c r="D83" s="1227" t="s">
        <v>632</v>
      </c>
      <c r="E83" s="1228">
        <v>4201</v>
      </c>
      <c r="F83" s="670" t="s">
        <v>662</v>
      </c>
      <c r="G83" s="1229">
        <v>1000</v>
      </c>
      <c r="H83" s="1229"/>
      <c r="I83" s="1229" t="s">
        <v>473</v>
      </c>
      <c r="J83" s="668">
        <f t="shared" si="5"/>
        <v>-7370925292</v>
      </c>
      <c r="K83" s="1229" t="s">
        <v>473</v>
      </c>
      <c r="L83" s="1230">
        <f>-ROUND(SUMIF(T_BS!$F:$F,T198_TB!E83,T_BS!$X:$X),0)</f>
        <v>-7370925292</v>
      </c>
      <c r="M83" s="740" t="s">
        <v>8</v>
      </c>
      <c r="O83" s="509"/>
    </row>
    <row r="84" spans="3:15" s="710" customFormat="1" ht="18" customHeight="1">
      <c r="C84" s="710">
        <v>1</v>
      </c>
      <c r="D84" s="1227" t="s">
        <v>632</v>
      </c>
      <c r="E84" s="1228">
        <v>4202</v>
      </c>
      <c r="F84" s="670" t="s">
        <v>663</v>
      </c>
      <c r="G84" s="1229">
        <v>1000</v>
      </c>
      <c r="H84" s="1229"/>
      <c r="I84" s="1229" t="s">
        <v>473</v>
      </c>
      <c r="J84" s="668">
        <f t="shared" si="5"/>
        <v>6605671393</v>
      </c>
      <c r="K84" s="1229" t="s">
        <v>473</v>
      </c>
      <c r="L84" s="1230">
        <f>-ROUND(SUMIF(T_BS!$F:$F,T198_TB!E84,T_BS!$X:$X),0)</f>
        <v>6605671393</v>
      </c>
      <c r="M84" s="740" t="s">
        <v>8</v>
      </c>
      <c r="O84" s="509"/>
    </row>
    <row r="85" spans="3:15" s="710" customFormat="1" ht="18" customHeight="1">
      <c r="C85" s="710">
        <v>1</v>
      </c>
      <c r="D85" s="1227" t="s">
        <v>632</v>
      </c>
      <c r="E85" s="1228">
        <v>4301</v>
      </c>
      <c r="F85" s="670" t="s">
        <v>664</v>
      </c>
      <c r="G85" s="1229">
        <v>1000</v>
      </c>
      <c r="H85" s="1229"/>
      <c r="I85" s="1229" t="s">
        <v>473</v>
      </c>
      <c r="J85" s="668">
        <f t="shared" si="5"/>
        <v>0</v>
      </c>
      <c r="K85" s="1229" t="s">
        <v>473</v>
      </c>
      <c r="L85" s="1230">
        <f>-ROUND(SUMIF(T_BS!$F:$F,T198_TB!E85,T_BS!$X:$X),0)</f>
        <v>0</v>
      </c>
      <c r="M85" s="740" t="s">
        <v>8</v>
      </c>
      <c r="O85" s="509"/>
    </row>
    <row r="86" spans="3:15" s="710" customFormat="1" ht="18" customHeight="1">
      <c r="C86" s="710">
        <v>1</v>
      </c>
      <c r="D86" s="1227" t="s">
        <v>632</v>
      </c>
      <c r="E86" s="1228">
        <v>4402</v>
      </c>
      <c r="F86" s="670" t="s">
        <v>188</v>
      </c>
      <c r="G86" s="1229">
        <v>1000</v>
      </c>
      <c r="H86" s="1229"/>
      <c r="I86" s="1229" t="s">
        <v>473</v>
      </c>
      <c r="J86" s="668">
        <f t="shared" si="5"/>
        <v>-113209782</v>
      </c>
      <c r="K86" s="1229" t="s">
        <v>473</v>
      </c>
      <c r="L86" s="1230">
        <f>-ROUND(SUMIF(T_BS!$F:$F,T198_TB!E86,T_BS!$X:$X),0)</f>
        <v>-113209782</v>
      </c>
      <c r="M86" s="740" t="s">
        <v>8</v>
      </c>
      <c r="O86" s="509"/>
    </row>
    <row r="87" spans="3:15" s="710" customFormat="1" ht="18" customHeight="1">
      <c r="C87" s="710">
        <v>1</v>
      </c>
      <c r="D87" s="1227" t="s">
        <v>632</v>
      </c>
      <c r="E87" s="1228">
        <v>4438</v>
      </c>
      <c r="F87" s="670" t="s">
        <v>2324</v>
      </c>
      <c r="G87" s="1229">
        <v>1000</v>
      </c>
      <c r="H87" s="1229"/>
      <c r="I87" s="1229" t="s">
        <v>473</v>
      </c>
      <c r="J87" s="668">
        <f t="shared" si="5"/>
        <v>-989094200</v>
      </c>
      <c r="K87" s="1229" t="s">
        <v>473</v>
      </c>
      <c r="L87" s="1230">
        <f>-ROUND(SUMIF(T_BS!$F:$F,T198_TB!E87,T_BS!$X:$X),0)</f>
        <v>-989094200</v>
      </c>
      <c r="M87" s="740" t="s">
        <v>8</v>
      </c>
      <c r="O87" s="509"/>
    </row>
    <row r="88" spans="3:15" s="710" customFormat="1" ht="18" customHeight="1">
      <c r="C88" s="710">
        <v>1</v>
      </c>
      <c r="D88" s="1227" t="s">
        <v>632</v>
      </c>
      <c r="E88" s="1228">
        <v>4601</v>
      </c>
      <c r="F88" s="670" t="s">
        <v>1591</v>
      </c>
      <c r="G88" s="1229">
        <v>1000</v>
      </c>
      <c r="H88" s="1229"/>
      <c r="I88" s="1229" t="s">
        <v>473</v>
      </c>
      <c r="J88" s="668">
        <f t="shared" si="4"/>
        <v>-178085696</v>
      </c>
      <c r="K88" s="1229" t="s">
        <v>473</v>
      </c>
      <c r="L88" s="1230">
        <f>-ROUND(SUMIF(T_BS!$F:$F,T198_TB!E88,T_BS!$X:$X),0)</f>
        <v>-178085696</v>
      </c>
      <c r="M88" s="740" t="s">
        <v>8</v>
      </c>
      <c r="O88" s="509"/>
    </row>
    <row r="89" spans="3:15" s="710" customFormat="1" ht="18" customHeight="1">
      <c r="C89" s="710">
        <v>1</v>
      </c>
      <c r="D89" s="1227" t="s">
        <v>632</v>
      </c>
      <c r="E89" s="1228">
        <v>219000</v>
      </c>
      <c r="F89" s="670" t="s">
        <v>2676</v>
      </c>
      <c r="G89" s="1229">
        <v>1000</v>
      </c>
      <c r="H89" s="1229"/>
      <c r="I89" s="1229" t="s">
        <v>473</v>
      </c>
      <c r="J89" s="668">
        <f t="shared" si="4"/>
        <v>-909727738</v>
      </c>
      <c r="K89" s="1229" t="s">
        <v>473</v>
      </c>
      <c r="L89" s="1230">
        <f>-ROUND(SUMIF(T_BS!$F:$F,T198_TB!E89,T_BS!$X:$X),0)</f>
        <v>-909727738</v>
      </c>
      <c r="M89" s="740" t="s">
        <v>8</v>
      </c>
      <c r="O89" s="509"/>
    </row>
    <row r="90" spans="3:15" s="710" customFormat="1" ht="18" customHeight="1">
      <c r="C90" s="710">
        <v>1</v>
      </c>
      <c r="D90" s="1227" t="s">
        <v>632</v>
      </c>
      <c r="E90" s="1228">
        <v>5101</v>
      </c>
      <c r="F90" s="670" t="s">
        <v>190</v>
      </c>
      <c r="G90" s="1229">
        <v>1000</v>
      </c>
      <c r="H90" s="1229"/>
      <c r="I90" s="1229" t="s">
        <v>473</v>
      </c>
      <c r="J90" s="668">
        <f t="shared" si="4"/>
        <v>-28429923500</v>
      </c>
      <c r="K90" s="1229" t="s">
        <v>473</v>
      </c>
      <c r="L90" s="1230">
        <f>-ROUND(SUMIF(T_BS!$F:$F,T198_TB!E90,T_BS!$X:$X),0)</f>
        <v>-28429923500</v>
      </c>
      <c r="M90" s="740" t="s">
        <v>546</v>
      </c>
      <c r="O90" s="509"/>
    </row>
    <row r="91" spans="3:15" s="710" customFormat="1" ht="18" customHeight="1">
      <c r="C91" s="710">
        <v>1</v>
      </c>
      <c r="D91" s="1227" t="s">
        <v>632</v>
      </c>
      <c r="E91" s="1228">
        <v>5201</v>
      </c>
      <c r="F91" s="670" t="s">
        <v>191</v>
      </c>
      <c r="G91" s="1229">
        <v>1000</v>
      </c>
      <c r="H91" s="1229"/>
      <c r="I91" s="1229" t="s">
        <v>473</v>
      </c>
      <c r="J91" s="668">
        <f t="shared" si="4"/>
        <v>-59065212344</v>
      </c>
      <c r="K91" s="1229" t="s">
        <v>473</v>
      </c>
      <c r="L91" s="1230">
        <f>-ROUND(SUMIF(T_BS!$F:$F,T198_TB!E91,T_BS!$X:$X),0)</f>
        <v>-59065212344</v>
      </c>
      <c r="M91" s="740" t="s">
        <v>546</v>
      </c>
      <c r="O91" s="509"/>
    </row>
    <row r="92" spans="3:15" s="710" customFormat="1" ht="18" customHeight="1">
      <c r="C92" s="710">
        <v>1</v>
      </c>
      <c r="D92" s="1227" t="s">
        <v>632</v>
      </c>
      <c r="E92" s="1228">
        <v>5202</v>
      </c>
      <c r="F92" s="670" t="s">
        <v>665</v>
      </c>
      <c r="G92" s="1229">
        <v>1000</v>
      </c>
      <c r="H92" s="1229"/>
      <c r="I92" s="1229" t="s">
        <v>473</v>
      </c>
      <c r="J92" s="668">
        <f t="shared" si="4"/>
        <v>-1076616039</v>
      </c>
      <c r="K92" s="1229" t="s">
        <v>473</v>
      </c>
      <c r="L92" s="1230">
        <f>-ROUND(SUMIF(T_BS!$F:$F,T198_TB!E92,T_BS!$X:$X),0)</f>
        <v>-1076616039</v>
      </c>
      <c r="M92" s="740" t="s">
        <v>546</v>
      </c>
      <c r="O92" s="509"/>
    </row>
    <row r="93" spans="3:15" s="710" customFormat="1" ht="18" customHeight="1">
      <c r="C93" s="710">
        <v>1</v>
      </c>
      <c r="D93" s="1227" t="s">
        <v>632</v>
      </c>
      <c r="E93" s="1228">
        <v>5203</v>
      </c>
      <c r="F93" s="670" t="s">
        <v>192</v>
      </c>
      <c r="G93" s="1229">
        <v>1000</v>
      </c>
      <c r="H93" s="1229"/>
      <c r="I93" s="1229" t="s">
        <v>473</v>
      </c>
      <c r="J93" s="668">
        <f t="shared" si="4"/>
        <v>0</v>
      </c>
      <c r="K93" s="1229" t="s">
        <v>473</v>
      </c>
      <c r="L93" s="1230">
        <f>-ROUND(SUMIF(T_BS!$F:$F,T198_TB!E93,T_BS!$X:$X),0)</f>
        <v>0</v>
      </c>
      <c r="M93" s="740" t="s">
        <v>546</v>
      </c>
      <c r="O93" s="509"/>
    </row>
    <row r="94" spans="3:15" s="710" customFormat="1" ht="18" customHeight="1">
      <c r="C94" s="710">
        <v>1</v>
      </c>
      <c r="D94" s="1227" t="s">
        <v>632</v>
      </c>
      <c r="E94" s="1228">
        <v>5301</v>
      </c>
      <c r="F94" s="670" t="s">
        <v>196</v>
      </c>
      <c r="G94" s="1229">
        <v>1000</v>
      </c>
      <c r="H94" s="1229"/>
      <c r="I94" s="1229" t="s">
        <v>473</v>
      </c>
      <c r="J94" s="668">
        <f t="shared" si="4"/>
        <v>1293810742</v>
      </c>
      <c r="K94" s="1229" t="s">
        <v>473</v>
      </c>
      <c r="L94" s="1230">
        <f>-ROUND(SUMIF(T_BS!$F:$F,T198_TB!E94,T_BS!$X:$X),0)</f>
        <v>1293810742</v>
      </c>
      <c r="M94" s="740" t="s">
        <v>546</v>
      </c>
      <c r="O94" s="509"/>
    </row>
    <row r="95" spans="3:15" s="710" customFormat="1" ht="18" customHeight="1">
      <c r="C95" s="710">
        <v>1</v>
      </c>
      <c r="D95" s="1227" t="s">
        <v>632</v>
      </c>
      <c r="E95" s="1228">
        <v>5302</v>
      </c>
      <c r="F95" s="670" t="s">
        <v>1592</v>
      </c>
      <c r="G95" s="1229">
        <v>1000</v>
      </c>
      <c r="H95" s="1229"/>
      <c r="I95" s="1229" t="s">
        <v>473</v>
      </c>
      <c r="J95" s="668">
        <f>+L95</f>
        <v>-1066837445</v>
      </c>
      <c r="K95" s="1229" t="s">
        <v>473</v>
      </c>
      <c r="L95" s="1230">
        <f>-ROUND(SUMIF(T_BS!$F:$F,T198_TB!E95,T_BS!$X:$X),0)</f>
        <v>-1066837445</v>
      </c>
      <c r="M95" s="740" t="s">
        <v>546</v>
      </c>
      <c r="O95" s="509"/>
    </row>
    <row r="96" spans="3:15" s="710" customFormat="1" ht="18" customHeight="1">
      <c r="C96" s="710">
        <v>1</v>
      </c>
      <c r="D96" s="1227" t="s">
        <v>632</v>
      </c>
      <c r="E96" s="1228">
        <v>5304</v>
      </c>
      <c r="F96" s="670" t="s">
        <v>666</v>
      </c>
      <c r="G96" s="1229">
        <v>1000</v>
      </c>
      <c r="H96" s="1229"/>
      <c r="I96" s="1229" t="s">
        <v>473</v>
      </c>
      <c r="J96" s="668">
        <f t="shared" si="4"/>
        <v>2731869088</v>
      </c>
      <c r="K96" s="1229" t="s">
        <v>473</v>
      </c>
      <c r="L96" s="1230">
        <f>-ROUND(SUMIF(T_BS!$F:$F,T198_TB!E96,T_BS!$X:$X),0)</f>
        <v>2731869088</v>
      </c>
      <c r="M96" s="740" t="s">
        <v>546</v>
      </c>
      <c r="O96" s="509"/>
    </row>
    <row r="97" spans="3:15" s="925" customFormat="1" ht="18" customHeight="1">
      <c r="C97" s="925">
        <v>1</v>
      </c>
      <c r="D97" s="1235" t="s">
        <v>632</v>
      </c>
      <c r="E97" s="1236">
        <v>5305</v>
      </c>
      <c r="F97" s="670" t="s">
        <v>200</v>
      </c>
      <c r="G97" s="1229">
        <v>1000</v>
      </c>
      <c r="H97" s="1229"/>
      <c r="I97" s="1229" t="s">
        <v>473</v>
      </c>
      <c r="J97" s="668">
        <f t="shared" si="4"/>
        <v>-7009247</v>
      </c>
      <c r="K97" s="1229" t="s">
        <v>473</v>
      </c>
      <c r="L97" s="1230">
        <f>-ROUND(SUMIF(T_BS!$F:$F,T198_TB!E97,T_BS!$X:$X),0)</f>
        <v>-7009247</v>
      </c>
      <c r="M97" s="740" t="s">
        <v>546</v>
      </c>
      <c r="O97" s="509"/>
    </row>
    <row r="98" spans="3:15" s="710" customFormat="1" ht="18" customHeight="1">
      <c r="C98" s="710">
        <v>1</v>
      </c>
      <c r="D98" s="1227" t="s">
        <v>632</v>
      </c>
      <c r="E98" s="1228">
        <v>5307</v>
      </c>
      <c r="F98" s="670" t="s">
        <v>204</v>
      </c>
      <c r="G98" s="1229">
        <v>1000</v>
      </c>
      <c r="H98" s="1229"/>
      <c r="I98" s="1229" t="s">
        <v>473</v>
      </c>
      <c r="J98" s="668">
        <f t="shared" si="4"/>
        <v>-1840243400</v>
      </c>
      <c r="K98" s="1229" t="s">
        <v>473</v>
      </c>
      <c r="L98" s="1230">
        <f>-ROUND(SUMIF(T_BS!$F:$F,T198_TB!E98,T_BS!$X:$X),0)</f>
        <v>-1840243400</v>
      </c>
      <c r="M98" s="740" t="s">
        <v>546</v>
      </c>
      <c r="O98" s="509"/>
    </row>
    <row r="99" spans="3:15" s="710" customFormat="1" ht="18" customHeight="1">
      <c r="C99" s="710">
        <v>1</v>
      </c>
      <c r="D99" s="1227" t="s">
        <v>632</v>
      </c>
      <c r="E99" s="1228">
        <v>5401</v>
      </c>
      <c r="F99" s="670" t="s">
        <v>527</v>
      </c>
      <c r="G99" s="1229">
        <v>1000</v>
      </c>
      <c r="H99" s="1229"/>
      <c r="I99" s="1229" t="s">
        <v>473</v>
      </c>
      <c r="J99" s="668">
        <f>+L99</f>
        <v>-1835024545</v>
      </c>
      <c r="K99" s="1229" t="s">
        <v>473</v>
      </c>
      <c r="L99" s="1230">
        <f>-ROUND(SUMIF(T_BS!$F:$F,T198_TB!E99,T_BS!$X:$X),0)</f>
        <v>-1835024545</v>
      </c>
      <c r="M99" s="740" t="s">
        <v>546</v>
      </c>
      <c r="O99" s="509"/>
    </row>
    <row r="100" spans="3:15" s="710" customFormat="1" ht="18" customHeight="1">
      <c r="C100" s="710">
        <v>1</v>
      </c>
      <c r="D100" s="1227" t="s">
        <v>632</v>
      </c>
      <c r="E100" s="1228">
        <v>5402</v>
      </c>
      <c r="F100" s="670" t="s">
        <v>401</v>
      </c>
      <c r="G100" s="1229">
        <v>1000</v>
      </c>
      <c r="H100" s="1229"/>
      <c r="I100" s="1229" t="s">
        <v>473</v>
      </c>
      <c r="J100" s="668">
        <f t="shared" si="4"/>
        <v>8910020994</v>
      </c>
      <c r="K100" s="1229" t="s">
        <v>473</v>
      </c>
      <c r="L100" s="1230">
        <f>-ROUND(SUMIF(T_BS!$F:$F,T198_TB!E100,T_BS!$X:$X),0)</f>
        <v>8910020994</v>
      </c>
      <c r="M100" s="740" t="s">
        <v>546</v>
      </c>
      <c r="O100" s="509"/>
    </row>
    <row r="101" spans="3:15" s="710" customFormat="1" ht="18" customHeight="1">
      <c r="C101" s="710">
        <v>1</v>
      </c>
      <c r="D101" s="1227" t="s">
        <v>632</v>
      </c>
      <c r="E101" s="1228">
        <v>101</v>
      </c>
      <c r="F101" s="670" t="s">
        <v>667</v>
      </c>
      <c r="G101" s="1229">
        <v>1000</v>
      </c>
      <c r="H101" s="1229"/>
      <c r="I101" s="1229" t="s">
        <v>473</v>
      </c>
      <c r="J101" s="668">
        <f t="shared" si="4"/>
        <v>-32923542736</v>
      </c>
      <c r="K101" s="1229" t="s">
        <v>473</v>
      </c>
      <c r="L101" s="1230">
        <f>-ROUND(SUMIF(T_IS!$F:$F,T198_TB!E101,T_IS!$X:$X),0)</f>
        <v>-32923542736</v>
      </c>
      <c r="M101" s="740" t="s">
        <v>690</v>
      </c>
      <c r="O101" s="509"/>
    </row>
    <row r="102" spans="3:15" s="710" customFormat="1" ht="18" customHeight="1">
      <c r="C102" s="710">
        <v>1</v>
      </c>
      <c r="D102" s="1227" t="s">
        <v>632</v>
      </c>
      <c r="E102" s="1228">
        <v>102</v>
      </c>
      <c r="F102" s="670" t="s">
        <v>668</v>
      </c>
      <c r="G102" s="1229">
        <v>1000</v>
      </c>
      <c r="H102" s="1229"/>
      <c r="I102" s="1229" t="s">
        <v>473</v>
      </c>
      <c r="J102" s="668">
        <f t="shared" si="4"/>
        <v>-1107388188</v>
      </c>
      <c r="K102" s="1229" t="s">
        <v>473</v>
      </c>
      <c r="L102" s="1230">
        <f>-ROUND(SUMIF(T_IS!$F:$F,T198_TB!E102,T_IS!$X:$X),0)</f>
        <v>-1107388188</v>
      </c>
      <c r="M102" s="740" t="s">
        <v>690</v>
      </c>
      <c r="O102" s="509"/>
    </row>
    <row r="103" spans="3:15" s="710" customFormat="1" ht="18" customHeight="1">
      <c r="C103" s="710">
        <v>1</v>
      </c>
      <c r="D103" s="1227" t="s">
        <v>632</v>
      </c>
      <c r="E103" s="1228">
        <v>103</v>
      </c>
      <c r="F103" s="670" t="s">
        <v>237</v>
      </c>
      <c r="G103" s="1229">
        <v>1000</v>
      </c>
      <c r="H103" s="1229"/>
      <c r="I103" s="1229" t="s">
        <v>473</v>
      </c>
      <c r="J103" s="668">
        <f>+L103</f>
        <v>-158327730003</v>
      </c>
      <c r="K103" s="1229" t="s">
        <v>473</v>
      </c>
      <c r="L103" s="1230">
        <f>-ROUND(SUMIF(T_IS!$F:$F,T198_TB!E103,T_IS!$X:$X),0)</f>
        <v>-158327730003</v>
      </c>
      <c r="M103" s="740" t="s">
        <v>690</v>
      </c>
      <c r="O103" s="509"/>
    </row>
    <row r="104" spans="3:15" s="710" customFormat="1" ht="18" customHeight="1">
      <c r="C104" s="710">
        <v>1</v>
      </c>
      <c r="D104" s="1227" t="s">
        <v>632</v>
      </c>
      <c r="E104" s="1228">
        <v>105</v>
      </c>
      <c r="F104" s="670" t="s">
        <v>669</v>
      </c>
      <c r="G104" s="1229">
        <v>1000</v>
      </c>
      <c r="H104" s="1229"/>
      <c r="I104" s="1229" t="s">
        <v>473</v>
      </c>
      <c r="J104" s="668">
        <f t="shared" si="4"/>
        <v>-14178857789</v>
      </c>
      <c r="K104" s="1229" t="s">
        <v>473</v>
      </c>
      <c r="L104" s="1230">
        <f>-ROUND(SUMIF(T_IS!$F:$F,T198_TB!E104,T_IS!$X:$X),0)</f>
        <v>-14178857789</v>
      </c>
      <c r="M104" s="740" t="s">
        <v>690</v>
      </c>
      <c r="O104" s="509"/>
    </row>
    <row r="105" spans="3:15" s="710" customFormat="1" ht="18" customHeight="1">
      <c r="C105" s="710">
        <v>1</v>
      </c>
      <c r="D105" s="1227" t="s">
        <v>632</v>
      </c>
      <c r="E105" s="1228">
        <v>106</v>
      </c>
      <c r="F105" s="670" t="s">
        <v>670</v>
      </c>
      <c r="G105" s="1229">
        <v>1000</v>
      </c>
      <c r="H105" s="1229"/>
      <c r="I105" s="1229" t="s">
        <v>473</v>
      </c>
      <c r="J105" s="668">
        <f t="shared" si="4"/>
        <v>-16014974555</v>
      </c>
      <c r="K105" s="1229" t="s">
        <v>473</v>
      </c>
      <c r="L105" s="1230">
        <f>-ROUND(SUMIF(T_IS!$F:$F,T198_TB!E105,T_IS!$X:$X),0)</f>
        <v>-16014974555</v>
      </c>
      <c r="M105" s="740" t="s">
        <v>690</v>
      </c>
      <c r="O105" s="509"/>
    </row>
    <row r="106" spans="3:15" s="710" customFormat="1" ht="18" customHeight="1">
      <c r="C106" s="710">
        <v>1</v>
      </c>
      <c r="D106" s="1227" t="s">
        <v>632</v>
      </c>
      <c r="E106" s="1228">
        <v>201</v>
      </c>
      <c r="F106" s="670" t="s">
        <v>240</v>
      </c>
      <c r="G106" s="1229">
        <v>1000</v>
      </c>
      <c r="H106" s="1229"/>
      <c r="I106" s="1229" t="s">
        <v>473</v>
      </c>
      <c r="J106" s="668">
        <f t="shared" si="4"/>
        <v>38956624106</v>
      </c>
      <c r="K106" s="1229" t="s">
        <v>473</v>
      </c>
      <c r="L106" s="1230">
        <f>ROUND(SUMIF(T_IS!$F:$F,T198_TB!E106,T_IS!$X:$X),0)</f>
        <v>38956624106</v>
      </c>
      <c r="M106" s="740" t="s">
        <v>2616</v>
      </c>
      <c r="O106" s="509"/>
    </row>
    <row r="107" spans="3:15" s="710" customFormat="1" ht="18" customHeight="1">
      <c r="C107" s="710">
        <v>1</v>
      </c>
      <c r="D107" s="1227" t="s">
        <v>632</v>
      </c>
      <c r="E107" s="1228">
        <v>202</v>
      </c>
      <c r="F107" s="670" t="s">
        <v>242</v>
      </c>
      <c r="G107" s="1229">
        <v>1000</v>
      </c>
      <c r="H107" s="1229"/>
      <c r="I107" s="1229" t="s">
        <v>473</v>
      </c>
      <c r="J107" s="668">
        <f t="shared" si="4"/>
        <v>10539997341</v>
      </c>
      <c r="K107" s="1229" t="s">
        <v>473</v>
      </c>
      <c r="L107" s="1230">
        <f>ROUND(SUMIF(T_IS!$F:$F,T198_TB!E107,T_IS!$X:$X),0)</f>
        <v>10539997341</v>
      </c>
      <c r="M107" s="740" t="s">
        <v>2616</v>
      </c>
      <c r="O107" s="509"/>
    </row>
    <row r="108" spans="3:15" s="710" customFormat="1" ht="18" customHeight="1">
      <c r="C108" s="710">
        <v>1</v>
      </c>
      <c r="D108" s="1227" t="s">
        <v>632</v>
      </c>
      <c r="E108" s="1228">
        <v>204</v>
      </c>
      <c r="F108" s="670" t="s">
        <v>256</v>
      </c>
      <c r="G108" s="1229">
        <v>1000</v>
      </c>
      <c r="H108" s="1229"/>
      <c r="I108" s="1229" t="s">
        <v>473</v>
      </c>
      <c r="J108" s="668">
        <f t="shared" si="4"/>
        <v>122951982976</v>
      </c>
      <c r="K108" s="1229" t="s">
        <v>473</v>
      </c>
      <c r="L108" s="1230">
        <f>ROUND(SUMIF(T_IS!$F:$F,T198_TB!E108,T_IS!$X:$X),0)</f>
        <v>122951982976</v>
      </c>
      <c r="M108" s="740" t="s">
        <v>2609</v>
      </c>
      <c r="O108" s="509"/>
    </row>
    <row r="109" spans="3:15" s="710" customFormat="1" ht="18" customHeight="1">
      <c r="C109" s="710">
        <v>1</v>
      </c>
      <c r="D109" s="1227" t="s">
        <v>632</v>
      </c>
      <c r="E109" s="1228">
        <v>301</v>
      </c>
      <c r="F109" s="670" t="s">
        <v>260</v>
      </c>
      <c r="G109" s="1229">
        <v>1000</v>
      </c>
      <c r="H109" s="1229"/>
      <c r="I109" s="1229" t="s">
        <v>473</v>
      </c>
      <c r="J109" s="668">
        <f t="shared" si="4"/>
        <v>15509904100</v>
      </c>
      <c r="K109" s="1229" t="s">
        <v>473</v>
      </c>
      <c r="L109" s="1230">
        <f>ROUND(SUMIF(T_IS!$F:$F,T198_TB!E109,T_IS!$X:$X),0)</f>
        <v>15509904100</v>
      </c>
      <c r="M109" s="740" t="s">
        <v>2611</v>
      </c>
      <c r="O109" s="509"/>
    </row>
    <row r="110" spans="3:15" s="710" customFormat="1" ht="18" customHeight="1">
      <c r="C110" s="710">
        <v>1</v>
      </c>
      <c r="D110" s="1227" t="s">
        <v>632</v>
      </c>
      <c r="E110" s="1228">
        <v>302</v>
      </c>
      <c r="F110" s="670" t="s">
        <v>2026</v>
      </c>
      <c r="G110" s="1229">
        <v>1000</v>
      </c>
      <c r="H110" s="1229"/>
      <c r="I110" s="1229" t="s">
        <v>473</v>
      </c>
      <c r="J110" s="668">
        <f t="shared" si="4"/>
        <v>1598744627</v>
      </c>
      <c r="K110" s="1229" t="s">
        <v>473</v>
      </c>
      <c r="L110" s="1230">
        <f>ROUND(SUMIF(T_IS!$F:$F,T198_TB!E110,T_IS!$X:$X),0)</f>
        <v>1598744627</v>
      </c>
      <c r="M110" s="740" t="s">
        <v>2611</v>
      </c>
      <c r="O110" s="509"/>
    </row>
    <row r="111" spans="3:15" s="710" customFormat="1" ht="18" customHeight="1">
      <c r="C111" s="710">
        <v>1</v>
      </c>
      <c r="D111" s="1227" t="s">
        <v>632</v>
      </c>
      <c r="E111" s="1228">
        <v>303</v>
      </c>
      <c r="F111" s="670" t="s">
        <v>758</v>
      </c>
      <c r="G111" s="1229">
        <v>1000</v>
      </c>
      <c r="H111" s="1229"/>
      <c r="I111" s="1229" t="s">
        <v>473</v>
      </c>
      <c r="J111" s="668">
        <f>+L111</f>
        <v>-47788686</v>
      </c>
      <c r="K111" s="1229" t="s">
        <v>473</v>
      </c>
      <c r="L111" s="1230">
        <f>ROUND(SUMIF(T_IS!$F:$F,T198_TB!E111,T_IS!$X:$X),0)</f>
        <v>-47788686</v>
      </c>
      <c r="M111" s="740" t="s">
        <v>2611</v>
      </c>
      <c r="O111" s="509"/>
    </row>
    <row r="112" spans="3:15" s="710" customFormat="1" ht="18" customHeight="1">
      <c r="C112" s="710">
        <v>1</v>
      </c>
      <c r="D112" s="1227" t="s">
        <v>632</v>
      </c>
      <c r="E112" s="1228">
        <v>304</v>
      </c>
      <c r="F112" s="670" t="s">
        <v>2027</v>
      </c>
      <c r="G112" s="1229">
        <v>1000</v>
      </c>
      <c r="H112" s="1229"/>
      <c r="I112" s="1229" t="s">
        <v>473</v>
      </c>
      <c r="J112" s="668">
        <f t="shared" si="4"/>
        <v>2930377373</v>
      </c>
      <c r="K112" s="1229" t="s">
        <v>473</v>
      </c>
      <c r="L112" s="1230">
        <f>ROUND(SUMIF(T_IS!$F:$F,T198_TB!E112,T_IS!$X:$X),0)</f>
        <v>2930377373</v>
      </c>
      <c r="M112" s="740" t="s">
        <v>2611</v>
      </c>
      <c r="O112" s="509"/>
    </row>
    <row r="113" spans="3:15" s="710" customFormat="1" ht="18" customHeight="1">
      <c r="C113" s="710">
        <v>1</v>
      </c>
      <c r="D113" s="1227" t="s">
        <v>632</v>
      </c>
      <c r="E113" s="1228">
        <v>305</v>
      </c>
      <c r="F113" s="670" t="s">
        <v>2028</v>
      </c>
      <c r="G113" s="1229">
        <v>1000</v>
      </c>
      <c r="H113" s="1229"/>
      <c r="I113" s="1229" t="s">
        <v>473</v>
      </c>
      <c r="J113" s="668">
        <f t="shared" si="4"/>
        <v>184045196</v>
      </c>
      <c r="K113" s="1229" t="s">
        <v>473</v>
      </c>
      <c r="L113" s="1230">
        <f>ROUND(SUMIF(T_IS!$F:$F,T198_TB!E113,T_IS!$X:$X),0)</f>
        <v>184045196</v>
      </c>
      <c r="M113" s="740" t="s">
        <v>2611</v>
      </c>
      <c r="O113" s="509"/>
    </row>
    <row r="114" spans="3:15" s="710" customFormat="1" ht="18" customHeight="1">
      <c r="C114" s="710">
        <v>1</v>
      </c>
      <c r="D114" s="1227" t="s">
        <v>632</v>
      </c>
      <c r="E114" s="1228">
        <v>306</v>
      </c>
      <c r="F114" s="670" t="s">
        <v>268</v>
      </c>
      <c r="G114" s="1229">
        <v>1000</v>
      </c>
      <c r="H114" s="1229"/>
      <c r="I114" s="1229" t="s">
        <v>473</v>
      </c>
      <c r="J114" s="668">
        <f>+L114</f>
        <v>147606168</v>
      </c>
      <c r="K114" s="1229" t="s">
        <v>473</v>
      </c>
      <c r="L114" s="1230">
        <f>ROUND(SUMIF(T_IS!$F:$F,T198_TB!E114,T_IS!$X:$X),0)</f>
        <v>147606168</v>
      </c>
      <c r="M114" s="740" t="s">
        <v>2611</v>
      </c>
      <c r="O114" s="509"/>
    </row>
    <row r="115" spans="3:15" s="710" customFormat="1" ht="18" customHeight="1">
      <c r="C115" s="710">
        <v>1</v>
      </c>
      <c r="D115" s="1227" t="s">
        <v>632</v>
      </c>
      <c r="E115" s="1228">
        <v>307</v>
      </c>
      <c r="F115" s="670" t="s">
        <v>270</v>
      </c>
      <c r="G115" s="1229">
        <v>1000</v>
      </c>
      <c r="H115" s="1229"/>
      <c r="I115" s="1229" t="s">
        <v>473</v>
      </c>
      <c r="J115" s="668">
        <f t="shared" si="4"/>
        <v>173494024</v>
      </c>
      <c r="K115" s="1229" t="s">
        <v>473</v>
      </c>
      <c r="L115" s="1230">
        <f>ROUND(SUMIF(T_IS!$F:$F,T198_TB!E115,T_IS!$X:$X),0)</f>
        <v>173494024</v>
      </c>
      <c r="M115" s="740" t="s">
        <v>2611</v>
      </c>
      <c r="O115" s="509"/>
    </row>
    <row r="116" spans="3:15" s="710" customFormat="1" ht="18" customHeight="1">
      <c r="C116" s="710">
        <v>1</v>
      </c>
      <c r="D116" s="1227" t="s">
        <v>632</v>
      </c>
      <c r="E116" s="1228">
        <v>308</v>
      </c>
      <c r="F116" s="670" t="s">
        <v>272</v>
      </c>
      <c r="G116" s="1229">
        <v>1000</v>
      </c>
      <c r="H116" s="1229"/>
      <c r="I116" s="1229" t="s">
        <v>473</v>
      </c>
      <c r="J116" s="668">
        <f>+L116</f>
        <v>47982256</v>
      </c>
      <c r="K116" s="1229" t="s">
        <v>473</v>
      </c>
      <c r="L116" s="1230">
        <f>ROUND(SUMIF(T_IS!$F:$F,T198_TB!E116,T_IS!$X:$X),0)</f>
        <v>47982256</v>
      </c>
      <c r="M116" s="740" t="s">
        <v>2611</v>
      </c>
      <c r="O116" s="509"/>
    </row>
    <row r="117" spans="3:15" s="710" customFormat="1" ht="18" customHeight="1">
      <c r="C117" s="710">
        <v>1</v>
      </c>
      <c r="D117" s="1227" t="s">
        <v>632</v>
      </c>
      <c r="E117" s="1228">
        <v>309</v>
      </c>
      <c r="F117" s="670" t="s">
        <v>2029</v>
      </c>
      <c r="G117" s="1229">
        <v>1000</v>
      </c>
      <c r="H117" s="1229"/>
      <c r="I117" s="1229" t="s">
        <v>473</v>
      </c>
      <c r="J117" s="668">
        <f t="shared" si="4"/>
        <v>135294193</v>
      </c>
      <c r="K117" s="1229" t="s">
        <v>473</v>
      </c>
      <c r="L117" s="1230">
        <f>ROUND(SUMIF(T_IS!$F:$F,T198_TB!E117,T_IS!$X:$X),0)</f>
        <v>135294193</v>
      </c>
      <c r="M117" s="740" t="s">
        <v>2611</v>
      </c>
      <c r="O117" s="509"/>
    </row>
    <row r="118" spans="3:15" s="710" customFormat="1" ht="18" customHeight="1">
      <c r="C118" s="710">
        <v>1</v>
      </c>
      <c r="D118" s="1227" t="s">
        <v>632</v>
      </c>
      <c r="E118" s="1228">
        <v>310</v>
      </c>
      <c r="F118" s="670" t="s">
        <v>671</v>
      </c>
      <c r="G118" s="1229">
        <v>1000</v>
      </c>
      <c r="H118" s="1229"/>
      <c r="I118" s="1229" t="s">
        <v>473</v>
      </c>
      <c r="J118" s="668">
        <f>+L118</f>
        <v>621202657</v>
      </c>
      <c r="K118" s="1229" t="s">
        <v>473</v>
      </c>
      <c r="L118" s="1230">
        <f>ROUND(SUMIF(T_IS!$F:$F,T198_TB!E118,T_IS!$X:$X),0)</f>
        <v>621202657</v>
      </c>
      <c r="M118" s="740" t="s">
        <v>2611</v>
      </c>
      <c r="O118" s="509"/>
    </row>
    <row r="119" spans="3:15" s="710" customFormat="1" ht="18" customHeight="1">
      <c r="C119" s="710">
        <v>1</v>
      </c>
      <c r="D119" s="1227" t="s">
        <v>632</v>
      </c>
      <c r="E119" s="1228">
        <v>311</v>
      </c>
      <c r="F119" s="670" t="s">
        <v>276</v>
      </c>
      <c r="G119" s="1229">
        <v>1000</v>
      </c>
      <c r="H119" s="1229"/>
      <c r="I119" s="1229" t="s">
        <v>473</v>
      </c>
      <c r="J119" s="668">
        <f t="shared" si="4"/>
        <v>136720540</v>
      </c>
      <c r="K119" s="1229" t="s">
        <v>473</v>
      </c>
      <c r="L119" s="1230">
        <f>ROUND(SUMIF(T_IS!$F:$F,T198_TB!E119,T_IS!$X:$X),0)</f>
        <v>136720540</v>
      </c>
      <c r="M119" s="740" t="s">
        <v>2611</v>
      </c>
      <c r="O119" s="509"/>
    </row>
    <row r="120" spans="3:15" s="710" customFormat="1" ht="18" customHeight="1">
      <c r="C120" s="710">
        <v>1</v>
      </c>
      <c r="D120" s="1227" t="s">
        <v>632</v>
      </c>
      <c r="E120" s="1228">
        <v>312</v>
      </c>
      <c r="F120" s="670" t="s">
        <v>278</v>
      </c>
      <c r="G120" s="1229">
        <v>1000</v>
      </c>
      <c r="H120" s="1229"/>
      <c r="I120" s="1229" t="s">
        <v>473</v>
      </c>
      <c r="J120" s="668">
        <f t="shared" ref="J120:J138" si="6">+L120</f>
        <v>221409827</v>
      </c>
      <c r="K120" s="1229" t="s">
        <v>473</v>
      </c>
      <c r="L120" s="1230">
        <f>ROUND(SUMIF(T_IS!$F:$F,T198_TB!E120,T_IS!$X:$X),0)</f>
        <v>221409827</v>
      </c>
      <c r="M120" s="740" t="s">
        <v>2611</v>
      </c>
      <c r="O120" s="509"/>
    </row>
    <row r="121" spans="3:15" s="710" customFormat="1" ht="18" customHeight="1">
      <c r="C121" s="710">
        <v>1</v>
      </c>
      <c r="D121" s="1227" t="s">
        <v>632</v>
      </c>
      <c r="E121" s="1228">
        <v>313</v>
      </c>
      <c r="F121" s="670" t="s">
        <v>280</v>
      </c>
      <c r="G121" s="1229">
        <v>1000</v>
      </c>
      <c r="H121" s="1229"/>
      <c r="I121" s="1229" t="s">
        <v>473</v>
      </c>
      <c r="J121" s="668">
        <f t="shared" si="6"/>
        <v>33952907</v>
      </c>
      <c r="K121" s="1229" t="s">
        <v>473</v>
      </c>
      <c r="L121" s="1230">
        <f>ROUND(SUMIF(T_IS!$F:$F,T198_TB!E121,T_IS!$X:$X),0)</f>
        <v>33952907</v>
      </c>
      <c r="M121" s="740" t="s">
        <v>2611</v>
      </c>
      <c r="O121" s="509"/>
    </row>
    <row r="122" spans="3:15" s="710" customFormat="1" ht="18" customHeight="1">
      <c r="C122" s="710">
        <v>1</v>
      </c>
      <c r="D122" s="1227" t="s">
        <v>632</v>
      </c>
      <c r="E122" s="1228">
        <v>314</v>
      </c>
      <c r="F122" s="670" t="s">
        <v>282</v>
      </c>
      <c r="G122" s="1229">
        <v>1000</v>
      </c>
      <c r="H122" s="1229"/>
      <c r="I122" s="1229" t="s">
        <v>473</v>
      </c>
      <c r="J122" s="668">
        <f t="shared" si="6"/>
        <v>36928647</v>
      </c>
      <c r="K122" s="1229" t="s">
        <v>473</v>
      </c>
      <c r="L122" s="1230">
        <f>ROUND(SUMIF(T_IS!$F:$F,T198_TB!E122,T_IS!$X:$X),0)</f>
        <v>36928647</v>
      </c>
      <c r="M122" s="740" t="s">
        <v>2610</v>
      </c>
      <c r="O122" s="509"/>
    </row>
    <row r="123" spans="3:15" s="710" customFormat="1" ht="18" customHeight="1">
      <c r="C123" s="710">
        <v>1</v>
      </c>
      <c r="D123" s="1227" t="s">
        <v>632</v>
      </c>
      <c r="E123" s="1228">
        <v>315</v>
      </c>
      <c r="F123" s="670" t="s">
        <v>284</v>
      </c>
      <c r="G123" s="1229">
        <v>1000</v>
      </c>
      <c r="H123" s="1229"/>
      <c r="I123" s="1229" t="s">
        <v>473</v>
      </c>
      <c r="J123" s="668">
        <f t="shared" si="6"/>
        <v>1873673999</v>
      </c>
      <c r="K123" s="1229" t="s">
        <v>473</v>
      </c>
      <c r="L123" s="1230">
        <f>ROUND(SUMIF(T_IS!$F:$F,T198_TB!E123,T_IS!$X:$X),0)</f>
        <v>1873673999</v>
      </c>
      <c r="M123" s="740" t="s">
        <v>2611</v>
      </c>
      <c r="O123" s="509"/>
    </row>
    <row r="124" spans="3:15" s="710" customFormat="1" ht="18" customHeight="1">
      <c r="C124" s="710">
        <v>1</v>
      </c>
      <c r="D124" s="1227" t="s">
        <v>632</v>
      </c>
      <c r="E124" s="1228">
        <v>316</v>
      </c>
      <c r="F124" s="670" t="s">
        <v>286</v>
      </c>
      <c r="G124" s="1229">
        <v>1000</v>
      </c>
      <c r="H124" s="1229"/>
      <c r="I124" s="1229" t="s">
        <v>473</v>
      </c>
      <c r="J124" s="668">
        <f t="shared" si="6"/>
        <v>221489745</v>
      </c>
      <c r="K124" s="1229" t="s">
        <v>473</v>
      </c>
      <c r="L124" s="1230">
        <f>ROUND(SUMIF(T_IS!$F:$F,T198_TB!E124,T_IS!$X:$X),0)</f>
        <v>221489745</v>
      </c>
      <c r="M124" s="740" t="s">
        <v>2611</v>
      </c>
      <c r="O124" s="509"/>
    </row>
    <row r="125" spans="3:15" s="710" customFormat="1" ht="18" customHeight="1">
      <c r="C125" s="710">
        <v>1</v>
      </c>
      <c r="D125" s="1227" t="s">
        <v>632</v>
      </c>
      <c r="E125" s="1228">
        <v>317</v>
      </c>
      <c r="F125" s="670" t="s">
        <v>288</v>
      </c>
      <c r="G125" s="1229">
        <v>1000</v>
      </c>
      <c r="H125" s="1229"/>
      <c r="I125" s="1229" t="s">
        <v>473</v>
      </c>
      <c r="J125" s="668">
        <f t="shared" si="6"/>
        <v>76043224</v>
      </c>
      <c r="K125" s="1229" t="s">
        <v>473</v>
      </c>
      <c r="L125" s="1230">
        <f>ROUND(SUMIF(T_IS!$F:$F,T198_TB!E125,T_IS!$X:$X),0)</f>
        <v>76043224</v>
      </c>
      <c r="M125" s="740" t="s">
        <v>2611</v>
      </c>
      <c r="O125" s="509"/>
    </row>
    <row r="126" spans="3:15" s="710" customFormat="1" ht="18" customHeight="1">
      <c r="C126" s="710">
        <v>1</v>
      </c>
      <c r="D126" s="1227" t="s">
        <v>632</v>
      </c>
      <c r="E126" s="1228">
        <v>318</v>
      </c>
      <c r="F126" s="670" t="s">
        <v>290</v>
      </c>
      <c r="G126" s="1229">
        <v>1000</v>
      </c>
      <c r="H126" s="1229"/>
      <c r="I126" s="1229" t="s">
        <v>473</v>
      </c>
      <c r="J126" s="668">
        <f t="shared" si="6"/>
        <v>40207401</v>
      </c>
      <c r="K126" s="1229" t="s">
        <v>473</v>
      </c>
      <c r="L126" s="1230">
        <f>ROUND(SUMIF(T_IS!$F:$F,T198_TB!E126,T_IS!$X:$X),0)</f>
        <v>40207401</v>
      </c>
      <c r="M126" s="740" t="s">
        <v>2611</v>
      </c>
      <c r="O126" s="509"/>
    </row>
    <row r="127" spans="3:15" s="710" customFormat="1" ht="18" customHeight="1">
      <c r="C127" s="710">
        <v>1</v>
      </c>
      <c r="D127" s="1227" t="s">
        <v>632</v>
      </c>
      <c r="E127" s="1228">
        <v>319</v>
      </c>
      <c r="F127" s="670" t="s">
        <v>292</v>
      </c>
      <c r="G127" s="1229">
        <v>1000</v>
      </c>
      <c r="H127" s="1229"/>
      <c r="I127" s="1229" t="s">
        <v>473</v>
      </c>
      <c r="J127" s="668">
        <f t="shared" si="6"/>
        <v>5242206</v>
      </c>
      <c r="K127" s="1229" t="s">
        <v>473</v>
      </c>
      <c r="L127" s="1230">
        <f>ROUND(SUMIF(T_IS!$F:$F,T198_TB!E127,T_IS!$X:$X),0)</f>
        <v>5242206</v>
      </c>
      <c r="M127" s="740" t="s">
        <v>2611</v>
      </c>
      <c r="O127" s="509"/>
    </row>
    <row r="128" spans="3:15" s="710" customFormat="1" ht="18" customHeight="1">
      <c r="C128" s="710">
        <v>1</v>
      </c>
      <c r="D128" s="1227" t="s">
        <v>632</v>
      </c>
      <c r="E128" s="1228">
        <v>320</v>
      </c>
      <c r="F128" s="670" t="s">
        <v>294</v>
      </c>
      <c r="G128" s="1229">
        <v>1000</v>
      </c>
      <c r="H128" s="1229"/>
      <c r="I128" s="1229" t="s">
        <v>473</v>
      </c>
      <c r="J128" s="668">
        <f t="shared" si="6"/>
        <v>67564056</v>
      </c>
      <c r="K128" s="1229" t="s">
        <v>473</v>
      </c>
      <c r="L128" s="1230">
        <f>ROUND(SUMIF(T_IS!$F:$F,T198_TB!E128,T_IS!$X:$X),0)</f>
        <v>67564056</v>
      </c>
      <c r="M128" s="740" t="s">
        <v>2610</v>
      </c>
      <c r="O128" s="509"/>
    </row>
    <row r="129" spans="3:15" s="710" customFormat="1" ht="18" customHeight="1">
      <c r="C129" s="710">
        <v>1</v>
      </c>
      <c r="D129" s="1227" t="s">
        <v>632</v>
      </c>
      <c r="E129" s="1228">
        <v>321</v>
      </c>
      <c r="F129" s="670" t="s">
        <v>296</v>
      </c>
      <c r="G129" s="1229">
        <v>1000</v>
      </c>
      <c r="H129" s="1229"/>
      <c r="I129" s="1229" t="s">
        <v>473</v>
      </c>
      <c r="J129" s="668">
        <f t="shared" si="6"/>
        <v>14725360425</v>
      </c>
      <c r="K129" s="1229" t="s">
        <v>473</v>
      </c>
      <c r="L129" s="1230">
        <f>ROUND(SUMIF(T_IS!$F:$F,T198_TB!E129,T_IS!$X:$X),0)</f>
        <v>14725360425</v>
      </c>
      <c r="M129" s="740" t="s">
        <v>2611</v>
      </c>
      <c r="O129" s="509"/>
    </row>
    <row r="130" spans="3:15" s="710" customFormat="1" ht="18" customHeight="1">
      <c r="C130" s="710">
        <v>1</v>
      </c>
      <c r="D130" s="1227" t="s">
        <v>632</v>
      </c>
      <c r="E130" s="1228">
        <v>322</v>
      </c>
      <c r="F130" s="670" t="s">
        <v>298</v>
      </c>
      <c r="G130" s="1229">
        <v>1000</v>
      </c>
      <c r="H130" s="1229"/>
      <c r="I130" s="1229" t="s">
        <v>473</v>
      </c>
      <c r="J130" s="668">
        <f t="shared" si="6"/>
        <v>5422226175</v>
      </c>
      <c r="K130" s="1229" t="s">
        <v>473</v>
      </c>
      <c r="L130" s="1230">
        <f>ROUND(SUMIF(T_IS!$F:$F,T198_TB!E130,T_IS!$X:$X),0)</f>
        <v>5422226175</v>
      </c>
      <c r="M130" s="740" t="s">
        <v>2611</v>
      </c>
      <c r="O130" s="509"/>
    </row>
    <row r="131" spans="3:15" s="710" customFormat="1" ht="18" customHeight="1">
      <c r="C131" s="710">
        <v>1</v>
      </c>
      <c r="D131" s="1227" t="s">
        <v>632</v>
      </c>
      <c r="E131" s="1228">
        <v>323</v>
      </c>
      <c r="F131" s="670" t="s">
        <v>300</v>
      </c>
      <c r="G131" s="1229">
        <v>1000</v>
      </c>
      <c r="H131" s="1229"/>
      <c r="I131" s="1229" t="s">
        <v>473</v>
      </c>
      <c r="J131" s="668">
        <f t="shared" si="6"/>
        <v>603810459</v>
      </c>
      <c r="K131" s="1229" t="s">
        <v>473</v>
      </c>
      <c r="L131" s="1230">
        <f>ROUND(SUMIF(T_IS!$F:$F,T198_TB!E131,T_IS!$X:$X),0)</f>
        <v>603810459</v>
      </c>
      <c r="M131" s="740" t="s">
        <v>2611</v>
      </c>
      <c r="O131" s="509"/>
    </row>
    <row r="132" spans="3:15" s="710" customFormat="1" ht="18" customHeight="1">
      <c r="C132" s="710">
        <v>1</v>
      </c>
      <c r="D132" s="1227" t="s">
        <v>632</v>
      </c>
      <c r="E132" s="1228">
        <v>324</v>
      </c>
      <c r="F132" s="670" t="s">
        <v>302</v>
      </c>
      <c r="G132" s="1229">
        <v>1000</v>
      </c>
      <c r="H132" s="1229"/>
      <c r="I132" s="1229" t="s">
        <v>473</v>
      </c>
      <c r="J132" s="668">
        <f t="shared" si="6"/>
        <v>11147782</v>
      </c>
      <c r="K132" s="1229" t="s">
        <v>473</v>
      </c>
      <c r="L132" s="1230">
        <f>ROUND(SUMIF(T_IS!$F:$F,T198_TB!E132,T_IS!$X:$X),0)</f>
        <v>11147782</v>
      </c>
      <c r="M132" s="740" t="s">
        <v>2611</v>
      </c>
      <c r="O132" s="509"/>
    </row>
    <row r="133" spans="3:15" s="710" customFormat="1" ht="18" customHeight="1">
      <c r="C133" s="710">
        <v>1</v>
      </c>
      <c r="D133" s="1227" t="s">
        <v>632</v>
      </c>
      <c r="E133" s="1228">
        <v>325</v>
      </c>
      <c r="F133" s="670" t="s">
        <v>304</v>
      </c>
      <c r="G133" s="1229">
        <v>1000</v>
      </c>
      <c r="H133" s="1229"/>
      <c r="I133" s="1229" t="s">
        <v>473</v>
      </c>
      <c r="J133" s="668">
        <f t="shared" si="6"/>
        <v>269242735</v>
      </c>
      <c r="K133" s="1229" t="s">
        <v>473</v>
      </c>
      <c r="L133" s="1230">
        <f>ROUND(SUMIF(T_IS!$F:$F,T198_TB!E133,T_IS!$X:$X),0)</f>
        <v>269242735</v>
      </c>
      <c r="M133" s="740" t="s">
        <v>2617</v>
      </c>
      <c r="O133" s="509"/>
    </row>
    <row r="134" spans="3:15" s="710" customFormat="1" ht="18" customHeight="1">
      <c r="C134" s="710">
        <v>1</v>
      </c>
      <c r="D134" s="1227" t="s">
        <v>632</v>
      </c>
      <c r="E134" s="1228">
        <v>326</v>
      </c>
      <c r="F134" s="670" t="s">
        <v>386</v>
      </c>
      <c r="G134" s="1229">
        <v>1000</v>
      </c>
      <c r="H134" s="1229"/>
      <c r="I134" s="1229" t="s">
        <v>473</v>
      </c>
      <c r="J134" s="668">
        <f t="shared" si="6"/>
        <v>3016882453</v>
      </c>
      <c r="K134" s="1229" t="s">
        <v>473</v>
      </c>
      <c r="L134" s="1230">
        <f>ROUND(SUMIF(T_IS!$F:$F,T198_TB!E134,T_IS!$X:$X),0)</f>
        <v>3016882453</v>
      </c>
      <c r="M134" s="740" t="s">
        <v>2611</v>
      </c>
      <c r="O134" s="509"/>
    </row>
    <row r="135" spans="3:15" s="710" customFormat="1" ht="18" customHeight="1">
      <c r="C135" s="710">
        <v>1</v>
      </c>
      <c r="D135" s="1227" t="s">
        <v>632</v>
      </c>
      <c r="E135" s="1228">
        <v>327</v>
      </c>
      <c r="F135" s="670" t="s">
        <v>306</v>
      </c>
      <c r="G135" s="1229">
        <v>1000</v>
      </c>
      <c r="H135" s="1229"/>
      <c r="I135" s="1229" t="s">
        <v>473</v>
      </c>
      <c r="J135" s="668">
        <f t="shared" si="6"/>
        <v>100329285</v>
      </c>
      <c r="K135" s="1229" t="s">
        <v>473</v>
      </c>
      <c r="L135" s="1230">
        <f>ROUND(SUMIF(T_IS!$F:$F,T198_TB!E135,T_IS!$X:$X),0)</f>
        <v>100329285</v>
      </c>
      <c r="M135" s="740" t="s">
        <v>2611</v>
      </c>
      <c r="O135" s="509"/>
    </row>
    <row r="136" spans="3:15" s="710" customFormat="1" ht="18" customHeight="1">
      <c r="C136" s="710">
        <v>1</v>
      </c>
      <c r="D136" s="1227" t="s">
        <v>632</v>
      </c>
      <c r="E136" s="1228">
        <v>328</v>
      </c>
      <c r="F136" s="670" t="s">
        <v>308</v>
      </c>
      <c r="G136" s="1229">
        <v>1000</v>
      </c>
      <c r="H136" s="1229"/>
      <c r="I136" s="1229" t="s">
        <v>473</v>
      </c>
      <c r="J136" s="668">
        <f t="shared" si="6"/>
        <v>468556134</v>
      </c>
      <c r="K136" s="1229" t="s">
        <v>473</v>
      </c>
      <c r="L136" s="1230">
        <f>ROUND(SUMIF(T_IS!$F:$F,T198_TB!E136,T_IS!$X:$X),0)</f>
        <v>468556134</v>
      </c>
      <c r="M136" s="740" t="s">
        <v>2611</v>
      </c>
      <c r="O136" s="509"/>
    </row>
    <row r="137" spans="3:15" s="710" customFormat="1" ht="18" customHeight="1">
      <c r="C137" s="710">
        <v>1</v>
      </c>
      <c r="D137" s="1227" t="s">
        <v>632</v>
      </c>
      <c r="E137" s="1228">
        <v>329</v>
      </c>
      <c r="F137" s="670" t="s">
        <v>312</v>
      </c>
      <c r="G137" s="1229">
        <v>1000</v>
      </c>
      <c r="H137" s="1229"/>
      <c r="I137" s="1229" t="s">
        <v>473</v>
      </c>
      <c r="J137" s="668">
        <f t="shared" si="6"/>
        <v>994165155</v>
      </c>
      <c r="K137" s="1229" t="s">
        <v>473</v>
      </c>
      <c r="L137" s="1230">
        <f>ROUND(SUMIF(T_IS!$F:$F,T198_TB!E137,T_IS!$X:$X),0)</f>
        <v>994165155</v>
      </c>
      <c r="M137" s="740" t="s">
        <v>2611</v>
      </c>
      <c r="O137" s="509"/>
    </row>
    <row r="138" spans="3:15" s="710" customFormat="1" ht="18" customHeight="1">
      <c r="C138" s="710">
        <v>1</v>
      </c>
      <c r="D138" s="1227" t="s">
        <v>632</v>
      </c>
      <c r="E138" s="1228">
        <v>331</v>
      </c>
      <c r="F138" s="670" t="s">
        <v>310</v>
      </c>
      <c r="G138" s="1229">
        <v>1000</v>
      </c>
      <c r="H138" s="1229"/>
      <c r="I138" s="1229" t="s">
        <v>473</v>
      </c>
      <c r="J138" s="668">
        <f t="shared" si="6"/>
        <v>7476589</v>
      </c>
      <c r="K138" s="1229" t="s">
        <v>473</v>
      </c>
      <c r="L138" s="1230">
        <f>ROUND(SUMIF(T_IS!$F:$F,T198_TB!E138,T_IS!$X:$X),0)</f>
        <v>7476589</v>
      </c>
      <c r="M138" s="740" t="s">
        <v>2611</v>
      </c>
      <c r="O138" s="509"/>
    </row>
    <row r="139" spans="3:15" s="710" customFormat="1" ht="18" customHeight="1">
      <c r="C139" s="710">
        <v>1</v>
      </c>
      <c r="D139" s="1227" t="s">
        <v>632</v>
      </c>
      <c r="E139" s="1228">
        <v>334</v>
      </c>
      <c r="F139" s="1231" t="s">
        <v>1597</v>
      </c>
      <c r="G139" s="1229">
        <v>1000</v>
      </c>
      <c r="H139" s="1229"/>
      <c r="I139" s="1229" t="s">
        <v>473</v>
      </c>
      <c r="J139" s="668">
        <f t="shared" si="4"/>
        <v>41139648</v>
      </c>
      <c r="K139" s="1229" t="s">
        <v>473</v>
      </c>
      <c r="L139" s="1230">
        <f>ROUND(SUMIF(T_IS!$F:$F,T198_TB!E139,T_IS!$X:$X),0)</f>
        <v>41139648</v>
      </c>
      <c r="M139" s="740" t="s">
        <v>2611</v>
      </c>
      <c r="O139" s="509"/>
    </row>
    <row r="140" spans="3:15" s="710" customFormat="1" ht="18" customHeight="1">
      <c r="C140" s="710">
        <v>1</v>
      </c>
      <c r="D140" s="1227" t="s">
        <v>632</v>
      </c>
      <c r="E140" s="1228">
        <v>335</v>
      </c>
      <c r="F140" s="1231" t="s">
        <v>1596</v>
      </c>
      <c r="G140" s="1229">
        <v>1000</v>
      </c>
      <c r="H140" s="1229"/>
      <c r="I140" s="1229" t="s">
        <v>473</v>
      </c>
      <c r="J140" s="668">
        <f>+L140</f>
        <v>2280294927</v>
      </c>
      <c r="K140" s="1229" t="s">
        <v>473</v>
      </c>
      <c r="L140" s="1230">
        <f>ROUND(SUMIF(T_IS!$F:$F,T198_TB!E140,T_IS!$X:$X),0)</f>
        <v>2280294927</v>
      </c>
      <c r="M140" s="740" t="s">
        <v>2611</v>
      </c>
      <c r="O140" s="509"/>
    </row>
    <row r="141" spans="3:15" s="710" customFormat="1" ht="18" customHeight="1">
      <c r="C141" s="710">
        <v>1</v>
      </c>
      <c r="D141" s="1227" t="s">
        <v>632</v>
      </c>
      <c r="E141" s="1234">
        <v>336</v>
      </c>
      <c r="F141" s="1233" t="s">
        <v>2677</v>
      </c>
      <c r="G141" s="1229">
        <v>1000</v>
      </c>
      <c r="H141" s="1229"/>
      <c r="I141" s="1229" t="s">
        <v>473</v>
      </c>
      <c r="J141" s="668">
        <f t="shared" si="4"/>
        <v>40147175</v>
      </c>
      <c r="K141" s="1229" t="s">
        <v>473</v>
      </c>
      <c r="L141" s="1230">
        <f>ROUND(SUMIF(T_IS!$F:$F,T198_TB!E141,T_IS!$X:$X),0)</f>
        <v>40147175</v>
      </c>
      <c r="M141" s="740" t="s">
        <v>2611</v>
      </c>
      <c r="O141" s="509"/>
    </row>
    <row r="142" spans="3:15" s="710" customFormat="1" ht="18" customHeight="1">
      <c r="C142" s="710">
        <v>1</v>
      </c>
      <c r="D142" s="1227" t="s">
        <v>632</v>
      </c>
      <c r="E142" s="1228">
        <v>31001</v>
      </c>
      <c r="F142" s="670" t="s">
        <v>672</v>
      </c>
      <c r="G142" s="1229">
        <v>1000</v>
      </c>
      <c r="H142" s="1229"/>
      <c r="I142" s="1229" t="s">
        <v>473</v>
      </c>
      <c r="J142" s="668">
        <f>+L142</f>
        <v>16124810</v>
      </c>
      <c r="K142" s="1229" t="s">
        <v>473</v>
      </c>
      <c r="L142" s="1230">
        <f>ROUND(SUMIF(T_IS!$F:$F,T198_TB!E142,T_IS!$X:$X),0)</f>
        <v>16124810</v>
      </c>
      <c r="M142" s="740" t="s">
        <v>2611</v>
      </c>
      <c r="O142" s="509"/>
    </row>
    <row r="143" spans="3:15" s="710" customFormat="1" ht="18" customHeight="1">
      <c r="C143" s="710">
        <v>1</v>
      </c>
      <c r="D143" s="1227" t="s">
        <v>632</v>
      </c>
      <c r="E143" s="1228">
        <v>31101</v>
      </c>
      <c r="F143" s="670" t="s">
        <v>2030</v>
      </c>
      <c r="G143" s="1229">
        <v>1000</v>
      </c>
      <c r="H143" s="1229"/>
      <c r="I143" s="1229" t="s">
        <v>473</v>
      </c>
      <c r="J143" s="668">
        <f>+L143</f>
        <v>26764884</v>
      </c>
      <c r="K143" s="1229" t="s">
        <v>473</v>
      </c>
      <c r="L143" s="1230">
        <f>ROUND(SUMIF(T_IS!$F:$F,T198_TB!E143,T_IS!$X:$X),0)</f>
        <v>26764884</v>
      </c>
      <c r="M143" s="740" t="s">
        <v>2611</v>
      </c>
      <c r="O143" s="509"/>
    </row>
    <row r="144" spans="3:15" s="710" customFormat="1" ht="18" customHeight="1">
      <c r="C144" s="710">
        <v>1</v>
      </c>
      <c r="D144" s="1227" t="s">
        <v>632</v>
      </c>
      <c r="E144" s="1228">
        <v>31102</v>
      </c>
      <c r="F144" s="670" t="s">
        <v>2031</v>
      </c>
      <c r="G144" s="1229">
        <v>1000</v>
      </c>
      <c r="H144" s="1229"/>
      <c r="I144" s="1229" t="s">
        <v>473</v>
      </c>
      <c r="J144" s="668">
        <f>+L144</f>
        <v>95673446</v>
      </c>
      <c r="K144" s="1229" t="s">
        <v>473</v>
      </c>
      <c r="L144" s="1230">
        <f>ROUND(SUMIF(T_IS!$F:$F,T198_TB!E144,T_IS!$X:$X),0)</f>
        <v>95673446</v>
      </c>
      <c r="M144" s="740" t="s">
        <v>2617</v>
      </c>
      <c r="O144" s="509"/>
    </row>
    <row r="145" spans="3:15" s="710" customFormat="1" ht="18" customHeight="1">
      <c r="C145" s="710">
        <v>1</v>
      </c>
      <c r="D145" s="1227" t="s">
        <v>632</v>
      </c>
      <c r="E145" s="1228">
        <v>401</v>
      </c>
      <c r="F145" s="670" t="s">
        <v>673</v>
      </c>
      <c r="G145" s="1229">
        <v>1000</v>
      </c>
      <c r="H145" s="1229"/>
      <c r="I145" s="1229" t="s">
        <v>473</v>
      </c>
      <c r="J145" s="668">
        <f t="shared" ref="J145:J169" si="7">+L145</f>
        <v>-2036443104</v>
      </c>
      <c r="K145" s="1229" t="s">
        <v>473</v>
      </c>
      <c r="L145" s="1230">
        <f>-ROUND(SUMIF(T_IS!$F:$F,T198_TB!E145,T_IS!$X:$X),0)</f>
        <v>-2036443104</v>
      </c>
      <c r="M145" s="740" t="s">
        <v>2618</v>
      </c>
      <c r="O145" s="509"/>
    </row>
    <row r="146" spans="3:15" s="710" customFormat="1" ht="18" customHeight="1">
      <c r="C146" s="710">
        <v>1</v>
      </c>
      <c r="D146" s="1227" t="s">
        <v>632</v>
      </c>
      <c r="E146" s="1228">
        <v>402</v>
      </c>
      <c r="F146" s="670" t="s">
        <v>674</v>
      </c>
      <c r="G146" s="1229">
        <v>1000</v>
      </c>
      <c r="H146" s="1229"/>
      <c r="I146" s="1229" t="s">
        <v>473</v>
      </c>
      <c r="J146" s="668">
        <f t="shared" si="7"/>
        <v>-1198975339</v>
      </c>
      <c r="K146" s="1229" t="s">
        <v>473</v>
      </c>
      <c r="L146" s="1230">
        <f>-ROUND(SUMIF(T_IS!$F:$F,T198_TB!E146,T_IS!$X:$X),0)</f>
        <v>-1198975339</v>
      </c>
      <c r="M146" s="740" t="s">
        <v>2618</v>
      </c>
      <c r="O146" s="509"/>
    </row>
    <row r="147" spans="3:15" s="710" customFormat="1" ht="18" customHeight="1">
      <c r="C147" s="710">
        <v>1</v>
      </c>
      <c r="D147" s="1227" t="s">
        <v>632</v>
      </c>
      <c r="E147" s="1228">
        <v>403</v>
      </c>
      <c r="F147" s="670" t="s">
        <v>675</v>
      </c>
      <c r="G147" s="1229">
        <v>1000</v>
      </c>
      <c r="H147" s="1229"/>
      <c r="I147" s="1229" t="s">
        <v>473</v>
      </c>
      <c r="J147" s="668">
        <f t="shared" si="7"/>
        <v>-1359086485</v>
      </c>
      <c r="K147" s="1229" t="s">
        <v>473</v>
      </c>
      <c r="L147" s="1230">
        <f>-ROUND(SUMIF(T_IS!$F:$F,T198_TB!E147,T_IS!$X:$X),0)</f>
        <v>-1359086485</v>
      </c>
      <c r="M147" s="740" t="s">
        <v>2618</v>
      </c>
      <c r="O147" s="509"/>
    </row>
    <row r="148" spans="3:15" s="710" customFormat="1" ht="18" customHeight="1">
      <c r="C148" s="710">
        <v>1</v>
      </c>
      <c r="D148" s="1227" t="s">
        <v>632</v>
      </c>
      <c r="E148" s="1228">
        <v>404</v>
      </c>
      <c r="F148" s="670" t="s">
        <v>676</v>
      </c>
      <c r="G148" s="1229">
        <v>1000</v>
      </c>
      <c r="H148" s="1229"/>
      <c r="I148" s="1229" t="s">
        <v>473</v>
      </c>
      <c r="J148" s="668">
        <f t="shared" si="7"/>
        <v>0</v>
      </c>
      <c r="K148" s="1229" t="s">
        <v>473</v>
      </c>
      <c r="L148" s="1230">
        <f>-ROUND(SUMIF(T_IS!$F:$F,T198_TB!E148,T_IS!$X:$X),0)</f>
        <v>0</v>
      </c>
      <c r="M148" s="740" t="s">
        <v>2618</v>
      </c>
      <c r="O148" s="509"/>
    </row>
    <row r="149" spans="3:15" s="710" customFormat="1" ht="18" customHeight="1">
      <c r="C149" s="710">
        <v>1</v>
      </c>
      <c r="D149" s="1227" t="s">
        <v>632</v>
      </c>
      <c r="E149" s="1228">
        <v>405</v>
      </c>
      <c r="F149" s="670" t="s">
        <v>677</v>
      </c>
      <c r="G149" s="1229">
        <v>1000</v>
      </c>
      <c r="H149" s="1229"/>
      <c r="I149" s="1229" t="s">
        <v>473</v>
      </c>
      <c r="J149" s="668">
        <f t="shared" si="7"/>
        <v>-3510625687</v>
      </c>
      <c r="K149" s="1229" t="s">
        <v>473</v>
      </c>
      <c r="L149" s="1230">
        <f>-ROUND(SUMIF(T_IS!$F:$F,T198_TB!E149,T_IS!$X:$X),0)</f>
        <v>-3510625687</v>
      </c>
      <c r="M149" s="740" t="s">
        <v>2612</v>
      </c>
      <c r="O149" s="509"/>
    </row>
    <row r="150" spans="3:15" s="710" customFormat="1" ht="18" customHeight="1">
      <c r="C150" s="710">
        <v>1</v>
      </c>
      <c r="D150" s="1235" t="s">
        <v>632</v>
      </c>
      <c r="E150" s="1236">
        <v>406</v>
      </c>
      <c r="F150" s="670" t="s">
        <v>2501</v>
      </c>
      <c r="G150" s="1229">
        <v>1000</v>
      </c>
      <c r="H150" s="1229"/>
      <c r="I150" s="1229" t="s">
        <v>473</v>
      </c>
      <c r="J150" s="668">
        <f t="shared" si="7"/>
        <v>-41363014942</v>
      </c>
      <c r="K150" s="1229" t="s">
        <v>473</v>
      </c>
      <c r="L150" s="1230">
        <f>-ROUND(SUMIF(T_IS!$F:$F,T198_TB!E150,T_IS!$X:$X),0)</f>
        <v>-41363014942</v>
      </c>
      <c r="M150" s="740" t="s">
        <v>2618</v>
      </c>
      <c r="O150" s="509"/>
    </row>
    <row r="151" spans="3:15" s="710" customFormat="1" ht="18" customHeight="1">
      <c r="C151" s="710">
        <v>1</v>
      </c>
      <c r="D151" s="1227" t="s">
        <v>632</v>
      </c>
      <c r="E151" s="1237">
        <v>333</v>
      </c>
      <c r="F151" s="1238" t="s">
        <v>685</v>
      </c>
      <c r="G151" s="1229">
        <v>1000</v>
      </c>
      <c r="H151" s="1229"/>
      <c r="I151" s="1229" t="s">
        <v>473</v>
      </c>
      <c r="J151" s="668">
        <f t="shared" ref="J151:J159" si="8">+L151</f>
        <v>0</v>
      </c>
      <c r="K151" s="1229" t="s">
        <v>473</v>
      </c>
      <c r="L151" s="1230">
        <f>ROUND(SUMIF(T_IS!$F:$F,T198_TB!E151,T_IS!$X:$X),0)</f>
        <v>0</v>
      </c>
      <c r="M151" s="740" t="s">
        <v>2613</v>
      </c>
      <c r="O151" s="509"/>
    </row>
    <row r="152" spans="3:15" s="710" customFormat="1" ht="17.25" customHeight="1">
      <c r="C152" s="710">
        <v>1</v>
      </c>
      <c r="D152" s="1227" t="s">
        <v>632</v>
      </c>
      <c r="E152" s="1237">
        <v>501</v>
      </c>
      <c r="F152" s="1238" t="s">
        <v>681</v>
      </c>
      <c r="G152" s="1229">
        <v>1000</v>
      </c>
      <c r="H152" s="1229"/>
      <c r="I152" s="1229" t="s">
        <v>473</v>
      </c>
      <c r="J152" s="668">
        <f t="shared" si="8"/>
        <v>0</v>
      </c>
      <c r="K152" s="1229" t="s">
        <v>473</v>
      </c>
      <c r="L152" s="1230">
        <f>ROUND(SUMIF(T_IS!$F:$F,T198_TB!E152,T_IS!$X:$X),0)</f>
        <v>0</v>
      </c>
      <c r="M152" s="740" t="s">
        <v>2613</v>
      </c>
      <c r="O152" s="509"/>
    </row>
    <row r="153" spans="3:15" s="710" customFormat="1" ht="18" customHeight="1">
      <c r="C153" s="710">
        <v>1</v>
      </c>
      <c r="D153" s="1227" t="s">
        <v>632</v>
      </c>
      <c r="E153" s="1237">
        <v>502</v>
      </c>
      <c r="F153" s="1238" t="s">
        <v>682</v>
      </c>
      <c r="G153" s="1229">
        <v>1000</v>
      </c>
      <c r="H153" s="1229"/>
      <c r="I153" s="1229" t="s">
        <v>473</v>
      </c>
      <c r="J153" s="668">
        <f t="shared" si="8"/>
        <v>212774903</v>
      </c>
      <c r="K153" s="1229" t="s">
        <v>473</v>
      </c>
      <c r="L153" s="1230">
        <f>ROUND(SUMIF(T_IS!$F:$F,T198_TB!E153,T_IS!$X:$X),0)</f>
        <v>212774903</v>
      </c>
      <c r="M153" s="740" t="s">
        <v>2613</v>
      </c>
      <c r="O153" s="509"/>
    </row>
    <row r="154" spans="3:15" s="710" customFormat="1" ht="18" customHeight="1">
      <c r="C154" s="710">
        <v>1</v>
      </c>
      <c r="D154" s="1227" t="s">
        <v>632</v>
      </c>
      <c r="E154" s="1237">
        <v>503</v>
      </c>
      <c r="F154" s="1238" t="s">
        <v>683</v>
      </c>
      <c r="G154" s="1229">
        <v>1000</v>
      </c>
      <c r="H154" s="1229"/>
      <c r="I154" s="1229" t="s">
        <v>473</v>
      </c>
      <c r="J154" s="668">
        <f t="shared" si="8"/>
        <v>217976669</v>
      </c>
      <c r="K154" s="1229" t="s">
        <v>473</v>
      </c>
      <c r="L154" s="1230">
        <f>ROUND(SUMIF(T_IS!$F:$F,T198_TB!E154,T_IS!$X:$X),0)</f>
        <v>217976669</v>
      </c>
      <c r="M154" s="740" t="s">
        <v>2613</v>
      </c>
      <c r="O154" s="509"/>
    </row>
    <row r="155" spans="3:15" s="710" customFormat="1" ht="18" customHeight="1">
      <c r="C155" s="710">
        <v>1</v>
      </c>
      <c r="D155" s="1227" t="s">
        <v>632</v>
      </c>
      <c r="E155" s="1237">
        <v>504</v>
      </c>
      <c r="F155" s="1238" t="s">
        <v>684</v>
      </c>
      <c r="G155" s="1229">
        <v>1000</v>
      </c>
      <c r="H155" s="1229"/>
      <c r="I155" s="1229" t="s">
        <v>473</v>
      </c>
      <c r="J155" s="668">
        <f t="shared" si="8"/>
        <v>2394018200</v>
      </c>
      <c r="K155" s="1229" t="s">
        <v>473</v>
      </c>
      <c r="L155" s="1230">
        <f>ROUND(SUMIF(T_IS!$F:$F,T198_TB!E155,T_IS!$X:$X),0)</f>
        <v>2394018200</v>
      </c>
      <c r="M155" s="740" t="s">
        <v>2613</v>
      </c>
      <c r="O155" s="509"/>
    </row>
    <row r="156" spans="3:15" s="710" customFormat="1" ht="17.25" customHeight="1">
      <c r="C156" s="710">
        <v>1</v>
      </c>
      <c r="D156" s="1227" t="s">
        <v>632</v>
      </c>
      <c r="E156" s="1237">
        <v>505</v>
      </c>
      <c r="F156" s="1238" t="s">
        <v>1598</v>
      </c>
      <c r="G156" s="1229">
        <v>1000</v>
      </c>
      <c r="H156" s="1229"/>
      <c r="I156" s="1229" t="s">
        <v>473</v>
      </c>
      <c r="J156" s="668">
        <f t="shared" si="8"/>
        <v>202764087</v>
      </c>
      <c r="K156" s="1229" t="s">
        <v>473</v>
      </c>
      <c r="L156" s="1230">
        <f>ROUND(SUMIF(T_IS!$F:$F,T198_TB!E156,T_IS!$X:$X),0)</f>
        <v>202764087</v>
      </c>
      <c r="M156" s="740" t="s">
        <v>2613</v>
      </c>
      <c r="O156" s="509"/>
    </row>
    <row r="157" spans="3:15" s="710" customFormat="1" ht="18" customHeight="1">
      <c r="C157" s="710">
        <v>1</v>
      </c>
      <c r="D157" s="1227" t="s">
        <v>632</v>
      </c>
      <c r="E157" s="1228">
        <v>602</v>
      </c>
      <c r="F157" s="670" t="s">
        <v>678</v>
      </c>
      <c r="G157" s="1229">
        <v>1000</v>
      </c>
      <c r="H157" s="1229"/>
      <c r="I157" s="1229" t="s">
        <v>473</v>
      </c>
      <c r="J157" s="668">
        <f t="shared" si="8"/>
        <v>-65109368</v>
      </c>
      <c r="K157" s="1229" t="s">
        <v>473</v>
      </c>
      <c r="L157" s="1230">
        <f>-ROUND(SUMIF(T_IS!$F:$F,T198_TB!E157,T_IS!$X:$X),0)</f>
        <v>-65109368</v>
      </c>
      <c r="M157" s="740" t="s">
        <v>2618</v>
      </c>
      <c r="O157" s="509"/>
    </row>
    <row r="158" spans="3:15" s="710" customFormat="1" ht="18" customHeight="1">
      <c r="C158" s="710">
        <v>1</v>
      </c>
      <c r="D158" s="1227" t="s">
        <v>632</v>
      </c>
      <c r="E158" s="1228">
        <v>603</v>
      </c>
      <c r="F158" s="670" t="s">
        <v>680</v>
      </c>
      <c r="G158" s="1229">
        <v>1000</v>
      </c>
      <c r="H158" s="1229"/>
      <c r="I158" s="1229" t="s">
        <v>473</v>
      </c>
      <c r="J158" s="668">
        <f t="shared" si="8"/>
        <v>-341313009</v>
      </c>
      <c r="K158" s="1229" t="s">
        <v>473</v>
      </c>
      <c r="L158" s="1230">
        <f>-ROUND(SUMIF(T_IS!$F:$F,T198_TB!E158,T_IS!$X:$X),0)</f>
        <v>-341313009</v>
      </c>
      <c r="M158" s="740" t="s">
        <v>2618</v>
      </c>
      <c r="O158" s="509"/>
    </row>
    <row r="159" spans="3:15" s="710" customFormat="1" ht="18" customHeight="1">
      <c r="C159" s="710">
        <v>1</v>
      </c>
      <c r="D159" s="1227" t="s">
        <v>632</v>
      </c>
      <c r="E159" s="1228">
        <v>604</v>
      </c>
      <c r="F159" s="670" t="s">
        <v>679</v>
      </c>
      <c r="G159" s="1229">
        <v>1000</v>
      </c>
      <c r="H159" s="1229"/>
      <c r="I159" s="1229" t="s">
        <v>473</v>
      </c>
      <c r="J159" s="668">
        <f t="shared" si="8"/>
        <v>0</v>
      </c>
      <c r="K159" s="1229" t="s">
        <v>473</v>
      </c>
      <c r="L159" s="1230">
        <f>-ROUND(SUMIF(T_IS!$F:$F,T198_TB!E159,T_IS!$X:$X),0)</f>
        <v>0</v>
      </c>
      <c r="M159" s="740" t="s">
        <v>2618</v>
      </c>
      <c r="O159" s="509"/>
    </row>
    <row r="160" spans="3:15" s="710" customFormat="1" ht="18" customHeight="1">
      <c r="C160" s="710">
        <v>1</v>
      </c>
      <c r="D160" s="1235" t="s">
        <v>632</v>
      </c>
      <c r="E160" s="1236">
        <v>606</v>
      </c>
      <c r="F160" s="670" t="s">
        <v>2500</v>
      </c>
      <c r="G160" s="1229">
        <v>1000</v>
      </c>
      <c r="H160" s="1229"/>
      <c r="I160" s="1229" t="s">
        <v>473</v>
      </c>
      <c r="J160" s="668">
        <f t="shared" si="7"/>
        <v>-816498671</v>
      </c>
      <c r="K160" s="1229" t="s">
        <v>473</v>
      </c>
      <c r="L160" s="1230">
        <f>-ROUND(SUMIF(T_IS!$F:$F,T198_TB!E160,T_IS!$X:$X),0)</f>
        <v>-816498671</v>
      </c>
      <c r="M160" s="740" t="s">
        <v>2618</v>
      </c>
      <c r="O160" s="509"/>
    </row>
    <row r="161" spans="3:15" s="710" customFormat="1" ht="18" customHeight="1">
      <c r="C161" s="710">
        <v>1</v>
      </c>
      <c r="D161" s="1235" t="s">
        <v>632</v>
      </c>
      <c r="E161" s="1236">
        <v>607</v>
      </c>
      <c r="F161" s="670" t="s">
        <v>2600</v>
      </c>
      <c r="G161" s="1229">
        <v>1000</v>
      </c>
      <c r="H161" s="1229"/>
      <c r="I161" s="1229" t="s">
        <v>473</v>
      </c>
      <c r="J161" s="668">
        <f t="shared" si="7"/>
        <v>-61773000</v>
      </c>
      <c r="K161" s="1229" t="s">
        <v>473</v>
      </c>
      <c r="L161" s="1230">
        <f>-ROUND(SUMIF(T_IS!$F:$F,T198_TB!E161,T_IS!$X:$X),0)</f>
        <v>-61773000</v>
      </c>
      <c r="M161" s="740" t="s">
        <v>2064</v>
      </c>
      <c r="O161" s="509"/>
    </row>
    <row r="162" spans="3:15" s="710" customFormat="1" ht="18" customHeight="1">
      <c r="C162" s="710">
        <v>1</v>
      </c>
      <c r="D162" s="1227" t="s">
        <v>632</v>
      </c>
      <c r="E162" s="1237">
        <v>701</v>
      </c>
      <c r="F162" s="1238" t="s">
        <v>687</v>
      </c>
      <c r="G162" s="1229">
        <v>1000</v>
      </c>
      <c r="H162" s="1229"/>
      <c r="I162" s="1229" t="s">
        <v>473</v>
      </c>
      <c r="J162" s="668">
        <f t="shared" si="7"/>
        <v>0</v>
      </c>
      <c r="K162" s="1229" t="s">
        <v>473</v>
      </c>
      <c r="L162" s="1230">
        <f>ROUND(SUMIF(T_IS!$F:$F,T198_TB!E162,T_IS!$X:$X),0)</f>
        <v>0</v>
      </c>
      <c r="M162" s="740" t="s">
        <v>2613</v>
      </c>
      <c r="O162" s="509"/>
    </row>
    <row r="163" spans="3:15" s="710" customFormat="1" ht="18" customHeight="1">
      <c r="C163" s="710">
        <v>1</v>
      </c>
      <c r="D163" s="1227" t="s">
        <v>632</v>
      </c>
      <c r="E163" s="1237">
        <v>702</v>
      </c>
      <c r="F163" s="1238" t="s">
        <v>732</v>
      </c>
      <c r="G163" s="1229">
        <v>1000</v>
      </c>
      <c r="H163" s="1229"/>
      <c r="I163" s="1229" t="s">
        <v>473</v>
      </c>
      <c r="J163" s="668">
        <f>+L163</f>
        <v>62881122</v>
      </c>
      <c r="K163" s="1229" t="s">
        <v>473</v>
      </c>
      <c r="L163" s="1230">
        <f>ROUND(SUMIF(T_IS!$F:$F,T198_TB!E163,T_IS!$X:$X),0)</f>
        <v>62881122</v>
      </c>
      <c r="M163" s="740" t="s">
        <v>2613</v>
      </c>
      <c r="O163" s="509"/>
    </row>
    <row r="164" spans="3:15" s="710" customFormat="1" ht="18" customHeight="1">
      <c r="C164" s="710">
        <v>1</v>
      </c>
      <c r="D164" s="1227" t="s">
        <v>632</v>
      </c>
      <c r="E164" s="1237">
        <v>703</v>
      </c>
      <c r="F164" s="1238" t="s">
        <v>762</v>
      </c>
      <c r="G164" s="1229">
        <v>1000</v>
      </c>
      <c r="H164" s="1229"/>
      <c r="I164" s="1229" t="s">
        <v>473</v>
      </c>
      <c r="J164" s="668">
        <f>+L164</f>
        <v>0</v>
      </c>
      <c r="K164" s="1229" t="s">
        <v>473</v>
      </c>
      <c r="L164" s="1230">
        <f>ROUND(SUMIF(T_IS!$F:$F,T198_TB!E164,T_IS!$X:$X),0)</f>
        <v>0</v>
      </c>
      <c r="M164" s="740" t="s">
        <v>2613</v>
      </c>
      <c r="O164" s="509"/>
    </row>
    <row r="165" spans="3:15" s="710" customFormat="1" ht="18" customHeight="1">
      <c r="C165" s="710">
        <v>1</v>
      </c>
      <c r="D165" s="1227" t="s">
        <v>632</v>
      </c>
      <c r="E165" s="1237">
        <v>704</v>
      </c>
      <c r="F165" s="1238" t="s">
        <v>688</v>
      </c>
      <c r="G165" s="1229">
        <v>1000</v>
      </c>
      <c r="H165" s="1229"/>
      <c r="I165" s="1229" t="s">
        <v>473</v>
      </c>
      <c r="J165" s="668">
        <f>+L165</f>
        <v>24872820</v>
      </c>
      <c r="K165" s="1229" t="s">
        <v>473</v>
      </c>
      <c r="L165" s="1230">
        <f>ROUND(SUMIF(T_IS!$F:$F,T198_TB!E165,T_IS!$X:$X),0)</f>
        <v>24872820</v>
      </c>
      <c r="M165" s="740" t="s">
        <v>2613</v>
      </c>
      <c r="O165" s="509"/>
    </row>
    <row r="166" spans="3:15" s="710" customFormat="1" ht="18" customHeight="1">
      <c r="C166" s="710">
        <v>1</v>
      </c>
      <c r="D166" s="1227" t="s">
        <v>632</v>
      </c>
      <c r="E166" s="1237">
        <v>705</v>
      </c>
      <c r="F166" s="1238" t="s">
        <v>734</v>
      </c>
      <c r="G166" s="1229">
        <v>1000</v>
      </c>
      <c r="H166" s="1229"/>
      <c r="I166" s="1229" t="s">
        <v>473</v>
      </c>
      <c r="J166" s="668">
        <f t="shared" si="7"/>
        <v>217671</v>
      </c>
      <c r="K166" s="1229" t="s">
        <v>473</v>
      </c>
      <c r="L166" s="1230">
        <f>ROUND(SUMIF(T_IS!$F:$F,T198_TB!E166,T_IS!$X:$X),0)</f>
        <v>217671</v>
      </c>
      <c r="M166" s="740" t="s">
        <v>2613</v>
      </c>
      <c r="O166" s="509"/>
    </row>
    <row r="167" spans="3:15" s="710" customFormat="1" ht="18" customHeight="1">
      <c r="C167" s="710">
        <v>1</v>
      </c>
      <c r="D167" s="1227" t="s">
        <v>632</v>
      </c>
      <c r="E167" s="1237">
        <v>706</v>
      </c>
      <c r="F167" s="1238" t="s">
        <v>686</v>
      </c>
      <c r="G167" s="1229">
        <v>1000</v>
      </c>
      <c r="H167" s="1229"/>
      <c r="I167" s="1229" t="s">
        <v>473</v>
      </c>
      <c r="J167" s="668">
        <f>+L167</f>
        <v>242686686</v>
      </c>
      <c r="K167" s="1229" t="s">
        <v>473</v>
      </c>
      <c r="L167" s="1230">
        <f>ROUND(SUMIF(T_IS!$F:$F,T198_TB!E167,T_IS!$X:$X),0)</f>
        <v>242686686</v>
      </c>
      <c r="M167" s="740" t="s">
        <v>2613</v>
      </c>
      <c r="O167" s="509"/>
    </row>
    <row r="168" spans="3:15" s="710" customFormat="1" ht="18" customHeight="1">
      <c r="C168" s="710">
        <v>1</v>
      </c>
      <c r="D168" s="1227" t="s">
        <v>632</v>
      </c>
      <c r="E168" s="1237">
        <v>708</v>
      </c>
      <c r="F168" s="1238" t="s">
        <v>1595</v>
      </c>
      <c r="G168" s="1229">
        <v>1000</v>
      </c>
      <c r="H168" s="1229"/>
      <c r="I168" s="1229" t="s">
        <v>473</v>
      </c>
      <c r="J168" s="668">
        <f>+L168</f>
        <v>0</v>
      </c>
      <c r="K168" s="1229" t="s">
        <v>473</v>
      </c>
      <c r="L168" s="1230">
        <f>ROUND(SUMIF(T_IS!$F:$F,T198_TB!E168,T_IS!$X:$X),0)</f>
        <v>0</v>
      </c>
      <c r="M168" s="740" t="s">
        <v>2613</v>
      </c>
      <c r="O168" s="509"/>
    </row>
    <row r="169" spans="3:15" s="710" customFormat="1" ht="18" customHeight="1">
      <c r="C169" s="710">
        <v>1</v>
      </c>
      <c r="D169" s="1227" t="s">
        <v>632</v>
      </c>
      <c r="E169" s="1237">
        <v>709</v>
      </c>
      <c r="F169" s="1238" t="s">
        <v>481</v>
      </c>
      <c r="G169" s="1229">
        <v>1000</v>
      </c>
      <c r="H169" s="1229"/>
      <c r="I169" s="1229" t="s">
        <v>473</v>
      </c>
      <c r="J169" s="668">
        <f t="shared" si="7"/>
        <v>0</v>
      </c>
      <c r="K169" s="1229" t="s">
        <v>473</v>
      </c>
      <c r="L169" s="1230">
        <f>ROUND(SUMIF(T_IS!$F:$F,T198_TB!E169,T_IS!$X:$X),0)</f>
        <v>0</v>
      </c>
      <c r="M169" s="740" t="s">
        <v>2613</v>
      </c>
      <c r="O169" s="509"/>
    </row>
    <row r="170" spans="3:15" s="710" customFormat="1" ht="18" customHeight="1">
      <c r="C170" s="710">
        <v>1</v>
      </c>
      <c r="D170" s="1227" t="s">
        <v>632</v>
      </c>
      <c r="E170" s="1237">
        <v>710</v>
      </c>
      <c r="F170" s="1238" t="s">
        <v>2201</v>
      </c>
      <c r="G170" s="1229">
        <v>1001</v>
      </c>
      <c r="H170" s="1229"/>
      <c r="I170" s="1229" t="s">
        <v>473</v>
      </c>
      <c r="J170" s="668">
        <f>+L170</f>
        <v>0</v>
      </c>
      <c r="K170" s="1229" t="s">
        <v>473</v>
      </c>
      <c r="L170" s="1230">
        <f>ROUND(SUMIF(T_IS!$F:$F,T198_TB!E170,T_IS!$X:$X),0)</f>
        <v>0</v>
      </c>
      <c r="M170" s="740" t="s">
        <v>2613</v>
      </c>
      <c r="O170" s="509"/>
    </row>
    <row r="171" spans="3:15" s="710" customFormat="1" ht="18" customHeight="1">
      <c r="C171" s="710">
        <v>1</v>
      </c>
      <c r="D171" s="1227" t="s">
        <v>632</v>
      </c>
      <c r="E171" s="1237">
        <v>801</v>
      </c>
      <c r="F171" s="1238" t="s">
        <v>380</v>
      </c>
      <c r="G171" s="1229">
        <v>1000</v>
      </c>
      <c r="H171" s="1229"/>
      <c r="I171" s="1229" t="s">
        <v>473</v>
      </c>
      <c r="J171" s="668">
        <f>+L171</f>
        <v>315249021</v>
      </c>
      <c r="K171" s="1229" t="s">
        <v>473</v>
      </c>
      <c r="L171" s="1230">
        <f>ROUND(SUMIF(T_IS!$F:$F,T198_TB!E171,T_IS!$X:$X),0)</f>
        <v>315249021</v>
      </c>
      <c r="M171" s="740" t="s">
        <v>2613</v>
      </c>
      <c r="O171" s="509"/>
    </row>
    <row r="172" spans="3:15" s="710" customFormat="1" ht="18" customHeight="1">
      <c r="C172" s="710">
        <v>1</v>
      </c>
      <c r="D172" s="1227" t="s">
        <v>632</v>
      </c>
      <c r="E172" s="1237">
        <v>903</v>
      </c>
      <c r="F172" s="1238" t="s">
        <v>818</v>
      </c>
      <c r="G172" s="1229">
        <v>1000</v>
      </c>
      <c r="H172" s="1229"/>
      <c r="I172" s="1229" t="s">
        <v>473</v>
      </c>
      <c r="J172" s="668">
        <f>+L172</f>
        <v>766553853</v>
      </c>
      <c r="K172" s="1229" t="s">
        <v>473</v>
      </c>
      <c r="L172" s="1230">
        <f>-ROUND(SUMIF(T_IS!$F:$F,T198_TB!E172,T_IS!$X:$X),0)</f>
        <v>766553853</v>
      </c>
      <c r="M172" s="740" t="s">
        <v>2618</v>
      </c>
      <c r="O172" s="509"/>
    </row>
    <row r="173" spans="3:15" s="710" customFormat="1" ht="18" customHeight="1" thickBot="1">
      <c r="C173" s="710">
        <v>1</v>
      </c>
      <c r="D173" s="1239" t="s">
        <v>632</v>
      </c>
      <c r="E173" s="1830">
        <v>905</v>
      </c>
      <c r="F173" s="1240" t="s">
        <v>2687</v>
      </c>
      <c r="G173" s="1241">
        <v>1000</v>
      </c>
      <c r="H173" s="1241"/>
      <c r="I173" s="1241" t="s">
        <v>473</v>
      </c>
      <c r="J173" s="1017">
        <f>+L173</f>
        <v>-1413694186</v>
      </c>
      <c r="K173" s="1241" t="s">
        <v>473</v>
      </c>
      <c r="L173" s="1242">
        <f>-ROUND(SUMIF(T_IS!$F:$F,T198_TB!E173,T_IS!$X:$X),0)</f>
        <v>-1413694186</v>
      </c>
      <c r="M173" s="740" t="s">
        <v>2613</v>
      </c>
      <c r="O173" s="509"/>
    </row>
    <row r="176" spans="3:15" ht="18" customHeight="1">
      <c r="F176" s="710"/>
      <c r="G176" s="712"/>
      <c r="H176" s="712"/>
    </row>
    <row r="177" spans="6:8" ht="18" customHeight="1">
      <c r="F177" s="710"/>
      <c r="G177" s="712"/>
      <c r="H177" s="712"/>
    </row>
    <row r="178" spans="6:8" ht="18" customHeight="1">
      <c r="F178" s="710"/>
      <c r="G178" s="712"/>
      <c r="H178" s="712"/>
    </row>
    <row r="179" spans="6:8" ht="18" customHeight="1">
      <c r="F179" s="710"/>
      <c r="G179" s="712"/>
      <c r="H179" s="712"/>
    </row>
    <row r="180" spans="6:8" ht="18" customHeight="1">
      <c r="F180" s="710"/>
      <c r="G180" s="712"/>
      <c r="H180" s="712"/>
    </row>
    <row r="181" spans="6:8" ht="18" customHeight="1">
      <c r="F181" s="710"/>
      <c r="G181" s="712"/>
      <c r="H181" s="712"/>
    </row>
  </sheetData>
  <autoFilter ref="D4:M173"/>
  <phoneticPr fontId="21" type="noConversion"/>
  <pageMargins left="0.7" right="0.7" top="0.75" bottom="0.75" header="0.3" footer="0.3"/>
  <pageSetup paperSize="9" orientation="portrait" r:id="rId1"/>
  <ignoredErrors>
    <ignoredError sqref="E29:E33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FFFF00"/>
  </sheetPr>
  <dimension ref="D3:AA35"/>
  <sheetViews>
    <sheetView showGridLines="0" zoomScale="80" zoomScaleNormal="8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ColWidth="8.75" defaultRowHeight="18" customHeight="1" outlineLevelCol="1"/>
  <cols>
    <col min="1" max="3" width="2.375" style="498" customWidth="1"/>
    <col min="4" max="4" width="20.375" style="498" customWidth="1"/>
    <col min="5" max="5" width="23.875" style="498" bestFit="1" customWidth="1"/>
    <col min="6" max="14" width="20.375" style="498" hidden="1" customWidth="1" outlineLevel="1"/>
    <col min="15" max="15" width="16.625" style="498" customWidth="1" collapsed="1"/>
    <col min="16" max="22" width="16.625" style="498" customWidth="1"/>
    <col min="23" max="23" width="8.375" style="498" customWidth="1"/>
    <col min="24" max="24" width="7.125" style="1201" bestFit="1" customWidth="1"/>
    <col min="25" max="28" width="20.375" style="498" customWidth="1"/>
    <col min="29" max="16384" width="8.75" style="498"/>
  </cols>
  <sheetData>
    <row r="3" spans="4:27" ht="18" customHeight="1">
      <c r="Y3" s="1201"/>
      <c r="Z3" s="1201"/>
      <c r="AA3" s="1201"/>
    </row>
    <row r="4" spans="4:27" s="540" customFormat="1" ht="18" customHeight="1" thickBot="1">
      <c r="F4" s="540" t="b">
        <f t="shared" ref="F4:N4" si="0">SUM(F6:F28)=0</f>
        <v>1</v>
      </c>
      <c r="G4" s="540" t="b">
        <f t="shared" si="0"/>
        <v>1</v>
      </c>
      <c r="H4" s="540" t="b">
        <f t="shared" si="0"/>
        <v>1</v>
      </c>
      <c r="I4" s="540" t="b">
        <f t="shared" si="0"/>
        <v>1</v>
      </c>
      <c r="J4" s="540" t="b">
        <f t="shared" si="0"/>
        <v>1</v>
      </c>
      <c r="K4" s="540" t="b">
        <f t="shared" si="0"/>
        <v>1</v>
      </c>
      <c r="L4" s="540" t="b">
        <f t="shared" si="0"/>
        <v>1</v>
      </c>
      <c r="M4" s="540" t="b">
        <f t="shared" si="0"/>
        <v>1</v>
      </c>
      <c r="N4" s="540" t="b">
        <f t="shared" si="0"/>
        <v>1</v>
      </c>
      <c r="O4" s="540" t="b">
        <f t="shared" ref="O4:V4" si="1">SUM(O6:O28)=0</f>
        <v>1</v>
      </c>
      <c r="P4" s="540" t="b">
        <f t="shared" si="1"/>
        <v>1</v>
      </c>
      <c r="Q4" s="540" t="b">
        <f t="shared" si="1"/>
        <v>1</v>
      </c>
      <c r="R4" s="540" t="b">
        <f t="shared" si="1"/>
        <v>1</v>
      </c>
      <c r="S4" s="540" t="b">
        <f t="shared" si="1"/>
        <v>1</v>
      </c>
      <c r="T4" s="540" t="b">
        <f t="shared" si="1"/>
        <v>1</v>
      </c>
      <c r="U4" s="540" t="b">
        <f t="shared" si="1"/>
        <v>1</v>
      </c>
      <c r="V4" s="540" t="b">
        <f t="shared" si="1"/>
        <v>1</v>
      </c>
      <c r="X4" s="1201"/>
      <c r="Y4" s="1201"/>
      <c r="Z4" s="1201"/>
      <c r="AA4" s="1201"/>
    </row>
    <row r="5" spans="4:27" ht="18" customHeight="1">
      <c r="D5" s="595" t="s">
        <v>16</v>
      </c>
      <c r="E5" s="596" t="s">
        <v>19</v>
      </c>
      <c r="F5" s="633" t="s">
        <v>2346</v>
      </c>
      <c r="G5" s="1928" t="s">
        <v>2349</v>
      </c>
      <c r="H5" s="596" t="s">
        <v>2350</v>
      </c>
      <c r="I5" s="596" t="s">
        <v>2353</v>
      </c>
      <c r="J5" s="633" t="s">
        <v>2355</v>
      </c>
      <c r="K5" s="633" t="s">
        <v>2339</v>
      </c>
      <c r="L5" s="633" t="s">
        <v>2340</v>
      </c>
      <c r="M5" s="633" t="s">
        <v>2341</v>
      </c>
      <c r="N5" s="633" t="s">
        <v>2342</v>
      </c>
      <c r="O5" s="633" t="s">
        <v>2447</v>
      </c>
      <c r="P5" s="633" t="s">
        <v>2448</v>
      </c>
      <c r="Q5" s="633" t="s">
        <v>2449</v>
      </c>
      <c r="R5" s="633" t="s">
        <v>2450</v>
      </c>
      <c r="S5" s="605" t="s">
        <v>2578</v>
      </c>
      <c r="T5" s="605" t="s">
        <v>2590</v>
      </c>
      <c r="U5" s="604" t="s">
        <v>2901</v>
      </c>
      <c r="V5" s="606" t="s">
        <v>2900</v>
      </c>
      <c r="Y5" s="1201"/>
      <c r="Z5" s="1201"/>
      <c r="AA5" s="1201"/>
    </row>
    <row r="6" spans="4:27" ht="18" customHeight="1">
      <c r="D6" s="1202" t="s">
        <v>392</v>
      </c>
      <c r="E6" s="1203"/>
      <c r="F6" s="1206"/>
      <c r="G6" s="1929"/>
      <c r="H6" s="1203"/>
      <c r="I6" s="1203"/>
      <c r="J6" s="1204"/>
      <c r="K6" s="1205"/>
      <c r="L6" s="1204"/>
      <c r="M6" s="1204"/>
      <c r="N6" s="1206"/>
      <c r="O6" s="1207"/>
      <c r="P6" s="1208"/>
      <c r="Q6" s="1208"/>
      <c r="R6" s="1209"/>
      <c r="S6" s="1207"/>
      <c r="T6" s="2036"/>
      <c r="U6" s="2037"/>
      <c r="V6" s="1945"/>
      <c r="Y6" s="1201"/>
      <c r="Z6" s="1201"/>
      <c r="AA6" s="1201"/>
    </row>
    <row r="7" spans="4:27" ht="18" customHeight="1">
      <c r="D7" s="607" t="s">
        <v>128</v>
      </c>
      <c r="E7" s="683" t="s">
        <v>129</v>
      </c>
      <c r="F7" s="684">
        <v>19842800</v>
      </c>
      <c r="G7" s="1930">
        <f>F7</f>
        <v>19842800</v>
      </c>
      <c r="H7" s="609">
        <f>G7</f>
        <v>19842800</v>
      </c>
      <c r="I7" s="609">
        <f>H7</f>
        <v>19842800</v>
      </c>
      <c r="J7" s="905">
        <f>+I7</f>
        <v>19842800</v>
      </c>
      <c r="K7" s="1210">
        <f>+J7</f>
        <v>19842800</v>
      </c>
      <c r="L7" s="905">
        <f>+K7</f>
        <v>19842800</v>
      </c>
      <c r="M7" s="905">
        <v>19842800</v>
      </c>
      <c r="N7" s="684">
        <f t="shared" ref="N7:N23" si="2">L7</f>
        <v>19842800</v>
      </c>
      <c r="O7" s="618">
        <v>19842800</v>
      </c>
      <c r="P7" s="907">
        <v>19842800</v>
      </c>
      <c r="Q7" s="907">
        <v>19842800</v>
      </c>
      <c r="R7" s="619">
        <v>19842800</v>
      </c>
      <c r="S7" s="618">
        <v>19842800</v>
      </c>
      <c r="T7" s="611">
        <v>19842800</v>
      </c>
      <c r="U7" s="2038">
        <v>19842800</v>
      </c>
      <c r="V7" s="1938">
        <f>Q7</f>
        <v>19842800</v>
      </c>
      <c r="Y7" s="1201"/>
      <c r="Z7" s="1201"/>
      <c r="AA7" s="1201"/>
    </row>
    <row r="8" spans="4:27" ht="18" customHeight="1">
      <c r="D8" s="1211" t="s">
        <v>1790</v>
      </c>
      <c r="E8" s="683" t="s">
        <v>193</v>
      </c>
      <c r="F8" s="684">
        <f>-F7</f>
        <v>-19842800</v>
      </c>
      <c r="G8" s="1930">
        <f t="shared" ref="G8:L8" si="3">F8</f>
        <v>-19842800</v>
      </c>
      <c r="H8" s="609">
        <f t="shared" si="3"/>
        <v>-19842800</v>
      </c>
      <c r="I8" s="609">
        <f t="shared" si="3"/>
        <v>-19842800</v>
      </c>
      <c r="J8" s="905">
        <f t="shared" si="3"/>
        <v>-19842800</v>
      </c>
      <c r="K8" s="1210">
        <f t="shared" si="3"/>
        <v>-19842800</v>
      </c>
      <c r="L8" s="905">
        <f t="shared" si="3"/>
        <v>-19842800</v>
      </c>
      <c r="M8" s="905">
        <v>-19842800</v>
      </c>
      <c r="N8" s="684">
        <f t="shared" si="2"/>
        <v>-19842800</v>
      </c>
      <c r="O8" s="618">
        <v>-19842800</v>
      </c>
      <c r="P8" s="907">
        <v>-19842800</v>
      </c>
      <c r="Q8" s="907">
        <v>-19842800</v>
      </c>
      <c r="R8" s="619">
        <v>-19842800</v>
      </c>
      <c r="S8" s="618">
        <v>-19842800</v>
      </c>
      <c r="T8" s="611">
        <v>-19842800</v>
      </c>
      <c r="U8" s="2038">
        <v>-19842800</v>
      </c>
      <c r="V8" s="1938">
        <f>Q8</f>
        <v>-19842800</v>
      </c>
      <c r="Y8" s="1201"/>
      <c r="Z8" s="1201"/>
      <c r="AA8" s="1201"/>
    </row>
    <row r="9" spans="4:27" ht="18" customHeight="1">
      <c r="D9" s="1202" t="s">
        <v>398</v>
      </c>
      <c r="E9" s="1212"/>
      <c r="F9" s="1206">
        <f t="shared" ref="F9:Q9" si="4">F7+F8</f>
        <v>0</v>
      </c>
      <c r="G9" s="1931">
        <f t="shared" si="4"/>
        <v>0</v>
      </c>
      <c r="H9" s="1213">
        <f t="shared" si="4"/>
        <v>0</v>
      </c>
      <c r="I9" s="1213">
        <f t="shared" si="4"/>
        <v>0</v>
      </c>
      <c r="J9" s="1214">
        <f t="shared" si="4"/>
        <v>0</v>
      </c>
      <c r="K9" s="1215">
        <f t="shared" si="4"/>
        <v>0</v>
      </c>
      <c r="L9" s="1213">
        <f t="shared" si="4"/>
        <v>0</v>
      </c>
      <c r="M9" s="1213">
        <f t="shared" si="4"/>
        <v>0</v>
      </c>
      <c r="N9" s="1214">
        <f t="shared" si="4"/>
        <v>0</v>
      </c>
      <c r="O9" s="1215">
        <f t="shared" si="4"/>
        <v>0</v>
      </c>
      <c r="P9" s="1213">
        <f t="shared" si="4"/>
        <v>0</v>
      </c>
      <c r="Q9" s="1213">
        <f t="shared" si="4"/>
        <v>0</v>
      </c>
      <c r="R9" s="1214"/>
      <c r="S9" s="1215"/>
      <c r="T9" s="2039">
        <f>T7+T8</f>
        <v>0</v>
      </c>
      <c r="U9" s="2040">
        <f>U7+U8</f>
        <v>0</v>
      </c>
      <c r="V9" s="1946">
        <f>V7+V8</f>
        <v>0</v>
      </c>
      <c r="Y9" s="1201"/>
      <c r="Z9" s="1201"/>
      <c r="AA9" s="1201"/>
    </row>
    <row r="10" spans="4:27" ht="18" customHeight="1">
      <c r="D10" s="1211" t="s">
        <v>1790</v>
      </c>
      <c r="E10" s="683" t="s">
        <v>193</v>
      </c>
      <c r="F10" s="684">
        <v>368242282</v>
      </c>
      <c r="G10" s="1930">
        <f t="shared" ref="G10:H13" si="5">F10</f>
        <v>368242282</v>
      </c>
      <c r="H10" s="609">
        <f t="shared" si="5"/>
        <v>368242282</v>
      </c>
      <c r="I10" s="609">
        <f t="shared" ref="I10:I23" si="6">H10</f>
        <v>368242282</v>
      </c>
      <c r="J10" s="905">
        <f>+I10</f>
        <v>368242282</v>
      </c>
      <c r="K10" s="1210">
        <f t="shared" ref="K10:L13" si="7">H10</f>
        <v>368242282</v>
      </c>
      <c r="L10" s="905">
        <f t="shared" si="7"/>
        <v>368242282</v>
      </c>
      <c r="M10" s="905">
        <v>368242282</v>
      </c>
      <c r="N10" s="684">
        <f t="shared" si="2"/>
        <v>368242282</v>
      </c>
      <c r="O10" s="618">
        <v>368242282</v>
      </c>
      <c r="P10" s="907">
        <v>368242282</v>
      </c>
      <c r="Q10" s="907">
        <v>368242282</v>
      </c>
      <c r="R10" s="619">
        <v>368242282</v>
      </c>
      <c r="S10" s="618">
        <v>368242282</v>
      </c>
      <c r="T10" s="611">
        <v>368242282</v>
      </c>
      <c r="U10" s="2038">
        <v>368242282</v>
      </c>
      <c r="V10" s="1938">
        <f>Q10</f>
        <v>368242282</v>
      </c>
      <c r="Y10" s="1201"/>
      <c r="Z10" s="1201"/>
      <c r="AA10" s="1201"/>
    </row>
    <row r="11" spans="4:27" ht="18" customHeight="1">
      <c r="D11" s="607" t="s">
        <v>1354</v>
      </c>
      <c r="E11" s="683" t="s">
        <v>207</v>
      </c>
      <c r="F11" s="684">
        <f>-F10</f>
        <v>-368242282</v>
      </c>
      <c r="G11" s="1930">
        <f t="shared" si="5"/>
        <v>-368242282</v>
      </c>
      <c r="H11" s="609">
        <f t="shared" si="5"/>
        <v>-368242282</v>
      </c>
      <c r="I11" s="609">
        <f t="shared" si="6"/>
        <v>-368242282</v>
      </c>
      <c r="J11" s="905">
        <f>+I11</f>
        <v>-368242282</v>
      </c>
      <c r="K11" s="1210">
        <f t="shared" si="7"/>
        <v>-368242282</v>
      </c>
      <c r="L11" s="905">
        <f t="shared" si="7"/>
        <v>-368242282</v>
      </c>
      <c r="M11" s="905">
        <v>-368242282</v>
      </c>
      <c r="N11" s="684">
        <f t="shared" si="2"/>
        <v>-368242282</v>
      </c>
      <c r="O11" s="618">
        <v>-368242282</v>
      </c>
      <c r="P11" s="907">
        <v>-368242282</v>
      </c>
      <c r="Q11" s="907">
        <v>-368242282</v>
      </c>
      <c r="R11" s="619">
        <v>-368242282</v>
      </c>
      <c r="S11" s="618">
        <v>-368242282</v>
      </c>
      <c r="T11" s="611">
        <v>-368242282</v>
      </c>
      <c r="U11" s="2038">
        <v>-368242282</v>
      </c>
      <c r="V11" s="1938">
        <f>Q11</f>
        <v>-368242282</v>
      </c>
      <c r="Y11" s="1201"/>
      <c r="Z11" s="1201"/>
      <c r="AA11" s="1201"/>
    </row>
    <row r="12" spans="4:27" ht="18" customHeight="1">
      <c r="D12" s="1211" t="s">
        <v>1790</v>
      </c>
      <c r="E12" s="683" t="s">
        <v>193</v>
      </c>
      <c r="F12" s="684">
        <v>622390102</v>
      </c>
      <c r="G12" s="1930">
        <f t="shared" si="5"/>
        <v>622390102</v>
      </c>
      <c r="H12" s="609">
        <f t="shared" si="5"/>
        <v>622390102</v>
      </c>
      <c r="I12" s="609">
        <f t="shared" si="6"/>
        <v>622390102</v>
      </c>
      <c r="J12" s="905">
        <f>+I12</f>
        <v>622390102</v>
      </c>
      <c r="K12" s="1210">
        <f t="shared" si="7"/>
        <v>622390102</v>
      </c>
      <c r="L12" s="905">
        <f t="shared" si="7"/>
        <v>622390102</v>
      </c>
      <c r="M12" s="905">
        <v>622390102</v>
      </c>
      <c r="N12" s="684">
        <f t="shared" si="2"/>
        <v>622390102</v>
      </c>
      <c r="O12" s="618">
        <v>622390102</v>
      </c>
      <c r="P12" s="907">
        <v>622390102</v>
      </c>
      <c r="Q12" s="907">
        <v>622390102</v>
      </c>
      <c r="R12" s="619">
        <v>622390102</v>
      </c>
      <c r="S12" s="618">
        <v>622390102</v>
      </c>
      <c r="T12" s="611">
        <v>622390102</v>
      </c>
      <c r="U12" s="2038">
        <v>622390102</v>
      </c>
      <c r="V12" s="1938">
        <f>Q12</f>
        <v>622390102</v>
      </c>
      <c r="Y12" s="1201"/>
      <c r="Z12" s="1201"/>
      <c r="AA12" s="1201"/>
    </row>
    <row r="13" spans="4:27" ht="18" customHeight="1">
      <c r="D13" s="1211" t="s">
        <v>1791</v>
      </c>
      <c r="E13" s="683" t="s">
        <v>205</v>
      </c>
      <c r="F13" s="684">
        <f>-F12</f>
        <v>-622390102</v>
      </c>
      <c r="G13" s="1930">
        <f t="shared" si="5"/>
        <v>-622390102</v>
      </c>
      <c r="H13" s="609">
        <f t="shared" si="5"/>
        <v>-622390102</v>
      </c>
      <c r="I13" s="609">
        <f t="shared" si="6"/>
        <v>-622390102</v>
      </c>
      <c r="J13" s="905">
        <f>+I13</f>
        <v>-622390102</v>
      </c>
      <c r="K13" s="1210">
        <f t="shared" si="7"/>
        <v>-622390102</v>
      </c>
      <c r="L13" s="905">
        <f t="shared" si="7"/>
        <v>-622390102</v>
      </c>
      <c r="M13" s="905">
        <v>-622390102</v>
      </c>
      <c r="N13" s="684">
        <f t="shared" si="2"/>
        <v>-622390102</v>
      </c>
      <c r="O13" s="618">
        <v>-622390102</v>
      </c>
      <c r="P13" s="907">
        <v>-622390102</v>
      </c>
      <c r="Q13" s="907">
        <v>-622390102</v>
      </c>
      <c r="R13" s="619">
        <v>-622390102</v>
      </c>
      <c r="S13" s="618">
        <v>-622390102</v>
      </c>
      <c r="T13" s="611">
        <v>-622390102</v>
      </c>
      <c r="U13" s="2038">
        <v>-622390102</v>
      </c>
      <c r="V13" s="1938">
        <f>Q13</f>
        <v>-622390102</v>
      </c>
      <c r="Y13" s="1201"/>
      <c r="Z13" s="1201"/>
      <c r="AA13" s="1201"/>
    </row>
    <row r="14" spans="4:27" ht="18" customHeight="1">
      <c r="D14" s="1216" t="s">
        <v>399</v>
      </c>
      <c r="E14" s="1212"/>
      <c r="F14" s="1206">
        <f t="shared" ref="F14:Q14" si="8">SUM(F10:F13)</f>
        <v>0</v>
      </c>
      <c r="G14" s="1931">
        <f t="shared" si="8"/>
        <v>0</v>
      </c>
      <c r="H14" s="1213">
        <f t="shared" si="8"/>
        <v>0</v>
      </c>
      <c r="I14" s="1213">
        <f t="shared" si="8"/>
        <v>0</v>
      </c>
      <c r="J14" s="1214">
        <f t="shared" si="8"/>
        <v>0</v>
      </c>
      <c r="K14" s="1215">
        <f t="shared" si="8"/>
        <v>0</v>
      </c>
      <c r="L14" s="1213">
        <f t="shared" si="8"/>
        <v>0</v>
      </c>
      <c r="M14" s="1213">
        <f t="shared" si="8"/>
        <v>0</v>
      </c>
      <c r="N14" s="1214">
        <f t="shared" si="8"/>
        <v>0</v>
      </c>
      <c r="O14" s="1215">
        <f t="shared" si="8"/>
        <v>0</v>
      </c>
      <c r="P14" s="1213">
        <f t="shared" si="8"/>
        <v>0</v>
      </c>
      <c r="Q14" s="1213">
        <f t="shared" si="8"/>
        <v>0</v>
      </c>
      <c r="R14" s="1214"/>
      <c r="S14" s="1215"/>
      <c r="T14" s="2039">
        <f>SUM(T10:T13)</f>
        <v>0</v>
      </c>
      <c r="U14" s="2040">
        <f>SUM(U10:U13)</f>
        <v>0</v>
      </c>
      <c r="V14" s="1946">
        <f>SUM(V10:V13)</f>
        <v>0</v>
      </c>
      <c r="Y14" s="1201"/>
      <c r="Z14" s="1201"/>
      <c r="AA14" s="1201"/>
    </row>
    <row r="15" spans="4:27" ht="18" customHeight="1">
      <c r="D15" s="1211" t="s">
        <v>1790</v>
      </c>
      <c r="E15" s="683" t="s">
        <v>193</v>
      </c>
      <c r="F15" s="684">
        <v>-892464079</v>
      </c>
      <c r="G15" s="1930">
        <f>F15</f>
        <v>-892464079</v>
      </c>
      <c r="H15" s="609">
        <f>G15</f>
        <v>-892464079</v>
      </c>
      <c r="I15" s="609">
        <f t="shared" si="6"/>
        <v>-892464079</v>
      </c>
      <c r="J15" s="905">
        <f>+I15</f>
        <v>-892464079</v>
      </c>
      <c r="K15" s="1210">
        <f>H15</f>
        <v>-892464079</v>
      </c>
      <c r="L15" s="905">
        <f>I15</f>
        <v>-892464079</v>
      </c>
      <c r="M15" s="905">
        <v>-892464079</v>
      </c>
      <c r="N15" s="684">
        <f t="shared" si="2"/>
        <v>-892464079</v>
      </c>
      <c r="O15" s="618">
        <v>-892464079</v>
      </c>
      <c r="P15" s="907">
        <v>-892464079</v>
      </c>
      <c r="Q15" s="907">
        <v>-892464079</v>
      </c>
      <c r="R15" s="619">
        <v>-892464079</v>
      </c>
      <c r="S15" s="618">
        <v>-892464079</v>
      </c>
      <c r="T15" s="611">
        <v>-892464079</v>
      </c>
      <c r="U15" s="2038">
        <v>-892464079</v>
      </c>
      <c r="V15" s="1938">
        <f>Q15</f>
        <v>-892464079</v>
      </c>
      <c r="Y15" s="1201"/>
      <c r="Z15" s="1201"/>
      <c r="AA15" s="1201"/>
    </row>
    <row r="16" spans="4:27" ht="18" customHeight="1">
      <c r="D16" s="607" t="s">
        <v>1354</v>
      </c>
      <c r="E16" s="683" t="s">
        <v>207</v>
      </c>
      <c r="F16" s="684">
        <f>-F15</f>
        <v>892464079</v>
      </c>
      <c r="G16" s="1930">
        <f>F16</f>
        <v>892464079</v>
      </c>
      <c r="H16" s="609">
        <f>G16</f>
        <v>892464079</v>
      </c>
      <c r="I16" s="609">
        <f t="shared" si="6"/>
        <v>892464079</v>
      </c>
      <c r="J16" s="905">
        <f>+I16</f>
        <v>892464079</v>
      </c>
      <c r="K16" s="1210">
        <f>H16</f>
        <v>892464079</v>
      </c>
      <c r="L16" s="905">
        <f>I16</f>
        <v>892464079</v>
      </c>
      <c r="M16" s="905">
        <v>892464079</v>
      </c>
      <c r="N16" s="684">
        <f t="shared" si="2"/>
        <v>892464079</v>
      </c>
      <c r="O16" s="618">
        <v>892464079</v>
      </c>
      <c r="P16" s="907">
        <v>892464079</v>
      </c>
      <c r="Q16" s="907">
        <v>892464079</v>
      </c>
      <c r="R16" s="619">
        <v>892464079</v>
      </c>
      <c r="S16" s="618">
        <v>892464079</v>
      </c>
      <c r="T16" s="611">
        <v>892464079</v>
      </c>
      <c r="U16" s="2038">
        <v>892464079</v>
      </c>
      <c r="V16" s="1938">
        <f>Q16</f>
        <v>892464079</v>
      </c>
      <c r="Y16" s="1201"/>
      <c r="Z16" s="1201"/>
      <c r="AA16" s="1201"/>
    </row>
    <row r="17" spans="4:27" ht="18" customHeight="1">
      <c r="D17" s="1216" t="s">
        <v>400</v>
      </c>
      <c r="E17" s="1212"/>
      <c r="F17" s="1206">
        <f t="shared" ref="F17:Q17" si="9">F15+F16</f>
        <v>0</v>
      </c>
      <c r="G17" s="1931">
        <f t="shared" si="9"/>
        <v>0</v>
      </c>
      <c r="H17" s="1213">
        <f t="shared" si="9"/>
        <v>0</v>
      </c>
      <c r="I17" s="1213">
        <f t="shared" si="9"/>
        <v>0</v>
      </c>
      <c r="J17" s="1214">
        <f t="shared" si="9"/>
        <v>0</v>
      </c>
      <c r="K17" s="1215">
        <f t="shared" si="9"/>
        <v>0</v>
      </c>
      <c r="L17" s="1213">
        <f t="shared" si="9"/>
        <v>0</v>
      </c>
      <c r="M17" s="1213">
        <f t="shared" si="9"/>
        <v>0</v>
      </c>
      <c r="N17" s="1214">
        <f t="shared" si="9"/>
        <v>0</v>
      </c>
      <c r="O17" s="1215">
        <f t="shared" si="9"/>
        <v>0</v>
      </c>
      <c r="P17" s="1213">
        <f t="shared" si="9"/>
        <v>0</v>
      </c>
      <c r="Q17" s="1213">
        <f t="shared" si="9"/>
        <v>0</v>
      </c>
      <c r="R17" s="1214"/>
      <c r="S17" s="1215"/>
      <c r="T17" s="2039">
        <f>T15+T16</f>
        <v>0</v>
      </c>
      <c r="U17" s="2040">
        <f>U15+U16</f>
        <v>0</v>
      </c>
      <c r="V17" s="1946">
        <f>V15+V16</f>
        <v>0</v>
      </c>
      <c r="Y17" s="1201"/>
      <c r="Z17" s="1201"/>
      <c r="AA17" s="1201"/>
    </row>
    <row r="18" spans="4:27" ht="18" customHeight="1">
      <c r="D18" s="1211" t="s">
        <v>1790</v>
      </c>
      <c r="E18" s="683" t="s">
        <v>193</v>
      </c>
      <c r="F18" s="684">
        <v>10952617</v>
      </c>
      <c r="G18" s="1930">
        <f t="shared" ref="G18:G23" si="10">F18</f>
        <v>10952617</v>
      </c>
      <c r="H18" s="609">
        <f t="shared" ref="H18:H23" si="11">G18</f>
        <v>10952617</v>
      </c>
      <c r="I18" s="609">
        <f t="shared" si="6"/>
        <v>10952617</v>
      </c>
      <c r="J18" s="905">
        <f t="shared" ref="J18:J23" si="12">+I18</f>
        <v>10952617</v>
      </c>
      <c r="K18" s="1210">
        <f t="shared" ref="K18:L23" si="13">H18</f>
        <v>10952617</v>
      </c>
      <c r="L18" s="905">
        <f t="shared" si="13"/>
        <v>10952617</v>
      </c>
      <c r="M18" s="905">
        <v>10952617</v>
      </c>
      <c r="N18" s="684">
        <f t="shared" si="2"/>
        <v>10952617</v>
      </c>
      <c r="O18" s="618">
        <v>10952617</v>
      </c>
      <c r="P18" s="907">
        <v>10952617</v>
      </c>
      <c r="Q18" s="907">
        <v>10952617</v>
      </c>
      <c r="R18" s="619">
        <v>10952617</v>
      </c>
      <c r="S18" s="618">
        <v>10952617</v>
      </c>
      <c r="T18" s="611">
        <v>10952617</v>
      </c>
      <c r="U18" s="2038">
        <v>10952617</v>
      </c>
      <c r="V18" s="1938">
        <f t="shared" ref="V18:V23" si="14">Q18</f>
        <v>10952617</v>
      </c>
      <c r="Y18" s="1201"/>
      <c r="Z18" s="1201"/>
      <c r="AA18" s="1201"/>
    </row>
    <row r="19" spans="4:27" ht="18" customHeight="1">
      <c r="D19" s="1211" t="s">
        <v>1792</v>
      </c>
      <c r="E19" s="683" t="s">
        <v>207</v>
      </c>
      <c r="F19" s="684">
        <v>-10952617</v>
      </c>
      <c r="G19" s="1930">
        <f t="shared" si="10"/>
        <v>-10952617</v>
      </c>
      <c r="H19" s="609">
        <f t="shared" si="11"/>
        <v>-10952617</v>
      </c>
      <c r="I19" s="609">
        <f t="shared" si="6"/>
        <v>-10952617</v>
      </c>
      <c r="J19" s="905">
        <f t="shared" si="12"/>
        <v>-10952617</v>
      </c>
      <c r="K19" s="1210">
        <f t="shared" si="13"/>
        <v>-10952617</v>
      </c>
      <c r="L19" s="905">
        <f t="shared" si="13"/>
        <v>-10952617</v>
      </c>
      <c r="M19" s="905">
        <v>-10952617</v>
      </c>
      <c r="N19" s="684">
        <f t="shared" si="2"/>
        <v>-10952617</v>
      </c>
      <c r="O19" s="618">
        <v>-10952617</v>
      </c>
      <c r="P19" s="907">
        <v>-10952617</v>
      </c>
      <c r="Q19" s="907">
        <v>-10952617</v>
      </c>
      <c r="R19" s="619">
        <v>-10952617</v>
      </c>
      <c r="S19" s="618">
        <v>-10952617</v>
      </c>
      <c r="T19" s="611">
        <v>-10952617</v>
      </c>
      <c r="U19" s="2038">
        <v>-10952617</v>
      </c>
      <c r="V19" s="1938">
        <f t="shared" si="14"/>
        <v>-10952617</v>
      </c>
      <c r="Y19" s="1201"/>
      <c r="Z19" s="1201"/>
      <c r="AA19" s="1201"/>
    </row>
    <row r="20" spans="4:27" ht="18" customHeight="1">
      <c r="D20" s="1211" t="s">
        <v>1790</v>
      </c>
      <c r="E20" s="683" t="s">
        <v>193</v>
      </c>
      <c r="F20" s="684">
        <v>-349388</v>
      </c>
      <c r="G20" s="1930">
        <f t="shared" si="10"/>
        <v>-349388</v>
      </c>
      <c r="H20" s="609">
        <f t="shared" si="11"/>
        <v>-349388</v>
      </c>
      <c r="I20" s="609">
        <f t="shared" si="6"/>
        <v>-349388</v>
      </c>
      <c r="J20" s="905">
        <f t="shared" si="12"/>
        <v>-349388</v>
      </c>
      <c r="K20" s="1210">
        <f t="shared" si="13"/>
        <v>-349388</v>
      </c>
      <c r="L20" s="905">
        <f t="shared" si="13"/>
        <v>-349388</v>
      </c>
      <c r="M20" s="905">
        <v>-349388</v>
      </c>
      <c r="N20" s="684">
        <f t="shared" si="2"/>
        <v>-349388</v>
      </c>
      <c r="O20" s="618">
        <v>-349388</v>
      </c>
      <c r="P20" s="907">
        <v>-349388</v>
      </c>
      <c r="Q20" s="907">
        <v>-349388</v>
      </c>
      <c r="R20" s="619">
        <v>-349388</v>
      </c>
      <c r="S20" s="618">
        <v>-349388</v>
      </c>
      <c r="T20" s="611">
        <v>-349388</v>
      </c>
      <c r="U20" s="2038">
        <v>-349388</v>
      </c>
      <c r="V20" s="1938">
        <f t="shared" si="14"/>
        <v>-349388</v>
      </c>
      <c r="Y20" s="1201"/>
      <c r="Z20" s="1201"/>
      <c r="AA20" s="1201"/>
    </row>
    <row r="21" spans="4:27" ht="18" customHeight="1">
      <c r="D21" s="607" t="s">
        <v>1354</v>
      </c>
      <c r="E21" s="683" t="s">
        <v>207</v>
      </c>
      <c r="F21" s="684">
        <v>349388</v>
      </c>
      <c r="G21" s="1930">
        <f t="shared" si="10"/>
        <v>349388</v>
      </c>
      <c r="H21" s="609">
        <f t="shared" si="11"/>
        <v>349388</v>
      </c>
      <c r="I21" s="609">
        <f t="shared" si="6"/>
        <v>349388</v>
      </c>
      <c r="J21" s="905">
        <f t="shared" si="12"/>
        <v>349388</v>
      </c>
      <c r="K21" s="1210">
        <f t="shared" si="13"/>
        <v>349388</v>
      </c>
      <c r="L21" s="905">
        <f t="shared" si="13"/>
        <v>349388</v>
      </c>
      <c r="M21" s="905">
        <v>349388</v>
      </c>
      <c r="N21" s="684">
        <f t="shared" si="2"/>
        <v>349388</v>
      </c>
      <c r="O21" s="618">
        <v>349388</v>
      </c>
      <c r="P21" s="907">
        <v>349388</v>
      </c>
      <c r="Q21" s="907">
        <v>349388</v>
      </c>
      <c r="R21" s="619">
        <v>349388</v>
      </c>
      <c r="S21" s="618">
        <v>349388</v>
      </c>
      <c r="T21" s="611">
        <v>349388</v>
      </c>
      <c r="U21" s="2038">
        <v>349388</v>
      </c>
      <c r="V21" s="1938">
        <f t="shared" si="14"/>
        <v>349388</v>
      </c>
      <c r="Y21" s="1201"/>
      <c r="Z21" s="1201"/>
      <c r="AA21" s="1201"/>
    </row>
    <row r="22" spans="4:27" ht="18" customHeight="1">
      <c r="D22" s="1211" t="s">
        <v>1790</v>
      </c>
      <c r="E22" s="683" t="s">
        <v>193</v>
      </c>
      <c r="F22" s="684">
        <v>29855787</v>
      </c>
      <c r="G22" s="1930">
        <f t="shared" si="10"/>
        <v>29855787</v>
      </c>
      <c r="H22" s="609">
        <f t="shared" si="11"/>
        <v>29855787</v>
      </c>
      <c r="I22" s="609">
        <f t="shared" si="6"/>
        <v>29855787</v>
      </c>
      <c r="J22" s="905">
        <f t="shared" si="12"/>
        <v>29855787</v>
      </c>
      <c r="K22" s="1210">
        <f t="shared" si="13"/>
        <v>29855787</v>
      </c>
      <c r="L22" s="905">
        <f t="shared" si="13"/>
        <v>29855787</v>
      </c>
      <c r="M22" s="905">
        <v>29855787</v>
      </c>
      <c r="N22" s="684">
        <f t="shared" si="2"/>
        <v>29855787</v>
      </c>
      <c r="O22" s="618">
        <v>29855787</v>
      </c>
      <c r="P22" s="907">
        <v>29855787</v>
      </c>
      <c r="Q22" s="907">
        <v>29855787</v>
      </c>
      <c r="R22" s="619">
        <v>29855787</v>
      </c>
      <c r="S22" s="618">
        <v>29855787</v>
      </c>
      <c r="T22" s="611">
        <v>29855787</v>
      </c>
      <c r="U22" s="2038">
        <v>29855787</v>
      </c>
      <c r="V22" s="1938">
        <f t="shared" si="14"/>
        <v>29855787</v>
      </c>
      <c r="Y22" s="1201"/>
      <c r="Z22" s="1201"/>
      <c r="AA22" s="1201"/>
    </row>
    <row r="23" spans="4:27" ht="18" customHeight="1">
      <c r="D23" s="607" t="s">
        <v>1354</v>
      </c>
      <c r="E23" s="683" t="s">
        <v>207</v>
      </c>
      <c r="F23" s="684">
        <v>-29855787</v>
      </c>
      <c r="G23" s="1930">
        <f t="shared" si="10"/>
        <v>-29855787</v>
      </c>
      <c r="H23" s="609">
        <f t="shared" si="11"/>
        <v>-29855787</v>
      </c>
      <c r="I23" s="609">
        <f t="shared" si="6"/>
        <v>-29855787</v>
      </c>
      <c r="J23" s="905">
        <f t="shared" si="12"/>
        <v>-29855787</v>
      </c>
      <c r="K23" s="1210">
        <f t="shared" si="13"/>
        <v>-29855787</v>
      </c>
      <c r="L23" s="905">
        <f t="shared" si="13"/>
        <v>-29855787</v>
      </c>
      <c r="M23" s="905">
        <v>-29855787</v>
      </c>
      <c r="N23" s="684">
        <f t="shared" si="2"/>
        <v>-29855787</v>
      </c>
      <c r="O23" s="618">
        <v>-29855787</v>
      </c>
      <c r="P23" s="907">
        <v>-29855787</v>
      </c>
      <c r="Q23" s="907">
        <v>-29855787</v>
      </c>
      <c r="R23" s="619">
        <v>-29855787</v>
      </c>
      <c r="S23" s="618">
        <v>-29855787</v>
      </c>
      <c r="T23" s="611">
        <v>-29855787</v>
      </c>
      <c r="U23" s="2038">
        <v>-29855787</v>
      </c>
      <c r="V23" s="1938">
        <f t="shared" si="14"/>
        <v>-29855787</v>
      </c>
      <c r="Y23" s="1201"/>
      <c r="Z23" s="1201"/>
      <c r="AA23" s="1201"/>
    </row>
    <row r="24" spans="4:27" s="494" customFormat="1" ht="18" customHeight="1">
      <c r="D24" s="1216" t="s">
        <v>554</v>
      </c>
      <c r="E24" s="1217"/>
      <c r="F24" s="1933">
        <f t="shared" ref="F24:Q24" si="15">SUM(F18:F23)</f>
        <v>0</v>
      </c>
      <c r="G24" s="1931">
        <f t="shared" si="15"/>
        <v>0</v>
      </c>
      <c r="H24" s="1213">
        <f t="shared" si="15"/>
        <v>0</v>
      </c>
      <c r="I24" s="1213">
        <f t="shared" si="15"/>
        <v>0</v>
      </c>
      <c r="J24" s="1214">
        <f t="shared" si="15"/>
        <v>0</v>
      </c>
      <c r="K24" s="1215">
        <f t="shared" si="15"/>
        <v>0</v>
      </c>
      <c r="L24" s="1213">
        <f t="shared" si="15"/>
        <v>0</v>
      </c>
      <c r="M24" s="1213">
        <f t="shared" si="15"/>
        <v>0</v>
      </c>
      <c r="N24" s="1214">
        <f t="shared" si="15"/>
        <v>0</v>
      </c>
      <c r="O24" s="1215">
        <f t="shared" si="15"/>
        <v>0</v>
      </c>
      <c r="P24" s="1213">
        <f t="shared" si="15"/>
        <v>0</v>
      </c>
      <c r="Q24" s="1213">
        <f t="shared" si="15"/>
        <v>0</v>
      </c>
      <c r="R24" s="1214"/>
      <c r="S24" s="1215"/>
      <c r="T24" s="2039">
        <f>SUM(T18:T23)</f>
        <v>0</v>
      </c>
      <c r="U24" s="2040">
        <f>SUM(U18:U23)</f>
        <v>0</v>
      </c>
      <c r="V24" s="1946">
        <f>SUM(V18:V23)</f>
        <v>0</v>
      </c>
      <c r="X24" s="1201"/>
      <c r="Y24" s="1201"/>
      <c r="Z24" s="1201"/>
      <c r="AA24" s="1201"/>
    </row>
    <row r="25" spans="4:27" ht="18" customHeight="1">
      <c r="D25" s="607" t="s">
        <v>378</v>
      </c>
      <c r="E25" s="683" t="s">
        <v>377</v>
      </c>
      <c r="F25" s="684">
        <v>-5278089200</v>
      </c>
      <c r="G25" s="1930">
        <v>0</v>
      </c>
      <c r="H25" s="609">
        <v>0</v>
      </c>
      <c r="I25" s="609">
        <v>0</v>
      </c>
      <c r="J25" s="905">
        <v>-25472597960</v>
      </c>
      <c r="K25" s="1210">
        <v>0</v>
      </c>
      <c r="L25" s="905">
        <v>0</v>
      </c>
      <c r="M25" s="905">
        <v>0</v>
      </c>
      <c r="N25" s="684">
        <v>-2042283617</v>
      </c>
      <c r="O25" s="618">
        <v>0</v>
      </c>
      <c r="P25" s="907">
        <v>0</v>
      </c>
      <c r="Q25" s="907">
        <v>0</v>
      </c>
      <c r="R25" s="619"/>
      <c r="S25" s="618"/>
      <c r="T25" s="611"/>
      <c r="U25" s="2038"/>
      <c r="V25" s="1938">
        <v>0</v>
      </c>
      <c r="Y25" s="1201"/>
      <c r="Z25" s="1201"/>
      <c r="AA25" s="1201"/>
    </row>
    <row r="26" spans="4:27" ht="18" customHeight="1">
      <c r="D26" s="607" t="s">
        <v>1354</v>
      </c>
      <c r="E26" s="683" t="s">
        <v>207</v>
      </c>
      <c r="F26" s="684">
        <f>-F25</f>
        <v>5278089200</v>
      </c>
      <c r="G26" s="1930">
        <v>0</v>
      </c>
      <c r="H26" s="609">
        <v>0</v>
      </c>
      <c r="I26" s="609">
        <v>0</v>
      </c>
      <c r="J26" s="905">
        <v>25472597960</v>
      </c>
      <c r="K26" s="1210">
        <v>0</v>
      </c>
      <c r="L26" s="905">
        <v>0</v>
      </c>
      <c r="M26" s="905">
        <v>0</v>
      </c>
      <c r="N26" s="684">
        <f>-N25</f>
        <v>2042283617</v>
      </c>
      <c r="O26" s="618">
        <v>0</v>
      </c>
      <c r="P26" s="907">
        <v>0</v>
      </c>
      <c r="Q26" s="907">
        <v>0</v>
      </c>
      <c r="R26" s="619"/>
      <c r="S26" s="618"/>
      <c r="T26" s="611"/>
      <c r="U26" s="2038"/>
      <c r="V26" s="1938">
        <v>0</v>
      </c>
      <c r="Y26" s="1201"/>
      <c r="Z26" s="1201"/>
      <c r="AA26" s="1201"/>
    </row>
    <row r="27" spans="4:27" ht="18" customHeight="1">
      <c r="D27" s="607" t="s">
        <v>1355</v>
      </c>
      <c r="E27" s="683" t="s">
        <v>209</v>
      </c>
      <c r="F27" s="684">
        <f>F25</f>
        <v>-5278089200</v>
      </c>
      <c r="G27" s="1930">
        <v>0</v>
      </c>
      <c r="H27" s="609">
        <v>0</v>
      </c>
      <c r="I27" s="609">
        <v>0</v>
      </c>
      <c r="J27" s="905">
        <v>-25472597960</v>
      </c>
      <c r="K27" s="1210">
        <v>0</v>
      </c>
      <c r="L27" s="905">
        <v>0</v>
      </c>
      <c r="M27" s="905">
        <v>0</v>
      </c>
      <c r="N27" s="684">
        <f>-N26</f>
        <v>-2042283617</v>
      </c>
      <c r="O27" s="618">
        <v>0</v>
      </c>
      <c r="P27" s="907">
        <v>0</v>
      </c>
      <c r="Q27" s="907">
        <v>0</v>
      </c>
      <c r="R27" s="619"/>
      <c r="S27" s="618"/>
      <c r="T27" s="611"/>
      <c r="U27" s="2038"/>
      <c r="V27" s="1938">
        <v>0</v>
      </c>
      <c r="Y27" s="1201"/>
      <c r="Z27" s="1201"/>
      <c r="AA27" s="1201"/>
    </row>
    <row r="28" spans="4:27" ht="18" customHeight="1">
      <c r="D28" s="607"/>
      <c r="E28" s="683" t="s">
        <v>421</v>
      </c>
      <c r="F28" s="684">
        <f>-F27</f>
        <v>5278089200</v>
      </c>
      <c r="G28" s="1930">
        <v>0</v>
      </c>
      <c r="H28" s="609">
        <v>0</v>
      </c>
      <c r="I28" s="609">
        <v>0</v>
      </c>
      <c r="J28" s="905">
        <v>25472597960</v>
      </c>
      <c r="K28" s="1210">
        <v>0</v>
      </c>
      <c r="L28" s="905">
        <v>0</v>
      </c>
      <c r="M28" s="905">
        <v>0</v>
      </c>
      <c r="N28" s="684">
        <f>-N27</f>
        <v>2042283617</v>
      </c>
      <c r="O28" s="618">
        <v>0</v>
      </c>
      <c r="P28" s="907">
        <v>0</v>
      </c>
      <c r="Q28" s="907">
        <v>0</v>
      </c>
      <c r="R28" s="619"/>
      <c r="S28" s="618"/>
      <c r="T28" s="611"/>
      <c r="U28" s="2038"/>
      <c r="V28" s="1938">
        <v>0</v>
      </c>
      <c r="Y28" s="1201"/>
      <c r="Z28" s="1201"/>
      <c r="AA28" s="1201"/>
    </row>
    <row r="29" spans="4:27" ht="18" customHeight="1">
      <c r="D29" s="906"/>
      <c r="E29" s="609"/>
      <c r="F29" s="684"/>
      <c r="G29" s="1930"/>
      <c r="H29" s="609"/>
      <c r="I29" s="609"/>
      <c r="J29" s="905"/>
      <c r="K29" s="1210"/>
      <c r="L29" s="905"/>
      <c r="M29" s="905"/>
      <c r="N29" s="684"/>
      <c r="O29" s="618"/>
      <c r="P29" s="907"/>
      <c r="Q29" s="907"/>
      <c r="R29" s="619"/>
      <c r="S29" s="618"/>
      <c r="T29" s="611"/>
      <c r="U29" s="2038"/>
      <c r="V29" s="1938"/>
      <c r="Y29" s="1201"/>
      <c r="Z29" s="1201"/>
      <c r="AA29" s="1201"/>
    </row>
    <row r="30" spans="4:27" ht="18" customHeight="1" thickBot="1">
      <c r="D30" s="1196"/>
      <c r="E30" s="621"/>
      <c r="F30" s="693"/>
      <c r="G30" s="1932"/>
      <c r="H30" s="621"/>
      <c r="I30" s="621"/>
      <c r="J30" s="1198"/>
      <c r="K30" s="1218"/>
      <c r="L30" s="1198"/>
      <c r="M30" s="1198"/>
      <c r="N30" s="693"/>
      <c r="O30" s="630"/>
      <c r="P30" s="1199"/>
      <c r="Q30" s="1199"/>
      <c r="R30" s="631"/>
      <c r="S30" s="630"/>
      <c r="T30" s="623"/>
      <c r="U30" s="2041"/>
      <c r="V30" s="1940"/>
      <c r="Y30" s="1201"/>
      <c r="Z30" s="1201"/>
      <c r="AA30" s="1201"/>
    </row>
    <row r="31" spans="4:27" ht="18" customHeight="1">
      <c r="Y31" s="1201"/>
      <c r="Z31" s="1201"/>
      <c r="AA31" s="1201"/>
    </row>
    <row r="32" spans="4:27" ht="18" customHeight="1">
      <c r="Y32" s="1201"/>
      <c r="Z32" s="1201"/>
      <c r="AA32" s="1201"/>
    </row>
    <row r="33" spans="25:27" ht="18" customHeight="1">
      <c r="Y33" s="1201"/>
      <c r="Z33" s="1201"/>
      <c r="AA33" s="1201"/>
    </row>
    <row r="34" spans="25:27" ht="18" customHeight="1">
      <c r="Y34" s="1201"/>
      <c r="Z34" s="1201"/>
      <c r="AA34" s="1201"/>
    </row>
    <row r="35" spans="25:27" ht="18" customHeight="1">
      <c r="Y35" s="1201"/>
      <c r="Z35" s="1201"/>
      <c r="AA35" s="1201"/>
    </row>
  </sheetData>
  <autoFilter ref="D5:V5"/>
  <phoneticPr fontId="21" type="noConversion"/>
  <pageMargins left="0.7" right="0.7" top="0.75" bottom="0.75" header="0.3" footer="0.3"/>
  <pageSetup paperSize="9" orientation="portrait" r:id="rId1"/>
  <ignoredErrors>
    <ignoredError sqref="D7:E28" numberStoredAsText="1"/>
    <ignoredError sqref="F27 V9:V14 K10:N13 K18:N24 K17:N17 K15:N16 K14:N14 K9:N9 J15:J16 J18:J24 J10:J13 G9:J9 G14:J14 G10:I13 G25:J26 G18:I24 G17:J17 G15:I16 V15:V24" formula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223055"/>
  </sheetPr>
  <dimension ref="C4:N61"/>
  <sheetViews>
    <sheetView showGridLines="0" topLeftCell="A16" zoomScaleNormal="100" workbookViewId="0">
      <selection activeCell="E27" sqref="E27:G27"/>
    </sheetView>
  </sheetViews>
  <sheetFormatPr defaultColWidth="9.125" defaultRowHeight="16.5" customHeight="1"/>
  <cols>
    <col min="1" max="3" width="2.75" style="19" customWidth="1"/>
    <col min="4" max="13" width="21.75" style="19" customWidth="1"/>
    <col min="14" max="23" width="20.75" style="19" customWidth="1"/>
    <col min="24" max="16384" width="9.125" style="19"/>
  </cols>
  <sheetData>
    <row r="4" spans="3:8" s="99" customFormat="1" ht="16.5" customHeight="1">
      <c r="C4" s="99">
        <v>1</v>
      </c>
      <c r="D4" s="99" t="s">
        <v>1697</v>
      </c>
      <c r="F4" s="19"/>
    </row>
    <row r="6" spans="3:8" ht="16.5" customHeight="1">
      <c r="D6" s="19" t="s">
        <v>1698</v>
      </c>
      <c r="E6" s="19">
        <v>1199</v>
      </c>
    </row>
    <row r="7" spans="3:8" ht="16.5" customHeight="1">
      <c r="D7" s="19" t="s">
        <v>1699</v>
      </c>
      <c r="E7" s="19">
        <v>650333455</v>
      </c>
      <c r="F7" s="19" t="s">
        <v>1722</v>
      </c>
    </row>
    <row r="8" spans="3:8" ht="16.5" customHeight="1" thickBot="1">
      <c r="D8" s="19" t="s">
        <v>1700</v>
      </c>
      <c r="E8" s="19">
        <v>-148309663</v>
      </c>
    </row>
    <row r="9" spans="3:8" ht="16.5" customHeight="1" thickBot="1">
      <c r="D9" s="105" t="s">
        <v>1720</v>
      </c>
      <c r="E9" s="106">
        <f>E6-E7+E8</f>
        <v>-798641919</v>
      </c>
    </row>
    <row r="13" spans="3:8" ht="16.5" customHeight="1" thickBot="1">
      <c r="D13" s="19" t="s">
        <v>1723</v>
      </c>
    </row>
    <row r="14" spans="3:8" ht="16.5" customHeight="1" thickBot="1">
      <c r="D14" s="2099" t="s">
        <v>1735</v>
      </c>
      <c r="E14" s="2100"/>
      <c r="F14" s="2100"/>
      <c r="G14" s="2101"/>
    </row>
    <row r="15" spans="3:8" ht="16.5" customHeight="1">
      <c r="D15" s="20" t="s">
        <v>0</v>
      </c>
      <c r="E15" s="22">
        <v>2192328600</v>
      </c>
      <c r="F15" s="21" t="s">
        <v>1724</v>
      </c>
      <c r="G15" s="97">
        <v>1541995145</v>
      </c>
      <c r="H15" s="19" t="s">
        <v>1583</v>
      </c>
    </row>
    <row r="16" spans="3:8" ht="16.5" customHeight="1">
      <c r="D16" s="20"/>
      <c r="E16" s="22"/>
      <c r="F16" s="21"/>
      <c r="G16" s="97"/>
    </row>
    <row r="17" spans="4:10" ht="16.5" customHeight="1">
      <c r="D17" s="20" t="s">
        <v>1700</v>
      </c>
      <c r="E17" s="22">
        <f>-E8</f>
        <v>148309663</v>
      </c>
      <c r="F17" s="21" t="s">
        <v>1725</v>
      </c>
      <c r="G17" s="97">
        <v>3510577560</v>
      </c>
    </row>
    <row r="18" spans="4:10" ht="16.5" customHeight="1" thickBot="1">
      <c r="D18" s="107"/>
      <c r="E18" s="101"/>
      <c r="F18" s="104" t="s">
        <v>1699</v>
      </c>
      <c r="G18" s="100">
        <f>SUM(E15:E17)-SUM(G15:G17)</f>
        <v>-2711934442</v>
      </c>
    </row>
    <row r="19" spans="4:10" ht="16.5" customHeight="1">
      <c r="G19" s="99">
        <f>SUM(G17:G18)</f>
        <v>798643118</v>
      </c>
    </row>
    <row r="20" spans="4:10" ht="16.5" customHeight="1" thickBot="1"/>
    <row r="21" spans="4:10" ht="16.5" customHeight="1">
      <c r="D21" s="108" t="s">
        <v>1701</v>
      </c>
      <c r="E21" s="109">
        <v>2590571062</v>
      </c>
      <c r="F21" s="109" t="s">
        <v>13</v>
      </c>
      <c r="G21" s="110">
        <v>2590571062</v>
      </c>
      <c r="H21" s="19" t="s">
        <v>1757</v>
      </c>
    </row>
    <row r="22" spans="4:10" ht="16.5" customHeight="1">
      <c r="D22" s="98"/>
      <c r="E22" s="21"/>
      <c r="F22" s="21"/>
      <c r="G22" s="97"/>
    </row>
    <row r="23" spans="4:10" ht="16.5" customHeight="1">
      <c r="D23" s="98" t="s">
        <v>1701</v>
      </c>
      <c r="E23" s="21">
        <f>SUM(G47:H47,J47)</f>
        <v>920006498</v>
      </c>
      <c r="F23" s="21" t="s">
        <v>302</v>
      </c>
      <c r="G23" s="97">
        <f>E23</f>
        <v>920006498</v>
      </c>
      <c r="H23" s="19" t="s">
        <v>1758</v>
      </c>
    </row>
    <row r="24" spans="4:10" ht="16.5" customHeight="1">
      <c r="D24" s="98"/>
      <c r="E24" s="21"/>
      <c r="F24" s="21"/>
      <c r="G24" s="97"/>
    </row>
    <row r="25" spans="4:10" ht="16.5" customHeight="1">
      <c r="D25" s="98" t="s">
        <v>854</v>
      </c>
      <c r="E25" s="21" t="e">
        <f>T_IS!#REF!</f>
        <v>#REF!</v>
      </c>
      <c r="F25" s="21" t="s">
        <v>1701</v>
      </c>
      <c r="G25" s="97" t="e">
        <f>E25</f>
        <v>#REF!</v>
      </c>
      <c r="H25" s="19" t="s">
        <v>1759</v>
      </c>
    </row>
    <row r="26" spans="4:10" ht="16.5" customHeight="1">
      <c r="D26" s="98"/>
      <c r="E26" s="21"/>
      <c r="F26" s="21"/>
      <c r="G26" s="97"/>
      <c r="J26" s="111"/>
    </row>
    <row r="27" spans="4:10" ht="16.5" customHeight="1">
      <c r="D27" s="98" t="s">
        <v>1699</v>
      </c>
      <c r="E27" s="21">
        <f>E9</f>
        <v>-798641919</v>
      </c>
      <c r="F27" s="21" t="s">
        <v>1701</v>
      </c>
      <c r="G27" s="97">
        <f>E27</f>
        <v>-798641919</v>
      </c>
      <c r="J27" s="111"/>
    </row>
    <row r="28" spans="4:10" ht="16.5" customHeight="1">
      <c r="D28" s="98"/>
      <c r="E28" s="21"/>
      <c r="F28" s="21"/>
      <c r="G28" s="97"/>
      <c r="J28" s="111"/>
    </row>
    <row r="29" spans="4:10" ht="16.5" customHeight="1">
      <c r="D29" s="98" t="s">
        <v>302</v>
      </c>
      <c r="E29" s="102">
        <v>0</v>
      </c>
      <c r="F29" s="21" t="s">
        <v>1701</v>
      </c>
      <c r="G29" s="97">
        <f>E29</f>
        <v>0</v>
      </c>
      <c r="J29" s="111"/>
    </row>
    <row r="30" spans="4:10" ht="16.5" customHeight="1" thickBot="1">
      <c r="D30" s="98"/>
      <c r="E30" s="21"/>
      <c r="F30" s="21"/>
      <c r="G30" s="97"/>
      <c r="J30" s="111"/>
    </row>
    <row r="31" spans="4:10" s="99" customFormat="1" ht="16.5" customHeight="1">
      <c r="D31" s="112" t="s">
        <v>1701</v>
      </c>
      <c r="E31" s="113">
        <f>SUMIF($D$21:$D$29,D31,$E$21:$E$29)</f>
        <v>3510577560</v>
      </c>
      <c r="F31" s="113" t="s">
        <v>1701</v>
      </c>
      <c r="G31" s="114" t="e">
        <f>SUMIF($F$21:$F$29,F31,$G$21:$G$29)</f>
        <v>#REF!</v>
      </c>
    </row>
    <row r="32" spans="4:10" ht="16.5" customHeight="1" thickBot="1">
      <c r="D32" s="115"/>
      <c r="E32" s="115"/>
      <c r="F32" s="115" t="s">
        <v>1719</v>
      </c>
      <c r="G32" s="116" t="e">
        <f>E31-G31</f>
        <v>#REF!</v>
      </c>
    </row>
    <row r="34" spans="4:14" ht="16.5" customHeight="1">
      <c r="D34" s="18"/>
    </row>
    <row r="36" spans="4:14" ht="16.5" customHeight="1" thickBot="1">
      <c r="D36" s="19" t="s">
        <v>1755</v>
      </c>
      <c r="F36" s="19" t="s">
        <v>1754</v>
      </c>
    </row>
    <row r="37" spans="4:14" ht="16.5" customHeight="1" thickBot="1">
      <c r="D37" s="117" t="s">
        <v>1707</v>
      </c>
      <c r="E37" s="118" t="s">
        <v>414</v>
      </c>
      <c r="F37" s="118" t="s">
        <v>1708</v>
      </c>
      <c r="G37" s="118" t="s">
        <v>302</v>
      </c>
      <c r="H37" s="118" t="s">
        <v>1709</v>
      </c>
      <c r="I37" s="118" t="s">
        <v>1710</v>
      </c>
      <c r="J37" s="118" t="s">
        <v>1711</v>
      </c>
      <c r="K37" s="118" t="s">
        <v>1712</v>
      </c>
      <c r="L37" s="118" t="s">
        <v>1713</v>
      </c>
      <c r="M37" s="119" t="s">
        <v>557</v>
      </c>
    </row>
    <row r="38" spans="4:14" ht="16.5" customHeight="1">
      <c r="D38" s="2102" t="s">
        <v>1714</v>
      </c>
      <c r="E38" s="120" t="s">
        <v>1715</v>
      </c>
      <c r="F38" s="121">
        <v>2590571062</v>
      </c>
      <c r="G38" s="121">
        <v>1711716954</v>
      </c>
      <c r="H38" s="121">
        <v>196355198</v>
      </c>
      <c r="I38" s="121">
        <v>-3510577560</v>
      </c>
      <c r="J38" s="121">
        <v>-306100509</v>
      </c>
      <c r="K38" s="121">
        <v>-2518274</v>
      </c>
      <c r="L38" s="121">
        <v>-396344008</v>
      </c>
      <c r="M38" s="122">
        <v>283102863</v>
      </c>
      <c r="N38" s="19" t="b">
        <f>SUM(F38:L38)=M38</f>
        <v>1</v>
      </c>
    </row>
    <row r="39" spans="4:14" ht="16.5" customHeight="1" thickBot="1">
      <c r="D39" s="2103"/>
      <c r="E39" s="136" t="s">
        <v>1716</v>
      </c>
      <c r="F39" s="123"/>
      <c r="G39" s="123"/>
      <c r="H39" s="123"/>
      <c r="I39" s="123"/>
      <c r="J39" s="123"/>
      <c r="K39" s="123"/>
      <c r="L39" s="123">
        <v>396344008</v>
      </c>
      <c r="M39" s="124">
        <v>396344008</v>
      </c>
      <c r="N39" s="19" t="b">
        <f>SUM(F39:L39)=M39</f>
        <v>1</v>
      </c>
    </row>
    <row r="40" spans="4:14" s="99" customFormat="1" ht="16.5" customHeight="1" thickBot="1">
      <c r="D40" s="2104" t="s">
        <v>1717</v>
      </c>
      <c r="E40" s="2105"/>
      <c r="F40" s="125">
        <v>2590571062</v>
      </c>
      <c r="G40" s="125">
        <v>1711716954</v>
      </c>
      <c r="H40" s="125">
        <v>196355198</v>
      </c>
      <c r="I40" s="125">
        <v>-3510577560</v>
      </c>
      <c r="J40" s="125">
        <v>-306100509</v>
      </c>
      <c r="K40" s="125">
        <v>-2518274</v>
      </c>
      <c r="L40" s="125">
        <v>0</v>
      </c>
      <c r="M40" s="126">
        <v>679446871</v>
      </c>
    </row>
    <row r="41" spans="4:14" ht="16.5" customHeight="1">
      <c r="D41" s="2106" t="s">
        <v>1718</v>
      </c>
      <c r="E41" s="127" t="s">
        <v>1715</v>
      </c>
      <c r="F41" s="128">
        <v>2316940.4</v>
      </c>
      <c r="G41" s="128">
        <v>1402188.24</v>
      </c>
      <c r="H41" s="128"/>
      <c r="I41" s="128">
        <v>-2888888.71</v>
      </c>
      <c r="J41" s="128">
        <v>-262385</v>
      </c>
      <c r="K41" s="128">
        <v>-2261.9299999999998</v>
      </c>
      <c r="L41" s="128">
        <v>-329929.25</v>
      </c>
      <c r="M41" s="129">
        <v>235663.75</v>
      </c>
    </row>
    <row r="42" spans="4:14" ht="16.5" customHeight="1" thickBot="1">
      <c r="D42" s="2103"/>
      <c r="E42" s="136" t="s">
        <v>1716</v>
      </c>
      <c r="F42" s="123"/>
      <c r="G42" s="123"/>
      <c r="H42" s="123"/>
      <c r="I42" s="123"/>
      <c r="J42" s="123"/>
      <c r="K42" s="123"/>
      <c r="L42" s="123">
        <v>329929.25</v>
      </c>
      <c r="M42" s="124">
        <v>329929.25</v>
      </c>
    </row>
    <row r="43" spans="4:14" ht="16.5" customHeight="1" thickBot="1">
      <c r="D43" s="2107" t="s">
        <v>1717</v>
      </c>
      <c r="E43" s="2108"/>
      <c r="F43" s="130">
        <v>2316940.4</v>
      </c>
      <c r="G43" s="130">
        <v>1402188.24</v>
      </c>
      <c r="H43" s="130">
        <v>0</v>
      </c>
      <c r="I43" s="130">
        <v>-2888888.71</v>
      </c>
      <c r="J43" s="130">
        <v>-262385</v>
      </c>
      <c r="K43" s="130">
        <v>-2261.9299999999998</v>
      </c>
      <c r="L43" s="130">
        <v>0</v>
      </c>
      <c r="M43" s="131">
        <v>565593</v>
      </c>
    </row>
    <row r="45" spans="4:14" ht="16.5" customHeight="1" thickBot="1">
      <c r="D45" s="19" t="s">
        <v>1756</v>
      </c>
    </row>
    <row r="46" spans="4:14" ht="16.5" customHeight="1" thickBot="1">
      <c r="D46" s="117" t="s">
        <v>1707</v>
      </c>
      <c r="E46" s="118" t="s">
        <v>414</v>
      </c>
      <c r="F46" s="118" t="s">
        <v>1708</v>
      </c>
      <c r="G46" s="118" t="s">
        <v>302</v>
      </c>
      <c r="H46" s="118" t="s">
        <v>1709</v>
      </c>
      <c r="I46" s="118" t="s">
        <v>1710</v>
      </c>
      <c r="J46" s="118" t="s">
        <v>1711</v>
      </c>
      <c r="K46" s="118" t="s">
        <v>1712</v>
      </c>
      <c r="L46" s="118" t="s">
        <v>1713</v>
      </c>
      <c r="M46" s="119" t="s">
        <v>557</v>
      </c>
    </row>
    <row r="47" spans="4:14" ht="16.5" customHeight="1">
      <c r="D47" s="2102" t="s">
        <v>1714</v>
      </c>
      <c r="E47" s="120" t="s">
        <v>1715</v>
      </c>
      <c r="F47" s="121">
        <v>2590571062</v>
      </c>
      <c r="G47" s="121">
        <v>1029751809</v>
      </c>
      <c r="H47" s="121">
        <v>196355198</v>
      </c>
      <c r="I47" s="121">
        <v>-3510577560</v>
      </c>
      <c r="J47" s="121">
        <f>J38</f>
        <v>-306100509</v>
      </c>
      <c r="K47" s="121"/>
      <c r="L47" s="121"/>
      <c r="M47" s="122">
        <f>SUM(F47:L47)</f>
        <v>0</v>
      </c>
      <c r="N47" s="19">
        <f>SUM(F47:L47)</f>
        <v>0</v>
      </c>
    </row>
    <row r="48" spans="4:14" ht="16.5" customHeight="1" thickBot="1">
      <c r="D48" s="2103"/>
      <c r="E48" s="136" t="s">
        <v>1716</v>
      </c>
      <c r="F48" s="123"/>
      <c r="G48" s="123"/>
      <c r="H48" s="123"/>
      <c r="I48" s="123"/>
      <c r="J48" s="123"/>
      <c r="K48" s="123"/>
      <c r="L48" s="123"/>
      <c r="M48" s="124">
        <f>SUM(F48:L48)</f>
        <v>0</v>
      </c>
      <c r="N48" s="19">
        <f>SUM(F48:L48)</f>
        <v>0</v>
      </c>
    </row>
    <row r="49" spans="4:13" ht="16.5" customHeight="1" thickBot="1">
      <c r="D49" s="2104" t="s">
        <v>1717</v>
      </c>
      <c r="E49" s="2105"/>
      <c r="F49" s="125">
        <v>2590571062</v>
      </c>
      <c r="G49" s="125">
        <v>1711716954</v>
      </c>
      <c r="H49" s="125">
        <v>196355198</v>
      </c>
      <c r="I49" s="125">
        <v>-3510577560</v>
      </c>
      <c r="J49" s="125">
        <v>-306100509</v>
      </c>
      <c r="K49" s="125">
        <v>0</v>
      </c>
      <c r="L49" s="125">
        <v>0</v>
      </c>
      <c r="M49" s="126">
        <f>SUM(M47:M48)</f>
        <v>0</v>
      </c>
    </row>
    <row r="50" spans="4:13" ht="16.5" customHeight="1">
      <c r="D50" s="2106" t="s">
        <v>1718</v>
      </c>
      <c r="E50" s="127" t="s">
        <v>1715</v>
      </c>
      <c r="F50" s="128">
        <v>2316940.4</v>
      </c>
      <c r="G50" s="128">
        <v>1402188.24</v>
      </c>
      <c r="H50" s="128"/>
      <c r="I50" s="128">
        <v>-2888888.71</v>
      </c>
      <c r="J50" s="128">
        <v>-262385</v>
      </c>
      <c r="K50" s="128">
        <v>-2261.9299999999998</v>
      </c>
      <c r="L50" s="128">
        <v>-329929.25</v>
      </c>
      <c r="M50" s="129">
        <v>235663.75</v>
      </c>
    </row>
    <row r="51" spans="4:13" ht="16.5" customHeight="1" thickBot="1">
      <c r="D51" s="2103"/>
      <c r="E51" s="136" t="s">
        <v>1716</v>
      </c>
      <c r="F51" s="123"/>
      <c r="G51" s="123"/>
      <c r="H51" s="123"/>
      <c r="I51" s="123"/>
      <c r="J51" s="123"/>
      <c r="K51" s="123"/>
      <c r="L51" s="123">
        <v>329929.25</v>
      </c>
      <c r="M51" s="124">
        <v>329929.25</v>
      </c>
    </row>
    <row r="52" spans="4:13" ht="16.5" customHeight="1" thickBot="1">
      <c r="D52" s="2107" t="s">
        <v>1717</v>
      </c>
      <c r="E52" s="2108"/>
      <c r="F52" s="130">
        <v>2316940.4</v>
      </c>
      <c r="G52" s="130">
        <v>1402188.24</v>
      </c>
      <c r="H52" s="130">
        <v>0</v>
      </c>
      <c r="I52" s="130">
        <v>-2888888.71</v>
      </c>
      <c r="J52" s="130">
        <v>-262385</v>
      </c>
      <c r="K52" s="130">
        <v>-2261.9299999999998</v>
      </c>
      <c r="L52" s="130">
        <v>0</v>
      </c>
      <c r="M52" s="131">
        <v>565593</v>
      </c>
    </row>
    <row r="53" spans="4:13" ht="16.5" customHeight="1">
      <c r="G53" s="19">
        <f>+G49-G47</f>
        <v>681965145</v>
      </c>
    </row>
    <row r="55" spans="4:13" ht="16.5" customHeight="1" thickBot="1">
      <c r="D55" s="19" t="s">
        <v>1721</v>
      </c>
    </row>
    <row r="56" spans="4:13" s="96" customFormat="1" ht="16.5" customHeight="1" thickBot="1">
      <c r="D56" s="132" t="s">
        <v>460</v>
      </c>
      <c r="E56" s="133" t="s">
        <v>1726</v>
      </c>
      <c r="F56" s="133" t="s">
        <v>1727</v>
      </c>
      <c r="G56" s="134" t="s">
        <v>557</v>
      </c>
    </row>
    <row r="57" spans="4:13" ht="16.5" customHeight="1" thickBot="1">
      <c r="D57" s="103">
        <v>0</v>
      </c>
      <c r="E57" s="104">
        <f>E29</f>
        <v>0</v>
      </c>
      <c r="F57" s="104">
        <v>0</v>
      </c>
      <c r="G57" s="100">
        <f>SUM(D57:F57)</f>
        <v>0</v>
      </c>
      <c r="H57" s="18" t="b">
        <f>G57=M49</f>
        <v>1</v>
      </c>
    </row>
    <row r="61" spans="4:13" ht="16.5" customHeight="1">
      <c r="G61" s="135"/>
    </row>
  </sheetData>
  <mergeCells count="9">
    <mergeCell ref="D14:G14"/>
    <mergeCell ref="D47:D48"/>
    <mergeCell ref="D49:E49"/>
    <mergeCell ref="D50:D51"/>
    <mergeCell ref="D52:E52"/>
    <mergeCell ref="D38:D39"/>
    <mergeCell ref="D40:E40"/>
    <mergeCell ref="D41:D42"/>
    <mergeCell ref="D43:E43"/>
  </mergeCells>
  <phoneticPr fontId="21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FF00"/>
  </sheetPr>
  <dimension ref="D4:AA28"/>
  <sheetViews>
    <sheetView showGridLines="0" zoomScale="80" zoomScaleNormal="8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ColWidth="8.75" defaultRowHeight="18" customHeight="1" outlineLevelCol="1"/>
  <cols>
    <col min="1" max="3" width="2.375" style="498" customWidth="1"/>
    <col min="4" max="4" width="21.375" style="498" bestFit="1" customWidth="1"/>
    <col min="5" max="5" width="23.875" style="1201" bestFit="1" customWidth="1"/>
    <col min="6" max="14" width="16.625" style="498" hidden="1" customWidth="1" outlineLevel="1"/>
    <col min="15" max="15" width="16.625" style="498" customWidth="1" collapsed="1"/>
    <col min="16" max="22" width="16.625" style="498" customWidth="1"/>
    <col min="23" max="23" width="4.125" style="498" customWidth="1"/>
    <col min="24" max="28" width="20.375" style="498" customWidth="1"/>
    <col min="29" max="16384" width="8.75" style="498"/>
  </cols>
  <sheetData>
    <row r="4" spans="4:27" s="494" customFormat="1" ht="18" customHeight="1" thickBot="1">
      <c r="E4" s="518"/>
      <c r="F4" s="540" t="b">
        <f t="shared" ref="F4:V4" si="0">SUM(F7:F27)=0</f>
        <v>1</v>
      </c>
      <c r="G4" s="540" t="b">
        <f t="shared" si="0"/>
        <v>1</v>
      </c>
      <c r="H4" s="540" t="b">
        <f t="shared" si="0"/>
        <v>1</v>
      </c>
      <c r="I4" s="540" t="b">
        <f t="shared" si="0"/>
        <v>1</v>
      </c>
      <c r="J4" s="540" t="b">
        <f t="shared" si="0"/>
        <v>1</v>
      </c>
      <c r="K4" s="540" t="b">
        <f t="shared" si="0"/>
        <v>1</v>
      </c>
      <c r="L4" s="540" t="b">
        <f t="shared" si="0"/>
        <v>1</v>
      </c>
      <c r="M4" s="540" t="b">
        <f t="shared" si="0"/>
        <v>1</v>
      </c>
      <c r="N4" s="540" t="b">
        <f t="shared" si="0"/>
        <v>1</v>
      </c>
      <c r="O4" s="540" t="b">
        <f t="shared" si="0"/>
        <v>1</v>
      </c>
      <c r="P4" s="540" t="b">
        <f t="shared" si="0"/>
        <v>1</v>
      </c>
      <c r="Q4" s="540" t="b">
        <f t="shared" si="0"/>
        <v>1</v>
      </c>
      <c r="R4" s="540" t="b">
        <f t="shared" si="0"/>
        <v>1</v>
      </c>
      <c r="S4" s="540" t="b">
        <f t="shared" si="0"/>
        <v>1</v>
      </c>
      <c r="T4" s="540" t="b">
        <f t="shared" si="0"/>
        <v>1</v>
      </c>
      <c r="U4" s="540" t="b">
        <f t="shared" si="0"/>
        <v>1</v>
      </c>
      <c r="V4" s="540" t="b">
        <f t="shared" si="0"/>
        <v>1</v>
      </c>
      <c r="X4" s="498"/>
      <c r="Y4" s="498"/>
      <c r="Z4" s="498"/>
      <c r="AA4" s="498"/>
    </row>
    <row r="5" spans="4:27" ht="18" customHeight="1">
      <c r="D5" s="595" t="s">
        <v>16</v>
      </c>
      <c r="E5" s="841" t="s">
        <v>19</v>
      </c>
      <c r="F5" s="1936" t="s">
        <v>2346</v>
      </c>
      <c r="G5" s="1928" t="s">
        <v>2349</v>
      </c>
      <c r="H5" s="596" t="s">
        <v>2350</v>
      </c>
      <c r="I5" s="596" t="s">
        <v>2353</v>
      </c>
      <c r="J5" s="633" t="s">
        <v>2355</v>
      </c>
      <c r="K5" s="604" t="s">
        <v>2451</v>
      </c>
      <c r="L5" s="841" t="s">
        <v>2453</v>
      </c>
      <c r="M5" s="841" t="s">
        <v>2454</v>
      </c>
      <c r="N5" s="633" t="s">
        <v>2455</v>
      </c>
      <c r="O5" s="605" t="s">
        <v>2456</v>
      </c>
      <c r="P5" s="843" t="s">
        <v>2457</v>
      </c>
      <c r="Q5" s="844" t="s">
        <v>2458</v>
      </c>
      <c r="R5" s="841" t="s">
        <v>2459</v>
      </c>
      <c r="S5" s="489" t="s">
        <v>2579</v>
      </c>
      <c r="T5" s="605" t="s">
        <v>2590</v>
      </c>
      <c r="U5" s="605" t="s">
        <v>2896</v>
      </c>
      <c r="V5" s="606" t="s">
        <v>2902</v>
      </c>
    </row>
    <row r="6" spans="4:27" s="1190" customFormat="1" ht="18" customHeight="1">
      <c r="D6" s="1180" t="s">
        <v>1386</v>
      </c>
      <c r="E6" s="1181"/>
      <c r="F6" s="1937"/>
      <c r="G6" s="1934"/>
      <c r="H6" s="1182"/>
      <c r="I6" s="1182"/>
      <c r="J6" s="1183"/>
      <c r="K6" s="1184"/>
      <c r="L6" s="1185"/>
      <c r="M6" s="1185"/>
      <c r="N6" s="1183"/>
      <c r="O6" s="1186"/>
      <c r="P6" s="1187"/>
      <c r="Q6" s="1188"/>
      <c r="R6" s="1188"/>
      <c r="S6" s="1942"/>
      <c r="T6" s="1947"/>
      <c r="U6" s="1947"/>
      <c r="V6" s="1189"/>
      <c r="X6" s="498"/>
      <c r="Y6" s="498"/>
      <c r="Z6" s="498"/>
      <c r="AA6" s="498"/>
    </row>
    <row r="7" spans="4:27" ht="18" customHeight="1">
      <c r="D7" s="607" t="s">
        <v>1354</v>
      </c>
      <c r="E7" s="1191" t="s">
        <v>207</v>
      </c>
      <c r="F7" s="1938">
        <v>-270380191</v>
      </c>
      <c r="G7" s="1930"/>
      <c r="H7" s="609"/>
      <c r="I7" s="609"/>
      <c r="J7" s="684"/>
      <c r="K7" s="617"/>
      <c r="L7" s="905"/>
      <c r="M7" s="905"/>
      <c r="N7" s="684"/>
      <c r="O7" s="618"/>
      <c r="P7" s="907"/>
      <c r="Q7" s="1192"/>
      <c r="R7" s="1192"/>
      <c r="S7" s="1943"/>
      <c r="T7" s="1948"/>
      <c r="U7" s="1948"/>
      <c r="V7" s="619"/>
    </row>
    <row r="8" spans="4:27" ht="18" customHeight="1">
      <c r="D8" s="607" t="s">
        <v>1355</v>
      </c>
      <c r="E8" s="1191" t="s">
        <v>209</v>
      </c>
      <c r="F8" s="1938">
        <v>270380191</v>
      </c>
      <c r="G8" s="1930"/>
      <c r="H8" s="609"/>
      <c r="I8" s="609"/>
      <c r="J8" s="684"/>
      <c r="K8" s="617"/>
      <c r="L8" s="905"/>
      <c r="M8" s="905"/>
      <c r="N8" s="684"/>
      <c r="O8" s="618"/>
      <c r="P8" s="907"/>
      <c r="Q8" s="1192"/>
      <c r="R8" s="1192"/>
      <c r="S8" s="1943"/>
      <c r="T8" s="1948"/>
      <c r="U8" s="1948"/>
      <c r="V8" s="619"/>
    </row>
    <row r="9" spans="4:27" s="1190" customFormat="1" ht="18" customHeight="1">
      <c r="D9" s="1180" t="s">
        <v>216</v>
      </c>
      <c r="E9" s="1193"/>
      <c r="F9" s="1937"/>
      <c r="G9" s="1934"/>
      <c r="H9" s="1182"/>
      <c r="I9" s="1182"/>
      <c r="J9" s="1183"/>
      <c r="K9" s="1184"/>
      <c r="L9" s="1185"/>
      <c r="M9" s="1185"/>
      <c r="N9" s="1183"/>
      <c r="O9" s="1186"/>
      <c r="P9" s="1187"/>
      <c r="Q9" s="1188"/>
      <c r="R9" s="1188"/>
      <c r="S9" s="1942"/>
      <c r="T9" s="1949"/>
      <c r="U9" s="1949"/>
      <c r="V9" s="1189"/>
      <c r="X9" s="498"/>
      <c r="Y9" s="498"/>
      <c r="Z9" s="498"/>
      <c r="AA9" s="498"/>
    </row>
    <row r="10" spans="4:27" ht="18" customHeight="1">
      <c r="D10" s="607" t="s">
        <v>1354</v>
      </c>
      <c r="E10" s="1191" t="s">
        <v>207</v>
      </c>
      <c r="F10" s="1938"/>
      <c r="G10" s="1930"/>
      <c r="H10" s="609">
        <v>-4508613933</v>
      </c>
      <c r="I10" s="609"/>
      <c r="J10" s="684"/>
      <c r="K10" s="617"/>
      <c r="L10" s="905"/>
      <c r="M10" s="905"/>
      <c r="N10" s="684"/>
      <c r="O10" s="618"/>
      <c r="P10" s="907"/>
      <c r="Q10" s="1192"/>
      <c r="R10" s="1192"/>
      <c r="S10" s="1943"/>
      <c r="T10" s="1948"/>
      <c r="U10" s="1948"/>
      <c r="V10" s="619"/>
    </row>
    <row r="11" spans="4:27" ht="18" customHeight="1">
      <c r="D11" s="607" t="s">
        <v>1355</v>
      </c>
      <c r="E11" s="1191" t="s">
        <v>209</v>
      </c>
      <c r="F11" s="1938"/>
      <c r="G11" s="1930"/>
      <c r="H11" s="609">
        <v>4508613933</v>
      </c>
      <c r="I11" s="609"/>
      <c r="J11" s="684"/>
      <c r="K11" s="617"/>
      <c r="L11" s="905"/>
      <c r="M11" s="905"/>
      <c r="N11" s="684"/>
      <c r="O11" s="618"/>
      <c r="P11" s="907"/>
      <c r="Q11" s="1192"/>
      <c r="R11" s="1192"/>
      <c r="S11" s="1943"/>
      <c r="T11" s="1948"/>
      <c r="U11" s="1948"/>
      <c r="V11" s="619"/>
    </row>
    <row r="12" spans="4:27" s="1190" customFormat="1" ht="18" customHeight="1">
      <c r="D12" s="1180" t="s">
        <v>1697</v>
      </c>
      <c r="E12" s="1193"/>
      <c r="F12" s="1937"/>
      <c r="G12" s="1934"/>
      <c r="H12" s="1182"/>
      <c r="I12" s="1182"/>
      <c r="J12" s="1183"/>
      <c r="K12" s="1184"/>
      <c r="L12" s="1185"/>
      <c r="M12" s="1185"/>
      <c r="N12" s="1183"/>
      <c r="O12" s="1186"/>
      <c r="P12" s="1187"/>
      <c r="Q12" s="1188"/>
      <c r="R12" s="1188"/>
      <c r="S12" s="1942"/>
      <c r="T12" s="1949"/>
      <c r="U12" s="1949"/>
      <c r="V12" s="1189"/>
      <c r="X12" s="498"/>
      <c r="Y12" s="498"/>
      <c r="Z12" s="498"/>
      <c r="AA12" s="498"/>
    </row>
    <row r="13" spans="4:27" ht="18" customHeight="1">
      <c r="D13" s="607" t="s">
        <v>1354</v>
      </c>
      <c r="E13" s="1191" t="s">
        <v>401</v>
      </c>
      <c r="F13" s="1938"/>
      <c r="G13" s="1930"/>
      <c r="H13" s="609"/>
      <c r="I13" s="609">
        <v>-2590571062</v>
      </c>
      <c r="J13" s="684">
        <v>-2590571062</v>
      </c>
      <c r="K13" s="617"/>
      <c r="L13" s="905"/>
      <c r="M13" s="905"/>
      <c r="N13" s="684"/>
      <c r="O13" s="618"/>
      <c r="P13" s="907"/>
      <c r="Q13" s="1192"/>
      <c r="R13" s="1192"/>
      <c r="S13" s="1943"/>
      <c r="T13" s="1948"/>
      <c r="U13" s="1948"/>
      <c r="V13" s="619"/>
    </row>
    <row r="14" spans="4:27" ht="18" customHeight="1">
      <c r="D14" s="607" t="s">
        <v>373</v>
      </c>
      <c r="E14" s="1191" t="s">
        <v>1471</v>
      </c>
      <c r="F14" s="1938"/>
      <c r="G14" s="1930"/>
      <c r="H14" s="609"/>
      <c r="I14" s="609">
        <v>2590571062</v>
      </c>
      <c r="J14" s="684">
        <v>2590571062</v>
      </c>
      <c r="K14" s="617"/>
      <c r="L14" s="905"/>
      <c r="M14" s="905"/>
      <c r="N14" s="684"/>
      <c r="O14" s="618"/>
      <c r="P14" s="907"/>
      <c r="Q14" s="1192"/>
      <c r="R14" s="1192"/>
      <c r="S14" s="1943"/>
      <c r="T14" s="1948"/>
      <c r="U14" s="1948"/>
      <c r="V14" s="619"/>
    </row>
    <row r="15" spans="4:27" ht="18" customHeight="1">
      <c r="D15" s="607" t="s">
        <v>301</v>
      </c>
      <c r="E15" s="1191" t="s">
        <v>302</v>
      </c>
      <c r="F15" s="1938"/>
      <c r="G15" s="1930"/>
      <c r="H15" s="609"/>
      <c r="I15" s="609">
        <v>-1601971643</v>
      </c>
      <c r="J15" s="684">
        <v>-920006498</v>
      </c>
      <c r="K15" s="617"/>
      <c r="L15" s="905"/>
      <c r="M15" s="905"/>
      <c r="N15" s="684"/>
      <c r="O15" s="618"/>
      <c r="P15" s="907"/>
      <c r="Q15" s="1192"/>
      <c r="R15" s="1192"/>
      <c r="S15" s="1943"/>
      <c r="T15" s="1948"/>
      <c r="U15" s="1948"/>
      <c r="V15" s="619"/>
    </row>
    <row r="16" spans="4:27" ht="18" customHeight="1">
      <c r="D16" s="607" t="s">
        <v>373</v>
      </c>
      <c r="E16" s="1191" t="s">
        <v>1471</v>
      </c>
      <c r="F16" s="1938"/>
      <c r="G16" s="1930"/>
      <c r="H16" s="609"/>
      <c r="I16" s="609">
        <v>1601971643</v>
      </c>
      <c r="J16" s="684">
        <v>920006498</v>
      </c>
      <c r="K16" s="617"/>
      <c r="L16" s="905"/>
      <c r="M16" s="905"/>
      <c r="N16" s="684"/>
      <c r="O16" s="618"/>
      <c r="P16" s="907"/>
      <c r="Q16" s="1192"/>
      <c r="R16" s="1192"/>
      <c r="S16" s="1943"/>
      <c r="T16" s="1948"/>
      <c r="U16" s="1948"/>
      <c r="V16" s="619"/>
    </row>
    <row r="17" spans="4:27" ht="18" customHeight="1">
      <c r="D17" s="607" t="s">
        <v>1706</v>
      </c>
      <c r="E17" s="1191" t="s">
        <v>854</v>
      </c>
      <c r="F17" s="1938"/>
      <c r="G17" s="1930"/>
      <c r="H17" s="609"/>
      <c r="I17" s="609">
        <v>3510577560</v>
      </c>
      <c r="J17" s="684">
        <v>3510577560</v>
      </c>
      <c r="K17" s="617"/>
      <c r="L17" s="905"/>
      <c r="M17" s="905"/>
      <c r="N17" s="684"/>
      <c r="O17" s="618"/>
      <c r="P17" s="907"/>
      <c r="Q17" s="1192"/>
      <c r="R17" s="1192"/>
      <c r="S17" s="1943"/>
      <c r="T17" s="1948"/>
      <c r="U17" s="1948"/>
      <c r="V17" s="619"/>
    </row>
    <row r="18" spans="4:27" ht="18" customHeight="1">
      <c r="D18" s="607" t="s">
        <v>373</v>
      </c>
      <c r="E18" s="1191" t="s">
        <v>1471</v>
      </c>
      <c r="F18" s="1938"/>
      <c r="G18" s="1930"/>
      <c r="H18" s="609"/>
      <c r="I18" s="609">
        <v>-3510577560</v>
      </c>
      <c r="J18" s="684">
        <v>-3510577560</v>
      </c>
      <c r="K18" s="617"/>
      <c r="L18" s="905"/>
      <c r="M18" s="905"/>
      <c r="N18" s="684"/>
      <c r="O18" s="618"/>
      <c r="P18" s="907"/>
      <c r="Q18" s="1192"/>
      <c r="R18" s="1192"/>
      <c r="S18" s="1943"/>
      <c r="T18" s="1948"/>
      <c r="U18" s="1948"/>
      <c r="V18" s="619"/>
    </row>
    <row r="19" spans="4:27" ht="18" customHeight="1">
      <c r="D19" s="607" t="s">
        <v>301</v>
      </c>
      <c r="E19" s="1191" t="s">
        <v>302</v>
      </c>
      <c r="F19" s="1938"/>
      <c r="G19" s="1930"/>
      <c r="H19" s="609"/>
      <c r="I19" s="609">
        <v>681965145</v>
      </c>
      <c r="J19" s="684">
        <v>0</v>
      </c>
      <c r="K19" s="617"/>
      <c r="L19" s="905"/>
      <c r="M19" s="905"/>
      <c r="N19" s="684"/>
      <c r="O19" s="618"/>
      <c r="P19" s="907"/>
      <c r="Q19" s="1192"/>
      <c r="R19" s="1192"/>
      <c r="S19" s="1943"/>
      <c r="T19" s="1948"/>
      <c r="U19" s="1948"/>
      <c r="V19" s="619"/>
    </row>
    <row r="20" spans="4:27" ht="18" customHeight="1">
      <c r="D20" s="607" t="s">
        <v>373</v>
      </c>
      <c r="E20" s="1191" t="s">
        <v>1471</v>
      </c>
      <c r="F20" s="1938"/>
      <c r="G20" s="1930"/>
      <c r="H20" s="609"/>
      <c r="I20" s="609">
        <v>-681965145</v>
      </c>
      <c r="J20" s="684">
        <v>0</v>
      </c>
      <c r="K20" s="617"/>
      <c r="L20" s="905"/>
      <c r="M20" s="905"/>
      <c r="N20" s="684"/>
      <c r="O20" s="618"/>
      <c r="P20" s="907"/>
      <c r="Q20" s="1192"/>
      <c r="R20" s="1192"/>
      <c r="S20" s="1943"/>
      <c r="T20" s="1948"/>
      <c r="U20" s="1948"/>
      <c r="V20" s="619"/>
    </row>
    <row r="21" spans="4:27" s="543" customFormat="1" ht="18" customHeight="1">
      <c r="D21" s="651" t="s">
        <v>373</v>
      </c>
      <c r="E21" s="1194" t="s">
        <v>1471</v>
      </c>
      <c r="F21" s="1939"/>
      <c r="G21" s="1935"/>
      <c r="H21" s="653"/>
      <c r="I21" s="653">
        <v>798641919</v>
      </c>
      <c r="J21" s="654">
        <v>798641919</v>
      </c>
      <c r="K21" s="902"/>
      <c r="L21" s="854"/>
      <c r="M21" s="854"/>
      <c r="N21" s="684"/>
      <c r="O21" s="618"/>
      <c r="P21" s="907"/>
      <c r="Q21" s="1192"/>
      <c r="R21" s="1192"/>
      <c r="S21" s="1943"/>
      <c r="T21" s="1948"/>
      <c r="U21" s="1948"/>
      <c r="V21" s="619"/>
      <c r="X21" s="498"/>
      <c r="Y21" s="498"/>
      <c r="Z21" s="498"/>
      <c r="AA21" s="498"/>
    </row>
    <row r="22" spans="4:27" s="543" customFormat="1" ht="18" customHeight="1">
      <c r="D22" s="651" t="s">
        <v>373</v>
      </c>
      <c r="E22" s="1194" t="s">
        <v>1471</v>
      </c>
      <c r="F22" s="1939"/>
      <c r="G22" s="1935"/>
      <c r="H22" s="653"/>
      <c r="I22" s="653">
        <v>1199</v>
      </c>
      <c r="J22" s="654">
        <v>1199</v>
      </c>
      <c r="K22" s="902"/>
      <c r="L22" s="854"/>
      <c r="M22" s="854"/>
      <c r="N22" s="684"/>
      <c r="O22" s="618"/>
      <c r="P22" s="907"/>
      <c r="Q22" s="1192"/>
      <c r="R22" s="1192"/>
      <c r="S22" s="1943"/>
      <c r="T22" s="1948"/>
      <c r="U22" s="1948"/>
      <c r="V22" s="619"/>
      <c r="X22" s="498"/>
      <c r="Y22" s="498"/>
      <c r="Z22" s="498"/>
      <c r="AA22" s="498"/>
    </row>
    <row r="23" spans="4:27" s="543" customFormat="1" ht="18" customHeight="1">
      <c r="D23" s="651" t="s">
        <v>1355</v>
      </c>
      <c r="E23" s="1194" t="s">
        <v>209</v>
      </c>
      <c r="F23" s="1939"/>
      <c r="G23" s="1935"/>
      <c r="H23" s="653"/>
      <c r="I23" s="653">
        <v>-798643118</v>
      </c>
      <c r="J23" s="654">
        <v>-798643118</v>
      </c>
      <c r="K23" s="902"/>
      <c r="L23" s="854"/>
      <c r="M23" s="854"/>
      <c r="N23" s="684"/>
      <c r="O23" s="618"/>
      <c r="P23" s="907"/>
      <c r="Q23" s="1192"/>
      <c r="R23" s="1192"/>
      <c r="S23" s="1943"/>
      <c r="T23" s="1948"/>
      <c r="U23" s="1948"/>
      <c r="V23" s="619"/>
      <c r="X23" s="498"/>
      <c r="Y23" s="498"/>
      <c r="Z23" s="498"/>
      <c r="AA23" s="498"/>
    </row>
    <row r="24" spans="4:27" ht="18" customHeight="1">
      <c r="D24" s="607" t="s">
        <v>1355</v>
      </c>
      <c r="E24" s="1191" t="s">
        <v>209</v>
      </c>
      <c r="F24" s="1938"/>
      <c r="G24" s="1930"/>
      <c r="H24" s="609"/>
      <c r="I24" s="609">
        <v>3389214180</v>
      </c>
      <c r="J24" s="684">
        <v>3389214180</v>
      </c>
      <c r="K24" s="617"/>
      <c r="L24" s="905"/>
      <c r="M24" s="905"/>
      <c r="N24" s="684"/>
      <c r="O24" s="618"/>
      <c r="P24" s="907"/>
      <c r="Q24" s="1192"/>
      <c r="R24" s="1192"/>
      <c r="S24" s="1943"/>
      <c r="T24" s="1948"/>
      <c r="U24" s="1948"/>
      <c r="V24" s="619"/>
    </row>
    <row r="25" spans="4:27" ht="18" customHeight="1">
      <c r="D25" s="607"/>
      <c r="E25" s="1191" t="s">
        <v>421</v>
      </c>
      <c r="F25" s="1938"/>
      <c r="G25" s="1930"/>
      <c r="H25" s="609"/>
      <c r="I25" s="609">
        <v>-3389214180</v>
      </c>
      <c r="J25" s="684">
        <v>-3389214180</v>
      </c>
      <c r="K25" s="617"/>
      <c r="L25" s="905"/>
      <c r="M25" s="905"/>
      <c r="N25" s="684"/>
      <c r="O25" s="618"/>
      <c r="P25" s="907"/>
      <c r="Q25" s="1192"/>
      <c r="R25" s="1192"/>
      <c r="S25" s="1943"/>
      <c r="T25" s="1948"/>
      <c r="U25" s="1948"/>
      <c r="V25" s="619"/>
    </row>
    <row r="26" spans="4:27" s="1190" customFormat="1" ht="18" customHeight="1">
      <c r="D26" s="1180"/>
      <c r="E26" s="1193"/>
      <c r="F26" s="1937"/>
      <c r="G26" s="1934"/>
      <c r="H26" s="1182"/>
      <c r="I26" s="1182"/>
      <c r="J26" s="1183"/>
      <c r="K26" s="1184"/>
      <c r="L26" s="1185"/>
      <c r="M26" s="1185"/>
      <c r="N26" s="1183"/>
      <c r="O26" s="1186"/>
      <c r="P26" s="1187"/>
      <c r="Q26" s="1188"/>
      <c r="R26" s="1188"/>
      <c r="S26" s="1942"/>
      <c r="T26" s="1949"/>
      <c r="U26" s="1949"/>
      <c r="V26" s="1189"/>
      <c r="X26" s="498"/>
      <c r="Y26" s="498"/>
      <c r="Z26" s="498"/>
      <c r="AA26" s="498"/>
    </row>
    <row r="27" spans="4:27" ht="18" customHeight="1">
      <c r="D27" s="906"/>
      <c r="E27" s="1195"/>
      <c r="F27" s="1938"/>
      <c r="G27" s="1930"/>
      <c r="H27" s="609"/>
      <c r="I27" s="609"/>
      <c r="J27" s="684"/>
      <c r="K27" s="617"/>
      <c r="L27" s="905"/>
      <c r="M27" s="905"/>
      <c r="N27" s="684"/>
      <c r="O27" s="618"/>
      <c r="P27" s="907"/>
      <c r="Q27" s="1192"/>
      <c r="R27" s="1192"/>
      <c r="S27" s="1943"/>
      <c r="T27" s="1948"/>
      <c r="U27" s="1948"/>
      <c r="V27" s="619"/>
    </row>
    <row r="28" spans="4:27" ht="18" customHeight="1" thickBot="1">
      <c r="D28" s="1196"/>
      <c r="E28" s="1197"/>
      <c r="F28" s="1940"/>
      <c r="G28" s="1932"/>
      <c r="H28" s="621"/>
      <c r="I28" s="621"/>
      <c r="J28" s="693"/>
      <c r="K28" s="629"/>
      <c r="L28" s="1198"/>
      <c r="M28" s="1198"/>
      <c r="N28" s="693"/>
      <c r="O28" s="630"/>
      <c r="P28" s="1199"/>
      <c r="Q28" s="1200"/>
      <c r="R28" s="1200"/>
      <c r="S28" s="1944"/>
      <c r="T28" s="1950"/>
      <c r="U28" s="1950"/>
      <c r="V28" s="631"/>
    </row>
  </sheetData>
  <autoFilter ref="D5:V5"/>
  <phoneticPr fontId="21" type="noConversion"/>
  <pageMargins left="0.7" right="0.7" top="0.75" bottom="0.75" header="0.3" footer="0.3"/>
  <pageSetup paperSize="9" orientation="portrait" r:id="rId1"/>
  <ignoredErrors>
    <ignoredError sqref="D7:E2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2:N23"/>
  <sheetViews>
    <sheetView zoomScaleNormal="100" workbookViewId="0">
      <selection activeCell="I22" sqref="I22"/>
    </sheetView>
  </sheetViews>
  <sheetFormatPr defaultColWidth="9.125" defaultRowHeight="15.95" customHeight="1"/>
  <cols>
    <col min="1" max="1" width="12.375" style="42" customWidth="1"/>
    <col min="2" max="2" width="25" style="42" customWidth="1"/>
    <col min="3" max="3" width="12.375" style="42" customWidth="1"/>
    <col min="4" max="4" width="25.75" style="42" customWidth="1"/>
    <col min="5" max="5" width="12.375" style="42" customWidth="1"/>
    <col min="6" max="6" width="14.375" style="42" customWidth="1"/>
    <col min="7" max="8" width="12.375" style="42" customWidth="1"/>
    <col min="9" max="9" width="14.375" style="42" customWidth="1"/>
    <col min="10" max="10" width="9.125" style="42"/>
    <col min="11" max="11" width="14.375" style="42" bestFit="1" customWidth="1"/>
    <col min="12" max="12" width="13.75" style="45" bestFit="1" customWidth="1"/>
    <col min="13" max="13" width="4.125" style="42" customWidth="1"/>
    <col min="14" max="246" width="9.125" style="42"/>
    <col min="247" max="247" width="12.375" style="42" customWidth="1"/>
    <col min="248" max="248" width="25" style="42" customWidth="1"/>
    <col min="249" max="249" width="12.375" style="42" customWidth="1"/>
    <col min="250" max="250" width="25.75" style="42" customWidth="1"/>
    <col min="251" max="251" width="12.375" style="42" customWidth="1"/>
    <col min="252" max="252" width="14.375" style="42" customWidth="1"/>
    <col min="253" max="254" width="12.375" style="42" customWidth="1"/>
    <col min="255" max="255" width="14.375" style="42" customWidth="1"/>
    <col min="256" max="256" width="9.125" style="42"/>
    <col min="257" max="257" width="14.375" style="42" bestFit="1" customWidth="1"/>
    <col min="258" max="502" width="9.125" style="42"/>
    <col min="503" max="503" width="12.375" style="42" customWidth="1"/>
    <col min="504" max="504" width="25" style="42" customWidth="1"/>
    <col min="505" max="505" width="12.375" style="42" customWidth="1"/>
    <col min="506" max="506" width="25.75" style="42" customWidth="1"/>
    <col min="507" max="507" width="12.375" style="42" customWidth="1"/>
    <col min="508" max="508" width="14.375" style="42" customWidth="1"/>
    <col min="509" max="510" width="12.375" style="42" customWidth="1"/>
    <col min="511" max="511" width="14.375" style="42" customWidth="1"/>
    <col min="512" max="512" width="9.125" style="42"/>
    <col min="513" max="513" width="14.375" style="42" bestFit="1" customWidth="1"/>
    <col min="514" max="758" width="9.125" style="42"/>
    <col min="759" max="759" width="12.375" style="42" customWidth="1"/>
    <col min="760" max="760" width="25" style="42" customWidth="1"/>
    <col min="761" max="761" width="12.375" style="42" customWidth="1"/>
    <col min="762" max="762" width="25.75" style="42" customWidth="1"/>
    <col min="763" max="763" width="12.375" style="42" customWidth="1"/>
    <col min="764" max="764" width="14.375" style="42" customWidth="1"/>
    <col min="765" max="766" width="12.375" style="42" customWidth="1"/>
    <col min="767" max="767" width="14.375" style="42" customWidth="1"/>
    <col min="768" max="768" width="9.125" style="42"/>
    <col min="769" max="769" width="14.375" style="42" bestFit="1" customWidth="1"/>
    <col min="770" max="1014" width="9.125" style="42"/>
    <col min="1015" max="1015" width="12.375" style="42" customWidth="1"/>
    <col min="1016" max="1016" width="25" style="42" customWidth="1"/>
    <col min="1017" max="1017" width="12.375" style="42" customWidth="1"/>
    <col min="1018" max="1018" width="25.75" style="42" customWidth="1"/>
    <col min="1019" max="1019" width="12.375" style="42" customWidth="1"/>
    <col min="1020" max="1020" width="14.375" style="42" customWidth="1"/>
    <col min="1021" max="1022" width="12.375" style="42" customWidth="1"/>
    <col min="1023" max="1023" width="14.375" style="42" customWidth="1"/>
    <col min="1024" max="1024" width="9.125" style="42"/>
    <col min="1025" max="1025" width="14.375" style="42" bestFit="1" customWidth="1"/>
    <col min="1026" max="1270" width="9.125" style="42"/>
    <col min="1271" max="1271" width="12.375" style="42" customWidth="1"/>
    <col min="1272" max="1272" width="25" style="42" customWidth="1"/>
    <col min="1273" max="1273" width="12.375" style="42" customWidth="1"/>
    <col min="1274" max="1274" width="25.75" style="42" customWidth="1"/>
    <col min="1275" max="1275" width="12.375" style="42" customWidth="1"/>
    <col min="1276" max="1276" width="14.375" style="42" customWidth="1"/>
    <col min="1277" max="1278" width="12.375" style="42" customWidth="1"/>
    <col min="1279" max="1279" width="14.375" style="42" customWidth="1"/>
    <col min="1280" max="1280" width="9.125" style="42"/>
    <col min="1281" max="1281" width="14.375" style="42" bestFit="1" customWidth="1"/>
    <col min="1282" max="1526" width="9.125" style="42"/>
    <col min="1527" max="1527" width="12.375" style="42" customWidth="1"/>
    <col min="1528" max="1528" width="25" style="42" customWidth="1"/>
    <col min="1529" max="1529" width="12.375" style="42" customWidth="1"/>
    <col min="1530" max="1530" width="25.75" style="42" customWidth="1"/>
    <col min="1531" max="1531" width="12.375" style="42" customWidth="1"/>
    <col min="1532" max="1532" width="14.375" style="42" customWidth="1"/>
    <col min="1533" max="1534" width="12.375" style="42" customWidth="1"/>
    <col min="1535" max="1535" width="14.375" style="42" customWidth="1"/>
    <col min="1536" max="1536" width="9.125" style="42"/>
    <col min="1537" max="1537" width="14.375" style="42" bestFit="1" customWidth="1"/>
    <col min="1538" max="1782" width="9.125" style="42"/>
    <col min="1783" max="1783" width="12.375" style="42" customWidth="1"/>
    <col min="1784" max="1784" width="25" style="42" customWidth="1"/>
    <col min="1785" max="1785" width="12.375" style="42" customWidth="1"/>
    <col min="1786" max="1786" width="25.75" style="42" customWidth="1"/>
    <col min="1787" max="1787" width="12.375" style="42" customWidth="1"/>
    <col min="1788" max="1788" width="14.375" style="42" customWidth="1"/>
    <col min="1789" max="1790" width="12.375" style="42" customWidth="1"/>
    <col min="1791" max="1791" width="14.375" style="42" customWidth="1"/>
    <col min="1792" max="1792" width="9.125" style="42"/>
    <col min="1793" max="1793" width="14.375" style="42" bestFit="1" customWidth="1"/>
    <col min="1794" max="2038" width="9.125" style="42"/>
    <col min="2039" max="2039" width="12.375" style="42" customWidth="1"/>
    <col min="2040" max="2040" width="25" style="42" customWidth="1"/>
    <col min="2041" max="2041" width="12.375" style="42" customWidth="1"/>
    <col min="2042" max="2042" width="25.75" style="42" customWidth="1"/>
    <col min="2043" max="2043" width="12.375" style="42" customWidth="1"/>
    <col min="2044" max="2044" width="14.375" style="42" customWidth="1"/>
    <col min="2045" max="2046" width="12.375" style="42" customWidth="1"/>
    <col min="2047" max="2047" width="14.375" style="42" customWidth="1"/>
    <col min="2048" max="2048" width="9.125" style="42"/>
    <col min="2049" max="2049" width="14.375" style="42" bestFit="1" customWidth="1"/>
    <col min="2050" max="2294" width="9.125" style="42"/>
    <col min="2295" max="2295" width="12.375" style="42" customWidth="1"/>
    <col min="2296" max="2296" width="25" style="42" customWidth="1"/>
    <col min="2297" max="2297" width="12.375" style="42" customWidth="1"/>
    <col min="2298" max="2298" width="25.75" style="42" customWidth="1"/>
    <col min="2299" max="2299" width="12.375" style="42" customWidth="1"/>
    <col min="2300" max="2300" width="14.375" style="42" customWidth="1"/>
    <col min="2301" max="2302" width="12.375" style="42" customWidth="1"/>
    <col min="2303" max="2303" width="14.375" style="42" customWidth="1"/>
    <col min="2304" max="2304" width="9.125" style="42"/>
    <col min="2305" max="2305" width="14.375" style="42" bestFit="1" customWidth="1"/>
    <col min="2306" max="2550" width="9.125" style="42"/>
    <col min="2551" max="2551" width="12.375" style="42" customWidth="1"/>
    <col min="2552" max="2552" width="25" style="42" customWidth="1"/>
    <col min="2553" max="2553" width="12.375" style="42" customWidth="1"/>
    <col min="2554" max="2554" width="25.75" style="42" customWidth="1"/>
    <col min="2555" max="2555" width="12.375" style="42" customWidth="1"/>
    <col min="2556" max="2556" width="14.375" style="42" customWidth="1"/>
    <col min="2557" max="2558" width="12.375" style="42" customWidth="1"/>
    <col min="2559" max="2559" width="14.375" style="42" customWidth="1"/>
    <col min="2560" max="2560" width="9.125" style="42"/>
    <col min="2561" max="2561" width="14.375" style="42" bestFit="1" customWidth="1"/>
    <col min="2562" max="2806" width="9.125" style="42"/>
    <col min="2807" max="2807" width="12.375" style="42" customWidth="1"/>
    <col min="2808" max="2808" width="25" style="42" customWidth="1"/>
    <col min="2809" max="2809" width="12.375" style="42" customWidth="1"/>
    <col min="2810" max="2810" width="25.75" style="42" customWidth="1"/>
    <col min="2811" max="2811" width="12.375" style="42" customWidth="1"/>
    <col min="2812" max="2812" width="14.375" style="42" customWidth="1"/>
    <col min="2813" max="2814" width="12.375" style="42" customWidth="1"/>
    <col min="2815" max="2815" width="14.375" style="42" customWidth="1"/>
    <col min="2816" max="2816" width="9.125" style="42"/>
    <col min="2817" max="2817" width="14.375" style="42" bestFit="1" customWidth="1"/>
    <col min="2818" max="3062" width="9.125" style="42"/>
    <col min="3063" max="3063" width="12.375" style="42" customWidth="1"/>
    <col min="3064" max="3064" width="25" style="42" customWidth="1"/>
    <col min="3065" max="3065" width="12.375" style="42" customWidth="1"/>
    <col min="3066" max="3066" width="25.75" style="42" customWidth="1"/>
    <col min="3067" max="3067" width="12.375" style="42" customWidth="1"/>
    <col min="3068" max="3068" width="14.375" style="42" customWidth="1"/>
    <col min="3069" max="3070" width="12.375" style="42" customWidth="1"/>
    <col min="3071" max="3071" width="14.375" style="42" customWidth="1"/>
    <col min="3072" max="3072" width="9.125" style="42"/>
    <col min="3073" max="3073" width="14.375" style="42" bestFit="1" customWidth="1"/>
    <col min="3074" max="3318" width="9.125" style="42"/>
    <col min="3319" max="3319" width="12.375" style="42" customWidth="1"/>
    <col min="3320" max="3320" width="25" style="42" customWidth="1"/>
    <col min="3321" max="3321" width="12.375" style="42" customWidth="1"/>
    <col min="3322" max="3322" width="25.75" style="42" customWidth="1"/>
    <col min="3323" max="3323" width="12.375" style="42" customWidth="1"/>
    <col min="3324" max="3324" width="14.375" style="42" customWidth="1"/>
    <col min="3325" max="3326" width="12.375" style="42" customWidth="1"/>
    <col min="3327" max="3327" width="14.375" style="42" customWidth="1"/>
    <col min="3328" max="3328" width="9.125" style="42"/>
    <col min="3329" max="3329" width="14.375" style="42" bestFit="1" customWidth="1"/>
    <col min="3330" max="3574" width="9.125" style="42"/>
    <col min="3575" max="3575" width="12.375" style="42" customWidth="1"/>
    <col min="3576" max="3576" width="25" style="42" customWidth="1"/>
    <col min="3577" max="3577" width="12.375" style="42" customWidth="1"/>
    <col min="3578" max="3578" width="25.75" style="42" customWidth="1"/>
    <col min="3579" max="3579" width="12.375" style="42" customWidth="1"/>
    <col min="3580" max="3580" width="14.375" style="42" customWidth="1"/>
    <col min="3581" max="3582" width="12.375" style="42" customWidth="1"/>
    <col min="3583" max="3583" width="14.375" style="42" customWidth="1"/>
    <col min="3584" max="3584" width="9.125" style="42"/>
    <col min="3585" max="3585" width="14.375" style="42" bestFit="1" customWidth="1"/>
    <col min="3586" max="3830" width="9.125" style="42"/>
    <col min="3831" max="3831" width="12.375" style="42" customWidth="1"/>
    <col min="3832" max="3832" width="25" style="42" customWidth="1"/>
    <col min="3833" max="3833" width="12.375" style="42" customWidth="1"/>
    <col min="3834" max="3834" width="25.75" style="42" customWidth="1"/>
    <col min="3835" max="3835" width="12.375" style="42" customWidth="1"/>
    <col min="3836" max="3836" width="14.375" style="42" customWidth="1"/>
    <col min="3837" max="3838" width="12.375" style="42" customWidth="1"/>
    <col min="3839" max="3839" width="14.375" style="42" customWidth="1"/>
    <col min="3840" max="3840" width="9.125" style="42"/>
    <col min="3841" max="3841" width="14.375" style="42" bestFit="1" customWidth="1"/>
    <col min="3842" max="4086" width="9.125" style="42"/>
    <col min="4087" max="4087" width="12.375" style="42" customWidth="1"/>
    <col min="4088" max="4088" width="25" style="42" customWidth="1"/>
    <col min="4089" max="4089" width="12.375" style="42" customWidth="1"/>
    <col min="4090" max="4090" width="25.75" style="42" customWidth="1"/>
    <col min="4091" max="4091" width="12.375" style="42" customWidth="1"/>
    <col min="4092" max="4092" width="14.375" style="42" customWidth="1"/>
    <col min="4093" max="4094" width="12.375" style="42" customWidth="1"/>
    <col min="4095" max="4095" width="14.375" style="42" customWidth="1"/>
    <col min="4096" max="4096" width="9.125" style="42"/>
    <col min="4097" max="4097" width="14.375" style="42" bestFit="1" customWidth="1"/>
    <col min="4098" max="4342" width="9.125" style="42"/>
    <col min="4343" max="4343" width="12.375" style="42" customWidth="1"/>
    <col min="4344" max="4344" width="25" style="42" customWidth="1"/>
    <col min="4345" max="4345" width="12.375" style="42" customWidth="1"/>
    <col min="4346" max="4346" width="25.75" style="42" customWidth="1"/>
    <col min="4347" max="4347" width="12.375" style="42" customWidth="1"/>
    <col min="4348" max="4348" width="14.375" style="42" customWidth="1"/>
    <col min="4349" max="4350" width="12.375" style="42" customWidth="1"/>
    <col min="4351" max="4351" width="14.375" style="42" customWidth="1"/>
    <col min="4352" max="4352" width="9.125" style="42"/>
    <col min="4353" max="4353" width="14.375" style="42" bestFit="1" customWidth="1"/>
    <col min="4354" max="4598" width="9.125" style="42"/>
    <col min="4599" max="4599" width="12.375" style="42" customWidth="1"/>
    <col min="4600" max="4600" width="25" style="42" customWidth="1"/>
    <col min="4601" max="4601" width="12.375" style="42" customWidth="1"/>
    <col min="4602" max="4602" width="25.75" style="42" customWidth="1"/>
    <col min="4603" max="4603" width="12.375" style="42" customWidth="1"/>
    <col min="4604" max="4604" width="14.375" style="42" customWidth="1"/>
    <col min="4605" max="4606" width="12.375" style="42" customWidth="1"/>
    <col min="4607" max="4607" width="14.375" style="42" customWidth="1"/>
    <col min="4608" max="4608" width="9.125" style="42"/>
    <col min="4609" max="4609" width="14.375" style="42" bestFit="1" customWidth="1"/>
    <col min="4610" max="4854" width="9.125" style="42"/>
    <col min="4855" max="4855" width="12.375" style="42" customWidth="1"/>
    <col min="4856" max="4856" width="25" style="42" customWidth="1"/>
    <col min="4857" max="4857" width="12.375" style="42" customWidth="1"/>
    <col min="4858" max="4858" width="25.75" style="42" customWidth="1"/>
    <col min="4859" max="4859" width="12.375" style="42" customWidth="1"/>
    <col min="4860" max="4860" width="14.375" style="42" customWidth="1"/>
    <col min="4861" max="4862" width="12.375" style="42" customWidth="1"/>
    <col min="4863" max="4863" width="14.375" style="42" customWidth="1"/>
    <col min="4864" max="4864" width="9.125" style="42"/>
    <col min="4865" max="4865" width="14.375" style="42" bestFit="1" customWidth="1"/>
    <col min="4866" max="5110" width="9.125" style="42"/>
    <col min="5111" max="5111" width="12.375" style="42" customWidth="1"/>
    <col min="5112" max="5112" width="25" style="42" customWidth="1"/>
    <col min="5113" max="5113" width="12.375" style="42" customWidth="1"/>
    <col min="5114" max="5114" width="25.75" style="42" customWidth="1"/>
    <col min="5115" max="5115" width="12.375" style="42" customWidth="1"/>
    <col min="5116" max="5116" width="14.375" style="42" customWidth="1"/>
    <col min="5117" max="5118" width="12.375" style="42" customWidth="1"/>
    <col min="5119" max="5119" width="14.375" style="42" customWidth="1"/>
    <col min="5120" max="5120" width="9.125" style="42"/>
    <col min="5121" max="5121" width="14.375" style="42" bestFit="1" customWidth="1"/>
    <col min="5122" max="5366" width="9.125" style="42"/>
    <col min="5367" max="5367" width="12.375" style="42" customWidth="1"/>
    <col min="5368" max="5368" width="25" style="42" customWidth="1"/>
    <col min="5369" max="5369" width="12.375" style="42" customWidth="1"/>
    <col min="5370" max="5370" width="25.75" style="42" customWidth="1"/>
    <col min="5371" max="5371" width="12.375" style="42" customWidth="1"/>
    <col min="5372" max="5372" width="14.375" style="42" customWidth="1"/>
    <col min="5373" max="5374" width="12.375" style="42" customWidth="1"/>
    <col min="5375" max="5375" width="14.375" style="42" customWidth="1"/>
    <col min="5376" max="5376" width="9.125" style="42"/>
    <col min="5377" max="5377" width="14.375" style="42" bestFit="1" customWidth="1"/>
    <col min="5378" max="5622" width="9.125" style="42"/>
    <col min="5623" max="5623" width="12.375" style="42" customWidth="1"/>
    <col min="5624" max="5624" width="25" style="42" customWidth="1"/>
    <col min="5625" max="5625" width="12.375" style="42" customWidth="1"/>
    <col min="5626" max="5626" width="25.75" style="42" customWidth="1"/>
    <col min="5627" max="5627" width="12.375" style="42" customWidth="1"/>
    <col min="5628" max="5628" width="14.375" style="42" customWidth="1"/>
    <col min="5629" max="5630" width="12.375" style="42" customWidth="1"/>
    <col min="5631" max="5631" width="14.375" style="42" customWidth="1"/>
    <col min="5632" max="5632" width="9.125" style="42"/>
    <col min="5633" max="5633" width="14.375" style="42" bestFit="1" customWidth="1"/>
    <col min="5634" max="5878" width="9.125" style="42"/>
    <col min="5879" max="5879" width="12.375" style="42" customWidth="1"/>
    <col min="5880" max="5880" width="25" style="42" customWidth="1"/>
    <col min="5881" max="5881" width="12.375" style="42" customWidth="1"/>
    <col min="5882" max="5882" width="25.75" style="42" customWidth="1"/>
    <col min="5883" max="5883" width="12.375" style="42" customWidth="1"/>
    <col min="5884" max="5884" width="14.375" style="42" customWidth="1"/>
    <col min="5885" max="5886" width="12.375" style="42" customWidth="1"/>
    <col min="5887" max="5887" width="14.375" style="42" customWidth="1"/>
    <col min="5888" max="5888" width="9.125" style="42"/>
    <col min="5889" max="5889" width="14.375" style="42" bestFit="1" customWidth="1"/>
    <col min="5890" max="6134" width="9.125" style="42"/>
    <col min="6135" max="6135" width="12.375" style="42" customWidth="1"/>
    <col min="6136" max="6136" width="25" style="42" customWidth="1"/>
    <col min="6137" max="6137" width="12.375" style="42" customWidth="1"/>
    <col min="6138" max="6138" width="25.75" style="42" customWidth="1"/>
    <col min="6139" max="6139" width="12.375" style="42" customWidth="1"/>
    <col min="6140" max="6140" width="14.375" style="42" customWidth="1"/>
    <col min="6141" max="6142" width="12.375" style="42" customWidth="1"/>
    <col min="6143" max="6143" width="14.375" style="42" customWidth="1"/>
    <col min="6144" max="6144" width="9.125" style="42"/>
    <col min="6145" max="6145" width="14.375" style="42" bestFit="1" customWidth="1"/>
    <col min="6146" max="6390" width="9.125" style="42"/>
    <col min="6391" max="6391" width="12.375" style="42" customWidth="1"/>
    <col min="6392" max="6392" width="25" style="42" customWidth="1"/>
    <col min="6393" max="6393" width="12.375" style="42" customWidth="1"/>
    <col min="6394" max="6394" width="25.75" style="42" customWidth="1"/>
    <col min="6395" max="6395" width="12.375" style="42" customWidth="1"/>
    <col min="6396" max="6396" width="14.375" style="42" customWidth="1"/>
    <col min="6397" max="6398" width="12.375" style="42" customWidth="1"/>
    <col min="6399" max="6399" width="14.375" style="42" customWidth="1"/>
    <col min="6400" max="6400" width="9.125" style="42"/>
    <col min="6401" max="6401" width="14.375" style="42" bestFit="1" customWidth="1"/>
    <col min="6402" max="6646" width="9.125" style="42"/>
    <col min="6647" max="6647" width="12.375" style="42" customWidth="1"/>
    <col min="6648" max="6648" width="25" style="42" customWidth="1"/>
    <col min="6649" max="6649" width="12.375" style="42" customWidth="1"/>
    <col min="6650" max="6650" width="25.75" style="42" customWidth="1"/>
    <col min="6651" max="6651" width="12.375" style="42" customWidth="1"/>
    <col min="6652" max="6652" width="14.375" style="42" customWidth="1"/>
    <col min="6653" max="6654" width="12.375" style="42" customWidth="1"/>
    <col min="6655" max="6655" width="14.375" style="42" customWidth="1"/>
    <col min="6656" max="6656" width="9.125" style="42"/>
    <col min="6657" max="6657" width="14.375" style="42" bestFit="1" customWidth="1"/>
    <col min="6658" max="6902" width="9.125" style="42"/>
    <col min="6903" max="6903" width="12.375" style="42" customWidth="1"/>
    <col min="6904" max="6904" width="25" style="42" customWidth="1"/>
    <col min="6905" max="6905" width="12.375" style="42" customWidth="1"/>
    <col min="6906" max="6906" width="25.75" style="42" customWidth="1"/>
    <col min="6907" max="6907" width="12.375" style="42" customWidth="1"/>
    <col min="6908" max="6908" width="14.375" style="42" customWidth="1"/>
    <col min="6909" max="6910" width="12.375" style="42" customWidth="1"/>
    <col min="6911" max="6911" width="14.375" style="42" customWidth="1"/>
    <col min="6912" max="6912" width="9.125" style="42"/>
    <col min="6913" max="6913" width="14.375" style="42" bestFit="1" customWidth="1"/>
    <col min="6914" max="7158" width="9.125" style="42"/>
    <col min="7159" max="7159" width="12.375" style="42" customWidth="1"/>
    <col min="7160" max="7160" width="25" style="42" customWidth="1"/>
    <col min="7161" max="7161" width="12.375" style="42" customWidth="1"/>
    <col min="7162" max="7162" width="25.75" style="42" customWidth="1"/>
    <col min="7163" max="7163" width="12.375" style="42" customWidth="1"/>
    <col min="7164" max="7164" width="14.375" style="42" customWidth="1"/>
    <col min="7165" max="7166" width="12.375" style="42" customWidth="1"/>
    <col min="7167" max="7167" width="14.375" style="42" customWidth="1"/>
    <col min="7168" max="7168" width="9.125" style="42"/>
    <col min="7169" max="7169" width="14.375" style="42" bestFit="1" customWidth="1"/>
    <col min="7170" max="7414" width="9.125" style="42"/>
    <col min="7415" max="7415" width="12.375" style="42" customWidth="1"/>
    <col min="7416" max="7416" width="25" style="42" customWidth="1"/>
    <col min="7417" max="7417" width="12.375" style="42" customWidth="1"/>
    <col min="7418" max="7418" width="25.75" style="42" customWidth="1"/>
    <col min="7419" max="7419" width="12.375" style="42" customWidth="1"/>
    <col min="7420" max="7420" width="14.375" style="42" customWidth="1"/>
    <col min="7421" max="7422" width="12.375" style="42" customWidth="1"/>
    <col min="7423" max="7423" width="14.375" style="42" customWidth="1"/>
    <col min="7424" max="7424" width="9.125" style="42"/>
    <col min="7425" max="7425" width="14.375" style="42" bestFit="1" customWidth="1"/>
    <col min="7426" max="7670" width="9.125" style="42"/>
    <col min="7671" max="7671" width="12.375" style="42" customWidth="1"/>
    <col min="7672" max="7672" width="25" style="42" customWidth="1"/>
    <col min="7673" max="7673" width="12.375" style="42" customWidth="1"/>
    <col min="7674" max="7674" width="25.75" style="42" customWidth="1"/>
    <col min="7675" max="7675" width="12.375" style="42" customWidth="1"/>
    <col min="7676" max="7676" width="14.375" style="42" customWidth="1"/>
    <col min="7677" max="7678" width="12.375" style="42" customWidth="1"/>
    <col min="7679" max="7679" width="14.375" style="42" customWidth="1"/>
    <col min="7680" max="7680" width="9.125" style="42"/>
    <col min="7681" max="7681" width="14.375" style="42" bestFit="1" customWidth="1"/>
    <col min="7682" max="7926" width="9.125" style="42"/>
    <col min="7927" max="7927" width="12.375" style="42" customWidth="1"/>
    <col min="7928" max="7928" width="25" style="42" customWidth="1"/>
    <col min="7929" max="7929" width="12.375" style="42" customWidth="1"/>
    <col min="7930" max="7930" width="25.75" style="42" customWidth="1"/>
    <col min="7931" max="7931" width="12.375" style="42" customWidth="1"/>
    <col min="7932" max="7932" width="14.375" style="42" customWidth="1"/>
    <col min="7933" max="7934" width="12.375" style="42" customWidth="1"/>
    <col min="7935" max="7935" width="14.375" style="42" customWidth="1"/>
    <col min="7936" max="7936" width="9.125" style="42"/>
    <col min="7937" max="7937" width="14.375" style="42" bestFit="1" customWidth="1"/>
    <col min="7938" max="8182" width="9.125" style="42"/>
    <col min="8183" max="8183" width="12.375" style="42" customWidth="1"/>
    <col min="8184" max="8184" width="25" style="42" customWidth="1"/>
    <col min="8185" max="8185" width="12.375" style="42" customWidth="1"/>
    <col min="8186" max="8186" width="25.75" style="42" customWidth="1"/>
    <col min="8187" max="8187" width="12.375" style="42" customWidth="1"/>
    <col min="8188" max="8188" width="14.375" style="42" customWidth="1"/>
    <col min="8189" max="8190" width="12.375" style="42" customWidth="1"/>
    <col min="8191" max="8191" width="14.375" style="42" customWidth="1"/>
    <col min="8192" max="8192" width="9.125" style="42"/>
    <col min="8193" max="8193" width="14.375" style="42" bestFit="1" customWidth="1"/>
    <col min="8194" max="8438" width="9.125" style="42"/>
    <col min="8439" max="8439" width="12.375" style="42" customWidth="1"/>
    <col min="8440" max="8440" width="25" style="42" customWidth="1"/>
    <col min="8441" max="8441" width="12.375" style="42" customWidth="1"/>
    <col min="8442" max="8442" width="25.75" style="42" customWidth="1"/>
    <col min="8443" max="8443" width="12.375" style="42" customWidth="1"/>
    <col min="8444" max="8444" width="14.375" style="42" customWidth="1"/>
    <col min="8445" max="8446" width="12.375" style="42" customWidth="1"/>
    <col min="8447" max="8447" width="14.375" style="42" customWidth="1"/>
    <col min="8448" max="8448" width="9.125" style="42"/>
    <col min="8449" max="8449" width="14.375" style="42" bestFit="1" customWidth="1"/>
    <col min="8450" max="8694" width="9.125" style="42"/>
    <col min="8695" max="8695" width="12.375" style="42" customWidth="1"/>
    <col min="8696" max="8696" width="25" style="42" customWidth="1"/>
    <col min="8697" max="8697" width="12.375" style="42" customWidth="1"/>
    <col min="8698" max="8698" width="25.75" style="42" customWidth="1"/>
    <col min="8699" max="8699" width="12.375" style="42" customWidth="1"/>
    <col min="8700" max="8700" width="14.375" style="42" customWidth="1"/>
    <col min="8701" max="8702" width="12.375" style="42" customWidth="1"/>
    <col min="8703" max="8703" width="14.375" style="42" customWidth="1"/>
    <col min="8704" max="8704" width="9.125" style="42"/>
    <col min="8705" max="8705" width="14.375" style="42" bestFit="1" customWidth="1"/>
    <col min="8706" max="8950" width="9.125" style="42"/>
    <col min="8951" max="8951" width="12.375" style="42" customWidth="1"/>
    <col min="8952" max="8952" width="25" style="42" customWidth="1"/>
    <col min="8953" max="8953" width="12.375" style="42" customWidth="1"/>
    <col min="8954" max="8954" width="25.75" style="42" customWidth="1"/>
    <col min="8955" max="8955" width="12.375" style="42" customWidth="1"/>
    <col min="8956" max="8956" width="14.375" style="42" customWidth="1"/>
    <col min="8957" max="8958" width="12.375" style="42" customWidth="1"/>
    <col min="8959" max="8959" width="14.375" style="42" customWidth="1"/>
    <col min="8960" max="8960" width="9.125" style="42"/>
    <col min="8961" max="8961" width="14.375" style="42" bestFit="1" customWidth="1"/>
    <col min="8962" max="9206" width="9.125" style="42"/>
    <col min="9207" max="9207" width="12.375" style="42" customWidth="1"/>
    <col min="9208" max="9208" width="25" style="42" customWidth="1"/>
    <col min="9209" max="9209" width="12.375" style="42" customWidth="1"/>
    <col min="9210" max="9210" width="25.75" style="42" customWidth="1"/>
    <col min="9211" max="9211" width="12.375" style="42" customWidth="1"/>
    <col min="9212" max="9212" width="14.375" style="42" customWidth="1"/>
    <col min="9213" max="9214" width="12.375" style="42" customWidth="1"/>
    <col min="9215" max="9215" width="14.375" style="42" customWidth="1"/>
    <col min="9216" max="9216" width="9.125" style="42"/>
    <col min="9217" max="9217" width="14.375" style="42" bestFit="1" customWidth="1"/>
    <col min="9218" max="9462" width="9.125" style="42"/>
    <col min="9463" max="9463" width="12.375" style="42" customWidth="1"/>
    <col min="9464" max="9464" width="25" style="42" customWidth="1"/>
    <col min="9465" max="9465" width="12.375" style="42" customWidth="1"/>
    <col min="9466" max="9466" width="25.75" style="42" customWidth="1"/>
    <col min="9467" max="9467" width="12.375" style="42" customWidth="1"/>
    <col min="9468" max="9468" width="14.375" style="42" customWidth="1"/>
    <col min="9469" max="9470" width="12.375" style="42" customWidth="1"/>
    <col min="9471" max="9471" width="14.375" style="42" customWidth="1"/>
    <col min="9472" max="9472" width="9.125" style="42"/>
    <col min="9473" max="9473" width="14.375" style="42" bestFit="1" customWidth="1"/>
    <col min="9474" max="9718" width="9.125" style="42"/>
    <col min="9719" max="9719" width="12.375" style="42" customWidth="1"/>
    <col min="9720" max="9720" width="25" style="42" customWidth="1"/>
    <col min="9721" max="9721" width="12.375" style="42" customWidth="1"/>
    <col min="9722" max="9722" width="25.75" style="42" customWidth="1"/>
    <col min="9723" max="9723" width="12.375" style="42" customWidth="1"/>
    <col min="9724" max="9724" width="14.375" style="42" customWidth="1"/>
    <col min="9725" max="9726" width="12.375" style="42" customWidth="1"/>
    <col min="9727" max="9727" width="14.375" style="42" customWidth="1"/>
    <col min="9728" max="9728" width="9.125" style="42"/>
    <col min="9729" max="9729" width="14.375" style="42" bestFit="1" customWidth="1"/>
    <col min="9730" max="9974" width="9.125" style="42"/>
    <col min="9975" max="9975" width="12.375" style="42" customWidth="1"/>
    <col min="9976" max="9976" width="25" style="42" customWidth="1"/>
    <col min="9977" max="9977" width="12.375" style="42" customWidth="1"/>
    <col min="9978" max="9978" width="25.75" style="42" customWidth="1"/>
    <col min="9979" max="9979" width="12.375" style="42" customWidth="1"/>
    <col min="9980" max="9980" width="14.375" style="42" customWidth="1"/>
    <col min="9981" max="9982" width="12.375" style="42" customWidth="1"/>
    <col min="9983" max="9983" width="14.375" style="42" customWidth="1"/>
    <col min="9984" max="9984" width="9.125" style="42"/>
    <col min="9985" max="9985" width="14.375" style="42" bestFit="1" customWidth="1"/>
    <col min="9986" max="10230" width="9.125" style="42"/>
    <col min="10231" max="10231" width="12.375" style="42" customWidth="1"/>
    <col min="10232" max="10232" width="25" style="42" customWidth="1"/>
    <col min="10233" max="10233" width="12.375" style="42" customWidth="1"/>
    <col min="10234" max="10234" width="25.75" style="42" customWidth="1"/>
    <col min="10235" max="10235" width="12.375" style="42" customWidth="1"/>
    <col min="10236" max="10236" width="14.375" style="42" customWidth="1"/>
    <col min="10237" max="10238" width="12.375" style="42" customWidth="1"/>
    <col min="10239" max="10239" width="14.375" style="42" customWidth="1"/>
    <col min="10240" max="10240" width="9.125" style="42"/>
    <col min="10241" max="10241" width="14.375" style="42" bestFit="1" customWidth="1"/>
    <col min="10242" max="10486" width="9.125" style="42"/>
    <col min="10487" max="10487" width="12.375" style="42" customWidth="1"/>
    <col min="10488" max="10488" width="25" style="42" customWidth="1"/>
    <col min="10489" max="10489" width="12.375" style="42" customWidth="1"/>
    <col min="10490" max="10490" width="25.75" style="42" customWidth="1"/>
    <col min="10491" max="10491" width="12.375" style="42" customWidth="1"/>
    <col min="10492" max="10492" width="14.375" style="42" customWidth="1"/>
    <col min="10493" max="10494" width="12.375" style="42" customWidth="1"/>
    <col min="10495" max="10495" width="14.375" style="42" customWidth="1"/>
    <col min="10496" max="10496" width="9.125" style="42"/>
    <col min="10497" max="10497" width="14.375" style="42" bestFit="1" customWidth="1"/>
    <col min="10498" max="10742" width="9.125" style="42"/>
    <col min="10743" max="10743" width="12.375" style="42" customWidth="1"/>
    <col min="10744" max="10744" width="25" style="42" customWidth="1"/>
    <col min="10745" max="10745" width="12.375" style="42" customWidth="1"/>
    <col min="10746" max="10746" width="25.75" style="42" customWidth="1"/>
    <col min="10747" max="10747" width="12.375" style="42" customWidth="1"/>
    <col min="10748" max="10748" width="14.375" style="42" customWidth="1"/>
    <col min="10749" max="10750" width="12.375" style="42" customWidth="1"/>
    <col min="10751" max="10751" width="14.375" style="42" customWidth="1"/>
    <col min="10752" max="10752" width="9.125" style="42"/>
    <col min="10753" max="10753" width="14.375" style="42" bestFit="1" customWidth="1"/>
    <col min="10754" max="10998" width="9.125" style="42"/>
    <col min="10999" max="10999" width="12.375" style="42" customWidth="1"/>
    <col min="11000" max="11000" width="25" style="42" customWidth="1"/>
    <col min="11001" max="11001" width="12.375" style="42" customWidth="1"/>
    <col min="11002" max="11002" width="25.75" style="42" customWidth="1"/>
    <col min="11003" max="11003" width="12.375" style="42" customWidth="1"/>
    <col min="11004" max="11004" width="14.375" style="42" customWidth="1"/>
    <col min="11005" max="11006" width="12.375" style="42" customWidth="1"/>
    <col min="11007" max="11007" width="14.375" style="42" customWidth="1"/>
    <col min="11008" max="11008" width="9.125" style="42"/>
    <col min="11009" max="11009" width="14.375" style="42" bestFit="1" customWidth="1"/>
    <col min="11010" max="11254" width="9.125" style="42"/>
    <col min="11255" max="11255" width="12.375" style="42" customWidth="1"/>
    <col min="11256" max="11256" width="25" style="42" customWidth="1"/>
    <col min="11257" max="11257" width="12.375" style="42" customWidth="1"/>
    <col min="11258" max="11258" width="25.75" style="42" customWidth="1"/>
    <col min="11259" max="11259" width="12.375" style="42" customWidth="1"/>
    <col min="11260" max="11260" width="14.375" style="42" customWidth="1"/>
    <col min="11261" max="11262" width="12.375" style="42" customWidth="1"/>
    <col min="11263" max="11263" width="14.375" style="42" customWidth="1"/>
    <col min="11264" max="11264" width="9.125" style="42"/>
    <col min="11265" max="11265" width="14.375" style="42" bestFit="1" customWidth="1"/>
    <col min="11266" max="11510" width="9.125" style="42"/>
    <col min="11511" max="11511" width="12.375" style="42" customWidth="1"/>
    <col min="11512" max="11512" width="25" style="42" customWidth="1"/>
    <col min="11513" max="11513" width="12.375" style="42" customWidth="1"/>
    <col min="11514" max="11514" width="25.75" style="42" customWidth="1"/>
    <col min="11515" max="11515" width="12.375" style="42" customWidth="1"/>
    <col min="11516" max="11516" width="14.375" style="42" customWidth="1"/>
    <col min="11517" max="11518" width="12.375" style="42" customWidth="1"/>
    <col min="11519" max="11519" width="14.375" style="42" customWidth="1"/>
    <col min="11520" max="11520" width="9.125" style="42"/>
    <col min="11521" max="11521" width="14.375" style="42" bestFit="1" customWidth="1"/>
    <col min="11522" max="11766" width="9.125" style="42"/>
    <col min="11767" max="11767" width="12.375" style="42" customWidth="1"/>
    <col min="11768" max="11768" width="25" style="42" customWidth="1"/>
    <col min="11769" max="11769" width="12.375" style="42" customWidth="1"/>
    <col min="11770" max="11770" width="25.75" style="42" customWidth="1"/>
    <col min="11771" max="11771" width="12.375" style="42" customWidth="1"/>
    <col min="11772" max="11772" width="14.375" style="42" customWidth="1"/>
    <col min="11773" max="11774" width="12.375" style="42" customWidth="1"/>
    <col min="11775" max="11775" width="14.375" style="42" customWidth="1"/>
    <col min="11776" max="11776" width="9.125" style="42"/>
    <col min="11777" max="11777" width="14.375" style="42" bestFit="1" customWidth="1"/>
    <col min="11778" max="12022" width="9.125" style="42"/>
    <col min="12023" max="12023" width="12.375" style="42" customWidth="1"/>
    <col min="12024" max="12024" width="25" style="42" customWidth="1"/>
    <col min="12025" max="12025" width="12.375" style="42" customWidth="1"/>
    <col min="12026" max="12026" width="25.75" style="42" customWidth="1"/>
    <col min="12027" max="12027" width="12.375" style="42" customWidth="1"/>
    <col min="12028" max="12028" width="14.375" style="42" customWidth="1"/>
    <col min="12029" max="12030" width="12.375" style="42" customWidth="1"/>
    <col min="12031" max="12031" width="14.375" style="42" customWidth="1"/>
    <col min="12032" max="12032" width="9.125" style="42"/>
    <col min="12033" max="12033" width="14.375" style="42" bestFit="1" customWidth="1"/>
    <col min="12034" max="12278" width="9.125" style="42"/>
    <col min="12279" max="12279" width="12.375" style="42" customWidth="1"/>
    <col min="12280" max="12280" width="25" style="42" customWidth="1"/>
    <col min="12281" max="12281" width="12.375" style="42" customWidth="1"/>
    <col min="12282" max="12282" width="25.75" style="42" customWidth="1"/>
    <col min="12283" max="12283" width="12.375" style="42" customWidth="1"/>
    <col min="12284" max="12284" width="14.375" style="42" customWidth="1"/>
    <col min="12285" max="12286" width="12.375" style="42" customWidth="1"/>
    <col min="12287" max="12287" width="14.375" style="42" customWidth="1"/>
    <col min="12288" max="12288" width="9.125" style="42"/>
    <col min="12289" max="12289" width="14.375" style="42" bestFit="1" customWidth="1"/>
    <col min="12290" max="12534" width="9.125" style="42"/>
    <col min="12535" max="12535" width="12.375" style="42" customWidth="1"/>
    <col min="12536" max="12536" width="25" style="42" customWidth="1"/>
    <col min="12537" max="12537" width="12.375" style="42" customWidth="1"/>
    <col min="12538" max="12538" width="25.75" style="42" customWidth="1"/>
    <col min="12539" max="12539" width="12.375" style="42" customWidth="1"/>
    <col min="12540" max="12540" width="14.375" style="42" customWidth="1"/>
    <col min="12541" max="12542" width="12.375" style="42" customWidth="1"/>
    <col min="12543" max="12543" width="14.375" style="42" customWidth="1"/>
    <col min="12544" max="12544" width="9.125" style="42"/>
    <col min="12545" max="12545" width="14.375" style="42" bestFit="1" customWidth="1"/>
    <col min="12546" max="12790" width="9.125" style="42"/>
    <col min="12791" max="12791" width="12.375" style="42" customWidth="1"/>
    <col min="12792" max="12792" width="25" style="42" customWidth="1"/>
    <col min="12793" max="12793" width="12.375" style="42" customWidth="1"/>
    <col min="12794" max="12794" width="25.75" style="42" customWidth="1"/>
    <col min="12795" max="12795" width="12.375" style="42" customWidth="1"/>
    <col min="12796" max="12796" width="14.375" style="42" customWidth="1"/>
    <col min="12797" max="12798" width="12.375" style="42" customWidth="1"/>
    <col min="12799" max="12799" width="14.375" style="42" customWidth="1"/>
    <col min="12800" max="12800" width="9.125" style="42"/>
    <col min="12801" max="12801" width="14.375" style="42" bestFit="1" customWidth="1"/>
    <col min="12802" max="13046" width="9.125" style="42"/>
    <col min="13047" max="13047" width="12.375" style="42" customWidth="1"/>
    <col min="13048" max="13048" width="25" style="42" customWidth="1"/>
    <col min="13049" max="13049" width="12.375" style="42" customWidth="1"/>
    <col min="13050" max="13050" width="25.75" style="42" customWidth="1"/>
    <col min="13051" max="13051" width="12.375" style="42" customWidth="1"/>
    <col min="13052" max="13052" width="14.375" style="42" customWidth="1"/>
    <col min="13053" max="13054" width="12.375" style="42" customWidth="1"/>
    <col min="13055" max="13055" width="14.375" style="42" customWidth="1"/>
    <col min="13056" max="13056" width="9.125" style="42"/>
    <col min="13057" max="13057" width="14.375" style="42" bestFit="1" customWidth="1"/>
    <col min="13058" max="13302" width="9.125" style="42"/>
    <col min="13303" max="13303" width="12.375" style="42" customWidth="1"/>
    <col min="13304" max="13304" width="25" style="42" customWidth="1"/>
    <col min="13305" max="13305" width="12.375" style="42" customWidth="1"/>
    <col min="13306" max="13306" width="25.75" style="42" customWidth="1"/>
    <col min="13307" max="13307" width="12.375" style="42" customWidth="1"/>
    <col min="13308" max="13308" width="14.375" style="42" customWidth="1"/>
    <col min="13309" max="13310" width="12.375" style="42" customWidth="1"/>
    <col min="13311" max="13311" width="14.375" style="42" customWidth="1"/>
    <col min="13312" max="13312" width="9.125" style="42"/>
    <col min="13313" max="13313" width="14.375" style="42" bestFit="1" customWidth="1"/>
    <col min="13314" max="13558" width="9.125" style="42"/>
    <col min="13559" max="13559" width="12.375" style="42" customWidth="1"/>
    <col min="13560" max="13560" width="25" style="42" customWidth="1"/>
    <col min="13561" max="13561" width="12.375" style="42" customWidth="1"/>
    <col min="13562" max="13562" width="25.75" style="42" customWidth="1"/>
    <col min="13563" max="13563" width="12.375" style="42" customWidth="1"/>
    <col min="13564" max="13564" width="14.375" style="42" customWidth="1"/>
    <col min="13565" max="13566" width="12.375" style="42" customWidth="1"/>
    <col min="13567" max="13567" width="14.375" style="42" customWidth="1"/>
    <col min="13568" max="13568" width="9.125" style="42"/>
    <col min="13569" max="13569" width="14.375" style="42" bestFit="1" customWidth="1"/>
    <col min="13570" max="13814" width="9.125" style="42"/>
    <col min="13815" max="13815" width="12.375" style="42" customWidth="1"/>
    <col min="13816" max="13816" width="25" style="42" customWidth="1"/>
    <col min="13817" max="13817" width="12.375" style="42" customWidth="1"/>
    <col min="13818" max="13818" width="25.75" style="42" customWidth="1"/>
    <col min="13819" max="13819" width="12.375" style="42" customWidth="1"/>
    <col min="13820" max="13820" width="14.375" style="42" customWidth="1"/>
    <col min="13821" max="13822" width="12.375" style="42" customWidth="1"/>
    <col min="13823" max="13823" width="14.375" style="42" customWidth="1"/>
    <col min="13824" max="13824" width="9.125" style="42"/>
    <col min="13825" max="13825" width="14.375" style="42" bestFit="1" customWidth="1"/>
    <col min="13826" max="14070" width="9.125" style="42"/>
    <col min="14071" max="14071" width="12.375" style="42" customWidth="1"/>
    <col min="14072" max="14072" width="25" style="42" customWidth="1"/>
    <col min="14073" max="14073" width="12.375" style="42" customWidth="1"/>
    <col min="14074" max="14074" width="25.75" style="42" customWidth="1"/>
    <col min="14075" max="14075" width="12.375" style="42" customWidth="1"/>
    <col min="14076" max="14076" width="14.375" style="42" customWidth="1"/>
    <col min="14077" max="14078" width="12.375" style="42" customWidth="1"/>
    <col min="14079" max="14079" width="14.375" style="42" customWidth="1"/>
    <col min="14080" max="14080" width="9.125" style="42"/>
    <col min="14081" max="14081" width="14.375" style="42" bestFit="1" customWidth="1"/>
    <col min="14082" max="14326" width="9.125" style="42"/>
    <col min="14327" max="14327" width="12.375" style="42" customWidth="1"/>
    <col min="14328" max="14328" width="25" style="42" customWidth="1"/>
    <col min="14329" max="14329" width="12.375" style="42" customWidth="1"/>
    <col min="14330" max="14330" width="25.75" style="42" customWidth="1"/>
    <col min="14331" max="14331" width="12.375" style="42" customWidth="1"/>
    <col min="14332" max="14332" width="14.375" style="42" customWidth="1"/>
    <col min="14333" max="14334" width="12.375" style="42" customWidth="1"/>
    <col min="14335" max="14335" width="14.375" style="42" customWidth="1"/>
    <col min="14336" max="14336" width="9.125" style="42"/>
    <col min="14337" max="14337" width="14.375" style="42" bestFit="1" customWidth="1"/>
    <col min="14338" max="14582" width="9.125" style="42"/>
    <col min="14583" max="14583" width="12.375" style="42" customWidth="1"/>
    <col min="14584" max="14584" width="25" style="42" customWidth="1"/>
    <col min="14585" max="14585" width="12.375" style="42" customWidth="1"/>
    <col min="14586" max="14586" width="25.75" style="42" customWidth="1"/>
    <col min="14587" max="14587" width="12.375" style="42" customWidth="1"/>
    <col min="14588" max="14588" width="14.375" style="42" customWidth="1"/>
    <col min="14589" max="14590" width="12.375" style="42" customWidth="1"/>
    <col min="14591" max="14591" width="14.375" style="42" customWidth="1"/>
    <col min="14592" max="14592" width="9.125" style="42"/>
    <col min="14593" max="14593" width="14.375" style="42" bestFit="1" customWidth="1"/>
    <col min="14594" max="14838" width="9.125" style="42"/>
    <col min="14839" max="14839" width="12.375" style="42" customWidth="1"/>
    <col min="14840" max="14840" width="25" style="42" customWidth="1"/>
    <col min="14841" max="14841" width="12.375" style="42" customWidth="1"/>
    <col min="14842" max="14842" width="25.75" style="42" customWidth="1"/>
    <col min="14843" max="14843" width="12.375" style="42" customWidth="1"/>
    <col min="14844" max="14844" width="14.375" style="42" customWidth="1"/>
    <col min="14845" max="14846" width="12.375" style="42" customWidth="1"/>
    <col min="14847" max="14847" width="14.375" style="42" customWidth="1"/>
    <col min="14848" max="14848" width="9.125" style="42"/>
    <col min="14849" max="14849" width="14.375" style="42" bestFit="1" customWidth="1"/>
    <col min="14850" max="15094" width="9.125" style="42"/>
    <col min="15095" max="15095" width="12.375" style="42" customWidth="1"/>
    <col min="15096" max="15096" width="25" style="42" customWidth="1"/>
    <col min="15097" max="15097" width="12.375" style="42" customWidth="1"/>
    <col min="15098" max="15098" width="25.75" style="42" customWidth="1"/>
    <col min="15099" max="15099" width="12.375" style="42" customWidth="1"/>
    <col min="15100" max="15100" width="14.375" style="42" customWidth="1"/>
    <col min="15101" max="15102" width="12.375" style="42" customWidth="1"/>
    <col min="15103" max="15103" width="14.375" style="42" customWidth="1"/>
    <col min="15104" max="15104" width="9.125" style="42"/>
    <col min="15105" max="15105" width="14.375" style="42" bestFit="1" customWidth="1"/>
    <col min="15106" max="15350" width="9.125" style="42"/>
    <col min="15351" max="15351" width="12.375" style="42" customWidth="1"/>
    <col min="15352" max="15352" width="25" style="42" customWidth="1"/>
    <col min="15353" max="15353" width="12.375" style="42" customWidth="1"/>
    <col min="15354" max="15354" width="25.75" style="42" customWidth="1"/>
    <col min="15355" max="15355" width="12.375" style="42" customWidth="1"/>
    <col min="15356" max="15356" width="14.375" style="42" customWidth="1"/>
    <col min="15357" max="15358" width="12.375" style="42" customWidth="1"/>
    <col min="15359" max="15359" width="14.375" style="42" customWidth="1"/>
    <col min="15360" max="15360" width="9.125" style="42"/>
    <col min="15361" max="15361" width="14.375" style="42" bestFit="1" customWidth="1"/>
    <col min="15362" max="15606" width="9.125" style="42"/>
    <col min="15607" max="15607" width="12.375" style="42" customWidth="1"/>
    <col min="15608" max="15608" width="25" style="42" customWidth="1"/>
    <col min="15609" max="15609" width="12.375" style="42" customWidth="1"/>
    <col min="15610" max="15610" width="25.75" style="42" customWidth="1"/>
    <col min="15611" max="15611" width="12.375" style="42" customWidth="1"/>
    <col min="15612" max="15612" width="14.375" style="42" customWidth="1"/>
    <col min="15613" max="15614" width="12.375" style="42" customWidth="1"/>
    <col min="15615" max="15615" width="14.375" style="42" customWidth="1"/>
    <col min="15616" max="15616" width="9.125" style="42"/>
    <col min="15617" max="15617" width="14.375" style="42" bestFit="1" customWidth="1"/>
    <col min="15618" max="15862" width="9.125" style="42"/>
    <col min="15863" max="15863" width="12.375" style="42" customWidth="1"/>
    <col min="15864" max="15864" width="25" style="42" customWidth="1"/>
    <col min="15865" max="15865" width="12.375" style="42" customWidth="1"/>
    <col min="15866" max="15866" width="25.75" style="42" customWidth="1"/>
    <col min="15867" max="15867" width="12.375" style="42" customWidth="1"/>
    <col min="15868" max="15868" width="14.375" style="42" customWidth="1"/>
    <col min="15869" max="15870" width="12.375" style="42" customWidth="1"/>
    <col min="15871" max="15871" width="14.375" style="42" customWidth="1"/>
    <col min="15872" max="15872" width="9.125" style="42"/>
    <col min="15873" max="15873" width="14.375" style="42" bestFit="1" customWidth="1"/>
    <col min="15874" max="16118" width="9.125" style="42"/>
    <col min="16119" max="16119" width="12.375" style="42" customWidth="1"/>
    <col min="16120" max="16120" width="25" style="42" customWidth="1"/>
    <col min="16121" max="16121" width="12.375" style="42" customWidth="1"/>
    <col min="16122" max="16122" width="25.75" style="42" customWidth="1"/>
    <col min="16123" max="16123" width="12.375" style="42" customWidth="1"/>
    <col min="16124" max="16124" width="14.375" style="42" customWidth="1"/>
    <col min="16125" max="16126" width="12.375" style="42" customWidth="1"/>
    <col min="16127" max="16127" width="14.375" style="42" customWidth="1"/>
    <col min="16128" max="16128" width="9.125" style="42"/>
    <col min="16129" max="16129" width="14.375" style="42" bestFit="1" customWidth="1"/>
    <col min="16130" max="16384" width="9.125" style="42"/>
  </cols>
  <sheetData>
    <row r="2" spans="1:14" ht="15.95" customHeight="1">
      <c r="A2" s="42" t="s">
        <v>1581</v>
      </c>
      <c r="B2" s="42" t="s">
        <v>1582</v>
      </c>
      <c r="L2" s="45" t="s">
        <v>1583</v>
      </c>
      <c r="N2" s="42" t="s">
        <v>1584</v>
      </c>
    </row>
    <row r="3" spans="1:14" ht="15.95" customHeight="1">
      <c r="A3" s="41" t="s">
        <v>1550</v>
      </c>
      <c r="B3" s="41" t="s">
        <v>1551</v>
      </c>
      <c r="C3" s="41" t="s">
        <v>1552</v>
      </c>
      <c r="D3" s="41" t="s">
        <v>541</v>
      </c>
      <c r="E3" s="41" t="s">
        <v>1553</v>
      </c>
      <c r="F3" s="41" t="s">
        <v>1554</v>
      </c>
      <c r="G3" s="41" t="s">
        <v>1555</v>
      </c>
      <c r="H3" s="41" t="s">
        <v>1556</v>
      </c>
      <c r="I3" s="41" t="s">
        <v>1557</v>
      </c>
      <c r="K3" s="42" t="s">
        <v>541</v>
      </c>
    </row>
    <row r="4" spans="1:14" ht="15.95" customHeight="1">
      <c r="A4" s="43" t="s">
        <v>1558</v>
      </c>
      <c r="B4" s="43" t="s">
        <v>518</v>
      </c>
      <c r="C4" s="43" t="s">
        <v>1559</v>
      </c>
      <c r="D4" s="43" t="s">
        <v>67</v>
      </c>
      <c r="E4" s="43" t="s">
        <v>1560</v>
      </c>
      <c r="F4" s="44">
        <v>207476875</v>
      </c>
      <c r="G4" s="44">
        <v>0</v>
      </c>
      <c r="H4" s="44">
        <v>0</v>
      </c>
      <c r="I4" s="44">
        <v>207476875</v>
      </c>
      <c r="K4" s="42" t="s">
        <v>67</v>
      </c>
      <c r="L4" s="45">
        <f>SUMIF($D:$D,K4,$I:$I)</f>
        <v>207476875</v>
      </c>
    </row>
    <row r="5" spans="1:14" ht="15.95" customHeight="1">
      <c r="A5" s="43" t="s">
        <v>1558</v>
      </c>
      <c r="B5" s="43" t="s">
        <v>518</v>
      </c>
      <c r="C5" s="43" t="s">
        <v>128</v>
      </c>
      <c r="D5" s="43" t="s">
        <v>129</v>
      </c>
      <c r="E5" s="43" t="s">
        <v>1560</v>
      </c>
      <c r="F5" s="44">
        <v>0</v>
      </c>
      <c r="G5" s="44">
        <v>6828862305</v>
      </c>
      <c r="H5" s="44">
        <v>2731869088</v>
      </c>
      <c r="I5" s="44">
        <v>4096993217</v>
      </c>
      <c r="K5" s="42" t="s">
        <v>129</v>
      </c>
      <c r="L5" s="45">
        <f t="shared" ref="L5:L17" si="0">SUMIF($D:$D,K5,$I:$I)</f>
        <v>4096993217</v>
      </c>
    </row>
    <row r="6" spans="1:14" ht="15.95" customHeight="1">
      <c r="A6" s="43" t="s">
        <v>1558</v>
      </c>
      <c r="B6" s="43" t="s">
        <v>518</v>
      </c>
      <c r="C6" s="43" t="s">
        <v>317</v>
      </c>
      <c r="D6" s="43" t="s">
        <v>318</v>
      </c>
      <c r="E6" s="43" t="s">
        <v>1560</v>
      </c>
      <c r="F6" s="44">
        <v>0</v>
      </c>
      <c r="G6" s="44">
        <v>0</v>
      </c>
      <c r="H6" s="44">
        <v>12831289</v>
      </c>
      <c r="I6" s="44">
        <v>12831289</v>
      </c>
      <c r="K6" s="48" t="s">
        <v>318</v>
      </c>
      <c r="L6" s="49">
        <f t="shared" si="0"/>
        <v>12831289</v>
      </c>
    </row>
    <row r="7" spans="1:14" ht="15.95" customHeight="1">
      <c r="A7" s="43" t="s">
        <v>1561</v>
      </c>
      <c r="B7" s="43" t="s">
        <v>1562</v>
      </c>
      <c r="C7" s="43" t="s">
        <v>1563</v>
      </c>
      <c r="D7" s="43" t="s">
        <v>26</v>
      </c>
      <c r="E7" s="43" t="s">
        <v>1564</v>
      </c>
      <c r="F7" s="44">
        <v>24598200</v>
      </c>
      <c r="G7" s="44">
        <v>3315600</v>
      </c>
      <c r="H7" s="44">
        <v>5934600</v>
      </c>
      <c r="I7" s="44">
        <v>21979200</v>
      </c>
      <c r="K7" s="46" t="s">
        <v>26</v>
      </c>
      <c r="L7" s="47">
        <f t="shared" si="0"/>
        <v>4407094005</v>
      </c>
      <c r="N7" s="42" t="s">
        <v>139</v>
      </c>
    </row>
    <row r="8" spans="1:14" ht="15.95" customHeight="1">
      <c r="A8" s="43" t="s">
        <v>1561</v>
      </c>
      <c r="B8" s="43" t="s">
        <v>1562</v>
      </c>
      <c r="C8" s="43" t="s">
        <v>1350</v>
      </c>
      <c r="D8" s="43" t="s">
        <v>526</v>
      </c>
      <c r="E8" s="43" t="s">
        <v>1564</v>
      </c>
      <c r="F8" s="44">
        <v>9773508262</v>
      </c>
      <c r="G8" s="44">
        <v>0</v>
      </c>
      <c r="H8" s="44">
        <v>0</v>
      </c>
      <c r="I8" s="44">
        <v>9773508262</v>
      </c>
      <c r="K8" s="42" t="s">
        <v>526</v>
      </c>
      <c r="L8" s="45">
        <f t="shared" si="0"/>
        <v>9875157897</v>
      </c>
    </row>
    <row r="9" spans="1:14" ht="15.95" customHeight="1">
      <c r="A9" s="43" t="s">
        <v>1565</v>
      </c>
      <c r="B9" s="43" t="s">
        <v>1566</v>
      </c>
      <c r="C9" s="43" t="s">
        <v>1567</v>
      </c>
      <c r="D9" s="43" t="s">
        <v>139</v>
      </c>
      <c r="E9" s="43" t="s">
        <v>1568</v>
      </c>
      <c r="F9" s="44">
        <v>917350078</v>
      </c>
      <c r="G9" s="44">
        <v>107069301</v>
      </c>
      <c r="H9" s="44">
        <v>138820887</v>
      </c>
      <c r="I9" s="44">
        <v>949101664</v>
      </c>
      <c r="K9" s="46" t="s">
        <v>139</v>
      </c>
      <c r="L9" s="47">
        <f t="shared" si="0"/>
        <v>949101664</v>
      </c>
      <c r="N9" s="42" t="s">
        <v>26</v>
      </c>
    </row>
    <row r="10" spans="1:14" ht="15.95" customHeight="1">
      <c r="A10" s="43" t="s">
        <v>1569</v>
      </c>
      <c r="B10" s="43" t="s">
        <v>511</v>
      </c>
      <c r="C10" s="43" t="s">
        <v>1563</v>
      </c>
      <c r="D10" s="43" t="s">
        <v>26</v>
      </c>
      <c r="E10" s="43" t="s">
        <v>1564</v>
      </c>
      <c r="F10" s="44">
        <v>4726130293</v>
      </c>
      <c r="G10" s="44">
        <v>991418379</v>
      </c>
      <c r="H10" s="44">
        <v>1415260656</v>
      </c>
      <c r="I10" s="44">
        <v>4302288016</v>
      </c>
      <c r="K10" s="46" t="s">
        <v>145</v>
      </c>
      <c r="L10" s="47">
        <f t="shared" si="0"/>
        <v>8601548</v>
      </c>
      <c r="N10" s="42" t="s">
        <v>1585</v>
      </c>
    </row>
    <row r="11" spans="1:14" ht="15.95" customHeight="1">
      <c r="A11" s="43" t="s">
        <v>1569</v>
      </c>
      <c r="B11" s="43" t="s">
        <v>511</v>
      </c>
      <c r="C11" s="43" t="s">
        <v>1570</v>
      </c>
      <c r="D11" s="43" t="s">
        <v>145</v>
      </c>
      <c r="E11" s="43" t="s">
        <v>1564</v>
      </c>
      <c r="F11" s="44">
        <v>102927590</v>
      </c>
      <c r="G11" s="44">
        <v>86301717</v>
      </c>
      <c r="H11" s="44">
        <v>-8024325</v>
      </c>
      <c r="I11" s="44">
        <v>8601548</v>
      </c>
      <c r="K11" s="48" t="s">
        <v>614</v>
      </c>
      <c r="L11" s="49">
        <f t="shared" si="0"/>
        <v>154987587</v>
      </c>
    </row>
    <row r="12" spans="1:14" ht="15.95" customHeight="1">
      <c r="A12" s="43" t="s">
        <v>1569</v>
      </c>
      <c r="B12" s="43" t="s">
        <v>511</v>
      </c>
      <c r="C12" s="43" t="s">
        <v>1350</v>
      </c>
      <c r="D12" s="43" t="s">
        <v>526</v>
      </c>
      <c r="E12" s="43" t="s">
        <v>1564</v>
      </c>
      <c r="F12" s="44">
        <v>101649635</v>
      </c>
      <c r="G12" s="44">
        <v>0</v>
      </c>
      <c r="H12" s="44">
        <v>0</v>
      </c>
      <c r="I12" s="44">
        <v>101649635</v>
      </c>
      <c r="K12" s="48" t="s">
        <v>615</v>
      </c>
      <c r="L12" s="49">
        <f t="shared" si="0"/>
        <v>-24022782</v>
      </c>
    </row>
    <row r="13" spans="1:14" ht="15.95" customHeight="1">
      <c r="A13" s="43" t="s">
        <v>1569</v>
      </c>
      <c r="B13" s="43" t="s">
        <v>511</v>
      </c>
      <c r="C13" s="43" t="s">
        <v>1571</v>
      </c>
      <c r="D13" s="43" t="s">
        <v>614</v>
      </c>
      <c r="E13" s="43" t="s">
        <v>1564</v>
      </c>
      <c r="F13" s="44">
        <v>0</v>
      </c>
      <c r="G13" s="44">
        <v>0</v>
      </c>
      <c r="H13" s="44">
        <v>154987587</v>
      </c>
      <c r="I13" s="44">
        <v>154987587</v>
      </c>
      <c r="K13" s="48" t="s">
        <v>619</v>
      </c>
      <c r="L13" s="49">
        <f t="shared" si="0"/>
        <v>816683602</v>
      </c>
    </row>
    <row r="14" spans="1:14" ht="15.95" customHeight="1">
      <c r="A14" s="43" t="s">
        <v>1569</v>
      </c>
      <c r="B14" s="43" t="s">
        <v>511</v>
      </c>
      <c r="C14" s="43" t="s">
        <v>1572</v>
      </c>
      <c r="D14" s="43" t="s">
        <v>615</v>
      </c>
      <c r="E14" s="43" t="s">
        <v>1564</v>
      </c>
      <c r="F14" s="44">
        <v>0</v>
      </c>
      <c r="G14" s="44">
        <v>0</v>
      </c>
      <c r="H14" s="44">
        <v>-32607</v>
      </c>
      <c r="I14" s="44">
        <v>-32607</v>
      </c>
      <c r="K14" s="48" t="s">
        <v>620</v>
      </c>
      <c r="L14" s="49">
        <f t="shared" si="0"/>
        <v>-394852595</v>
      </c>
    </row>
    <row r="15" spans="1:14" ht="15.95" customHeight="1">
      <c r="A15" s="43" t="s">
        <v>1569</v>
      </c>
      <c r="B15" s="43" t="s">
        <v>511</v>
      </c>
      <c r="C15" s="43" t="s">
        <v>1573</v>
      </c>
      <c r="D15" s="43" t="s">
        <v>619</v>
      </c>
      <c r="E15" s="43" t="s">
        <v>1564</v>
      </c>
      <c r="F15" s="44">
        <v>0</v>
      </c>
      <c r="G15" s="44">
        <v>0</v>
      </c>
      <c r="H15" s="44">
        <v>656244159</v>
      </c>
      <c r="I15" s="44">
        <v>656244159</v>
      </c>
      <c r="K15" s="46" t="s">
        <v>24</v>
      </c>
      <c r="L15" s="47">
        <f t="shared" si="0"/>
        <v>57500000</v>
      </c>
      <c r="N15" s="42" t="s">
        <v>138</v>
      </c>
    </row>
    <row r="16" spans="1:14" ht="15.95" customHeight="1">
      <c r="A16" s="43" t="s">
        <v>1569</v>
      </c>
      <c r="B16" s="43" t="s">
        <v>511</v>
      </c>
      <c r="C16" s="43" t="s">
        <v>1574</v>
      </c>
      <c r="D16" s="43" t="s">
        <v>620</v>
      </c>
      <c r="E16" s="43" t="s">
        <v>1564</v>
      </c>
      <c r="F16" s="44">
        <v>0</v>
      </c>
      <c r="G16" s="44">
        <v>0</v>
      </c>
      <c r="H16" s="44">
        <v>-394852595</v>
      </c>
      <c r="I16" s="44">
        <v>-394852595</v>
      </c>
      <c r="K16" s="46" t="s">
        <v>33</v>
      </c>
      <c r="L16" s="47">
        <f t="shared" si="0"/>
        <v>14535638</v>
      </c>
      <c r="N16" s="42" t="s">
        <v>145</v>
      </c>
    </row>
    <row r="17" spans="1:12" ht="15.95" customHeight="1">
      <c r="A17" s="43" t="s">
        <v>1575</v>
      </c>
      <c r="B17" s="43" t="s">
        <v>1576</v>
      </c>
      <c r="C17" s="43" t="s">
        <v>1577</v>
      </c>
      <c r="D17" s="43" t="s">
        <v>24</v>
      </c>
      <c r="E17" s="43" t="s">
        <v>1564</v>
      </c>
      <c r="F17" s="44">
        <v>0</v>
      </c>
      <c r="G17" s="44">
        <v>57500000</v>
      </c>
      <c r="H17" s="44">
        <v>0</v>
      </c>
      <c r="I17" s="44">
        <v>57500000</v>
      </c>
      <c r="K17" s="42" t="s">
        <v>427</v>
      </c>
      <c r="L17" s="45">
        <f t="shared" si="0"/>
        <v>20182087945</v>
      </c>
    </row>
    <row r="18" spans="1:12" ht="18" customHeight="1">
      <c r="A18" s="43" t="s">
        <v>1575</v>
      </c>
      <c r="B18" s="43" t="s">
        <v>1576</v>
      </c>
      <c r="C18" s="43" t="s">
        <v>1563</v>
      </c>
      <c r="D18" s="43" t="s">
        <v>26</v>
      </c>
      <c r="E18" s="43" t="s">
        <v>1564</v>
      </c>
      <c r="F18" s="44">
        <v>95463378</v>
      </c>
      <c r="G18" s="44">
        <v>-716736</v>
      </c>
      <c r="H18" s="44">
        <v>11919853</v>
      </c>
      <c r="I18" s="44">
        <v>82826789</v>
      </c>
      <c r="K18"/>
    </row>
    <row r="19" spans="1:12" ht="18" customHeight="1">
      <c r="A19" s="43" t="s">
        <v>1575</v>
      </c>
      <c r="B19" s="43" t="s">
        <v>1576</v>
      </c>
      <c r="C19" s="43" t="s">
        <v>1578</v>
      </c>
      <c r="D19" s="43" t="s">
        <v>33</v>
      </c>
      <c r="E19" s="43" t="s">
        <v>1564</v>
      </c>
      <c r="F19" s="44">
        <v>0</v>
      </c>
      <c r="G19" s="44">
        <v>15494615</v>
      </c>
      <c r="H19" s="44">
        <v>958977</v>
      </c>
      <c r="I19" s="44">
        <v>14535638</v>
      </c>
      <c r="K19"/>
    </row>
    <row r="20" spans="1:12" ht="18" customHeight="1">
      <c r="A20" s="43" t="s">
        <v>1575</v>
      </c>
      <c r="B20" s="43" t="s">
        <v>1576</v>
      </c>
      <c r="C20" s="43" t="s">
        <v>1572</v>
      </c>
      <c r="D20" s="43" t="s">
        <v>615</v>
      </c>
      <c r="E20" s="43" t="s">
        <v>1564</v>
      </c>
      <c r="F20" s="44">
        <v>0</v>
      </c>
      <c r="G20" s="44">
        <v>0</v>
      </c>
      <c r="H20" s="44">
        <v>-23990175</v>
      </c>
      <c r="I20" s="44">
        <v>-23990175</v>
      </c>
      <c r="K20"/>
    </row>
    <row r="21" spans="1:12" ht="18" customHeight="1">
      <c r="A21" s="43" t="s">
        <v>1579</v>
      </c>
      <c r="B21" s="43" t="s">
        <v>515</v>
      </c>
      <c r="C21" s="43" t="s">
        <v>1573</v>
      </c>
      <c r="D21" s="43" t="s">
        <v>619</v>
      </c>
      <c r="E21" s="43" t="s">
        <v>1564</v>
      </c>
      <c r="F21" s="44">
        <v>0</v>
      </c>
      <c r="G21" s="44">
        <v>0</v>
      </c>
      <c r="H21" s="44">
        <v>160439443</v>
      </c>
      <c r="I21" s="44">
        <v>160439443</v>
      </c>
      <c r="K21"/>
    </row>
    <row r="22" spans="1:12" ht="18" customHeight="1">
      <c r="A22" s="43"/>
      <c r="B22" s="43"/>
      <c r="C22" s="43"/>
      <c r="D22" s="43" t="s">
        <v>427</v>
      </c>
      <c r="E22" s="43"/>
      <c r="F22" s="44">
        <v>15949104311</v>
      </c>
      <c r="G22" s="44">
        <v>8089245181</v>
      </c>
      <c r="H22" s="44">
        <v>4862366837</v>
      </c>
      <c r="I22" s="44">
        <v>20182087945</v>
      </c>
      <c r="K22"/>
    </row>
    <row r="23" spans="1:12" ht="15.95" customHeight="1">
      <c r="E23" s="42" t="s">
        <v>1580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FFFF00"/>
  </sheetPr>
  <dimension ref="D1:W318"/>
  <sheetViews>
    <sheetView showGridLines="0" zoomScale="85" zoomScaleNormal="85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ColWidth="8.75" defaultRowHeight="18" customHeight="1"/>
  <cols>
    <col min="1" max="3" width="2.375" style="498" customWidth="1"/>
    <col min="4" max="4" width="14.125" style="498" customWidth="1"/>
    <col min="5" max="5" width="32.375" style="498" bestFit="1" customWidth="1"/>
    <col min="6" max="8" width="14.125" style="498" customWidth="1"/>
    <col min="9" max="9" width="2.625" style="498" customWidth="1"/>
    <col min="10" max="10" width="11.25" style="1024" customWidth="1"/>
    <col min="11" max="11" width="18.375" style="498" bestFit="1" customWidth="1"/>
    <col min="12" max="13" width="14.125" style="498" customWidth="1"/>
    <col min="14" max="14" width="22.875" style="498" bestFit="1" customWidth="1"/>
    <col min="15" max="15" width="2.625" style="498" customWidth="1"/>
    <col min="16" max="16" width="25.125" style="498" bestFit="1" customWidth="1"/>
    <col min="17" max="17" width="18" style="498" customWidth="1"/>
    <col min="18" max="18" width="14.25" style="498" bestFit="1" customWidth="1"/>
    <col min="19" max="19" width="2.625" style="498" customWidth="1"/>
    <col min="20" max="20" width="10.25" style="498" customWidth="1"/>
    <col min="21" max="21" width="29.625" style="566" customWidth="1"/>
    <col min="22" max="22" width="25.5" style="566" customWidth="1"/>
    <col min="23" max="23" width="14" style="1025" customWidth="1"/>
    <col min="24" max="24" width="9.625" style="498" customWidth="1"/>
    <col min="25" max="25" width="8.875" style="498" bestFit="1" customWidth="1"/>
    <col min="26" max="16384" width="8.75" style="498"/>
  </cols>
  <sheetData>
    <row r="1" spans="4:23" ht="18" customHeight="1">
      <c r="H1" s="1023"/>
    </row>
    <row r="2" spans="4:23" ht="18" customHeight="1">
      <c r="H2" s="2004"/>
    </row>
    <row r="3" spans="4:23" ht="18" customHeight="1">
      <c r="H3" s="1660" t="b">
        <f>H4+H212=0</f>
        <v>1</v>
      </c>
      <c r="R3" s="540" t="b">
        <f>+L4+L25-M59=R4</f>
        <v>1</v>
      </c>
    </row>
    <row r="4" spans="4:23" ht="18" customHeight="1" thickBot="1">
      <c r="D4" s="1026" t="s">
        <v>407</v>
      </c>
      <c r="F4" s="540" t="b">
        <f>F210+F318=L4</f>
        <v>1</v>
      </c>
      <c r="G4" s="540" t="b">
        <f>G210+G318=M4</f>
        <v>1</v>
      </c>
      <c r="H4" s="498">
        <f>ROUND(SUM(H5:H209),)</f>
        <v>-1824873276</v>
      </c>
      <c r="L4" s="494">
        <f>SUM(L6:L60)</f>
        <v>5682526498</v>
      </c>
      <c r="M4" s="494">
        <f>SUM(M6:M60)</f>
        <v>5682526498</v>
      </c>
      <c r="N4" s="540" t="b">
        <f>L4=M4</f>
        <v>1</v>
      </c>
      <c r="P4" s="524" t="s">
        <v>2323</v>
      </c>
      <c r="R4" s="494">
        <f>SUM(R6:R29)</f>
        <v>5682059831</v>
      </c>
      <c r="S4" s="540"/>
      <c r="T4" s="524" t="s">
        <v>2323</v>
      </c>
    </row>
    <row r="5" spans="4:23" s="494" customFormat="1" ht="18" customHeight="1">
      <c r="D5" s="1027" t="s">
        <v>16</v>
      </c>
      <c r="E5" s="1028" t="s">
        <v>19</v>
      </c>
      <c r="F5" s="1028" t="s">
        <v>404</v>
      </c>
      <c r="G5" s="1028" t="s">
        <v>405</v>
      </c>
      <c r="H5" s="1029" t="s">
        <v>406</v>
      </c>
      <c r="J5" s="1030" t="s">
        <v>16</v>
      </c>
      <c r="K5" s="1031" t="s">
        <v>1772</v>
      </c>
      <c r="L5" s="1031" t="s">
        <v>1910</v>
      </c>
      <c r="M5" s="1031" t="s">
        <v>1911</v>
      </c>
      <c r="N5" s="1032" t="s">
        <v>1765</v>
      </c>
      <c r="P5" s="1033" t="s">
        <v>1551</v>
      </c>
      <c r="Q5" s="1034" t="s">
        <v>541</v>
      </c>
      <c r="R5" s="1035" t="s">
        <v>1557</v>
      </c>
      <c r="T5" s="1036" t="s">
        <v>1550</v>
      </c>
      <c r="U5" s="1037" t="s">
        <v>1551</v>
      </c>
      <c r="V5" s="1037" t="s">
        <v>541</v>
      </c>
      <c r="W5" s="1038" t="s">
        <v>1557</v>
      </c>
    </row>
    <row r="6" spans="4:23" ht="18" customHeight="1">
      <c r="D6" s="1039"/>
      <c r="E6" s="1040" t="s">
        <v>0</v>
      </c>
      <c r="F6" s="1040"/>
      <c r="G6" s="1040"/>
      <c r="H6" s="1041"/>
      <c r="J6" s="1042">
        <v>111731</v>
      </c>
      <c r="K6" s="925" t="s">
        <v>26</v>
      </c>
      <c r="L6" s="1043">
        <v>0</v>
      </c>
      <c r="M6" s="1044">
        <f>+R6</f>
        <v>26966700</v>
      </c>
      <c r="N6" s="1045" t="s">
        <v>15</v>
      </c>
      <c r="O6" s="575"/>
      <c r="P6" s="1046" t="s">
        <v>1562</v>
      </c>
      <c r="Q6" s="1047" t="s">
        <v>26</v>
      </c>
      <c r="R6" s="1048">
        <f>W7</f>
        <v>26966700</v>
      </c>
      <c r="S6" s="575"/>
      <c r="T6" s="1049" t="s">
        <v>1561</v>
      </c>
      <c r="U6" s="1050" t="s">
        <v>1562</v>
      </c>
      <c r="V6" s="1050" t="s">
        <v>22</v>
      </c>
      <c r="W6" s="1051">
        <v>-128173451</v>
      </c>
    </row>
    <row r="7" spans="4:23" ht="18" customHeight="1">
      <c r="D7" s="1052"/>
      <c r="E7" s="995" t="s">
        <v>20</v>
      </c>
      <c r="F7" s="995"/>
      <c r="G7" s="995"/>
      <c r="H7" s="1053"/>
      <c r="J7" s="1054">
        <v>211111</v>
      </c>
      <c r="K7" s="1055" t="s">
        <v>2603</v>
      </c>
      <c r="L7" s="1056">
        <f>+M6</f>
        <v>26966700</v>
      </c>
      <c r="M7" s="1056">
        <v>0</v>
      </c>
      <c r="N7" s="1057" t="s">
        <v>1562</v>
      </c>
      <c r="O7" s="575"/>
      <c r="P7" s="1058" t="s">
        <v>1566</v>
      </c>
      <c r="Q7" s="1059" t="s">
        <v>139</v>
      </c>
      <c r="R7" s="1060">
        <v>0</v>
      </c>
      <c r="S7" s="575"/>
      <c r="T7" s="1061" t="s">
        <v>1561</v>
      </c>
      <c r="U7" s="1062" t="s">
        <v>1562</v>
      </c>
      <c r="V7" s="1062" t="s">
        <v>26</v>
      </c>
      <c r="W7" s="1063">
        <v>26966700</v>
      </c>
    </row>
    <row r="8" spans="4:23" ht="18" customHeight="1">
      <c r="D8" s="1064"/>
      <c r="E8" s="1065" t="s">
        <v>1</v>
      </c>
      <c r="F8" s="1065"/>
      <c r="G8" s="1065"/>
      <c r="H8" s="1066"/>
      <c r="J8" s="1042">
        <v>211121</v>
      </c>
      <c r="K8" s="925" t="s">
        <v>139</v>
      </c>
      <c r="L8" s="1044">
        <f>+R7</f>
        <v>0</v>
      </c>
      <c r="M8" s="1043">
        <v>0</v>
      </c>
      <c r="N8" s="1045" t="s">
        <v>15</v>
      </c>
      <c r="O8" s="575"/>
      <c r="P8" s="1046" t="s">
        <v>1566</v>
      </c>
      <c r="Q8" s="1069" t="s">
        <v>26</v>
      </c>
      <c r="R8" s="1048">
        <v>0</v>
      </c>
      <c r="S8" s="575"/>
      <c r="T8" s="1061" t="s">
        <v>1561</v>
      </c>
      <c r="U8" s="1062" t="s">
        <v>1562</v>
      </c>
      <c r="V8" s="1062" t="s">
        <v>526</v>
      </c>
      <c r="W8" s="1063">
        <v>9773508262</v>
      </c>
    </row>
    <row r="9" spans="4:23" ht="18" customHeight="1">
      <c r="D9" s="1070">
        <v>111151</v>
      </c>
      <c r="E9" s="552" t="s">
        <v>21</v>
      </c>
      <c r="F9" s="552">
        <f>SUMIF($J:$J,$D9,L:L)</f>
        <v>0</v>
      </c>
      <c r="G9" s="552">
        <f>SUMIF($J:$J,$D9,M:M)</f>
        <v>0</v>
      </c>
      <c r="H9" s="1071">
        <f>F9-G9</f>
        <v>0</v>
      </c>
      <c r="J9" s="1135">
        <v>111731</v>
      </c>
      <c r="K9" s="1136" t="s">
        <v>26</v>
      </c>
      <c r="L9" s="1807">
        <v>0</v>
      </c>
      <c r="M9" s="1807">
        <f>+L8</f>
        <v>0</v>
      </c>
      <c r="N9" s="1138" t="s">
        <v>1566</v>
      </c>
      <c r="O9" s="575"/>
      <c r="P9" s="1046" t="s">
        <v>1566</v>
      </c>
      <c r="Q9" s="1069" t="s">
        <v>145</v>
      </c>
      <c r="R9" s="1048">
        <f t="shared" ref="R9:R14" si="0">W16</f>
        <v>8515800</v>
      </c>
      <c r="S9" s="575"/>
      <c r="T9" s="1072" t="s">
        <v>1565</v>
      </c>
      <c r="U9" s="1073" t="s">
        <v>1566</v>
      </c>
      <c r="V9" s="1073" t="s">
        <v>21</v>
      </c>
      <c r="W9" s="1074">
        <v>-10690187</v>
      </c>
    </row>
    <row r="10" spans="4:23" ht="18" customHeight="1">
      <c r="D10" s="1070">
        <v>111171</v>
      </c>
      <c r="E10" s="552" t="s">
        <v>22</v>
      </c>
      <c r="F10" s="552">
        <f>SUMIF($J:$J,$D10,L:L)</f>
        <v>0</v>
      </c>
      <c r="G10" s="552">
        <f>SUMIF($J:$J,$D10,M:M)</f>
        <v>0</v>
      </c>
      <c r="H10" s="1071">
        <f>F10-G10</f>
        <v>0</v>
      </c>
      <c r="J10" s="1042">
        <v>111731</v>
      </c>
      <c r="K10" s="925" t="s">
        <v>26</v>
      </c>
      <c r="L10" s="1043">
        <v>0</v>
      </c>
      <c r="M10" s="1044">
        <f>+R8</f>
        <v>0</v>
      </c>
      <c r="N10" s="1045" t="s">
        <v>15</v>
      </c>
      <c r="O10" s="575"/>
      <c r="P10" s="1046" t="s">
        <v>1566</v>
      </c>
      <c r="Q10" s="1069" t="s">
        <v>614</v>
      </c>
      <c r="R10" s="1048">
        <f t="shared" si="0"/>
        <v>4957003</v>
      </c>
      <c r="S10" s="575"/>
      <c r="T10" s="1076" t="s">
        <v>1565</v>
      </c>
      <c r="U10" s="1077" t="s">
        <v>1566</v>
      </c>
      <c r="V10" s="1077" t="s">
        <v>22</v>
      </c>
      <c r="W10" s="1078">
        <v>-7345571510</v>
      </c>
    </row>
    <row r="11" spans="4:23" ht="18" customHeight="1">
      <c r="D11" s="1064"/>
      <c r="E11" s="1065" t="s">
        <v>23</v>
      </c>
      <c r="F11" s="1065"/>
      <c r="G11" s="1065"/>
      <c r="H11" s="1066"/>
      <c r="J11" s="1054">
        <v>211121</v>
      </c>
      <c r="K11" s="1055" t="s">
        <v>139</v>
      </c>
      <c r="L11" s="1056">
        <f>+M10</f>
        <v>0</v>
      </c>
      <c r="M11" s="1056">
        <v>0</v>
      </c>
      <c r="N11" s="1057" t="s">
        <v>1566</v>
      </c>
      <c r="O11" s="575"/>
      <c r="P11" s="1046" t="s">
        <v>1566</v>
      </c>
      <c r="Q11" s="1069" t="s">
        <v>619</v>
      </c>
      <c r="R11" s="1048">
        <f t="shared" si="0"/>
        <v>2628025</v>
      </c>
      <c r="S11" s="575"/>
      <c r="T11" s="1076" t="s">
        <v>1565</v>
      </c>
      <c r="U11" s="1077" t="s">
        <v>1566</v>
      </c>
      <c r="V11" s="1077" t="s">
        <v>43</v>
      </c>
      <c r="W11" s="1078">
        <v>8007136905</v>
      </c>
    </row>
    <row r="12" spans="4:23" ht="18" customHeight="1">
      <c r="D12" s="1070">
        <v>111711</v>
      </c>
      <c r="E12" s="552" t="s">
        <v>24</v>
      </c>
      <c r="F12" s="552">
        <f t="shared" ref="F12:F29" si="1">SUMIF($J:$J,$D12,L:L)</f>
        <v>0</v>
      </c>
      <c r="G12" s="552">
        <f t="shared" ref="G12:G29" si="2">SUMIF($J:$J,$D12,M:M)</f>
        <v>198945300</v>
      </c>
      <c r="H12" s="1071">
        <f t="shared" ref="H12:H29" si="3">F12-G12</f>
        <v>-198945300</v>
      </c>
      <c r="J12" s="1042">
        <v>213150</v>
      </c>
      <c r="K12" s="925" t="s">
        <v>145</v>
      </c>
      <c r="L12" s="1044">
        <f>R9</f>
        <v>8515800</v>
      </c>
      <c r="M12" s="1079">
        <f>L13</f>
        <v>0</v>
      </c>
      <c r="N12" s="1045" t="s">
        <v>15</v>
      </c>
      <c r="O12" s="575"/>
      <c r="P12" s="1046" t="s">
        <v>1566</v>
      </c>
      <c r="Q12" s="1069" t="s">
        <v>2277</v>
      </c>
      <c r="R12" s="1048">
        <f t="shared" si="0"/>
        <v>367046</v>
      </c>
      <c r="S12" s="575"/>
      <c r="T12" s="1076" t="s">
        <v>1565</v>
      </c>
      <c r="U12" s="1077" t="s">
        <v>1566</v>
      </c>
      <c r="V12" s="1077" t="s">
        <v>47</v>
      </c>
      <c r="W12" s="1078">
        <v>23264488</v>
      </c>
    </row>
    <row r="13" spans="4:23" ht="18" customHeight="1">
      <c r="D13" s="1080">
        <v>111712</v>
      </c>
      <c r="E13" s="668" t="s">
        <v>25</v>
      </c>
      <c r="F13" s="668">
        <f t="shared" si="1"/>
        <v>0</v>
      </c>
      <c r="G13" s="668">
        <f t="shared" si="2"/>
        <v>0</v>
      </c>
      <c r="H13" s="1081">
        <f t="shared" si="3"/>
        <v>0</v>
      </c>
      <c r="J13" s="1042">
        <v>111711</v>
      </c>
      <c r="K13" s="925" t="s">
        <v>24</v>
      </c>
      <c r="L13" s="1043">
        <v>0</v>
      </c>
      <c r="M13" s="1079">
        <f>L12</f>
        <v>8515800</v>
      </c>
      <c r="N13" s="1045" t="s">
        <v>1566</v>
      </c>
      <c r="O13" s="575"/>
      <c r="P13" s="1046" t="s">
        <v>1566</v>
      </c>
      <c r="Q13" s="1069" t="s">
        <v>2361</v>
      </c>
      <c r="R13" s="1048">
        <f t="shared" si="0"/>
        <v>308877600</v>
      </c>
      <c r="S13" s="575"/>
      <c r="T13" s="1076" t="s">
        <v>1565</v>
      </c>
      <c r="U13" s="1077" t="s">
        <v>1566</v>
      </c>
      <c r="V13" s="1077" t="s">
        <v>49</v>
      </c>
      <c r="W13" s="1078">
        <v>81543220</v>
      </c>
    </row>
    <row r="14" spans="4:23" ht="18" customHeight="1">
      <c r="D14" s="1080">
        <v>111731</v>
      </c>
      <c r="E14" s="668" t="s">
        <v>26</v>
      </c>
      <c r="F14" s="668">
        <f t="shared" si="1"/>
        <v>0</v>
      </c>
      <c r="G14" s="668">
        <f t="shared" si="2"/>
        <v>657672109</v>
      </c>
      <c r="H14" s="1081">
        <f t="shared" si="3"/>
        <v>-657672109</v>
      </c>
      <c r="J14" s="1082">
        <v>410130</v>
      </c>
      <c r="K14" s="1083" t="s">
        <v>614</v>
      </c>
      <c r="L14" s="1075">
        <f>R10</f>
        <v>4957003</v>
      </c>
      <c r="M14" s="1084">
        <v>0</v>
      </c>
      <c r="N14" s="1085" t="s">
        <v>15</v>
      </c>
      <c r="O14" s="575"/>
      <c r="P14" s="1046" t="s">
        <v>1566</v>
      </c>
      <c r="Q14" s="1069" t="s">
        <v>2273</v>
      </c>
      <c r="R14" s="1048">
        <f t="shared" si="0"/>
        <v>77553600</v>
      </c>
      <c r="S14" s="575"/>
      <c r="T14" s="1076" t="s">
        <v>1565</v>
      </c>
      <c r="U14" s="1077" t="s">
        <v>1566</v>
      </c>
      <c r="V14" s="1077" t="s">
        <v>51</v>
      </c>
      <c r="W14" s="1078">
        <v>-369036073</v>
      </c>
    </row>
    <row r="15" spans="4:23" ht="18" customHeight="1">
      <c r="D15" s="1080">
        <v>111732</v>
      </c>
      <c r="E15" s="668" t="s">
        <v>27</v>
      </c>
      <c r="F15" s="668">
        <f t="shared" si="1"/>
        <v>0</v>
      </c>
      <c r="G15" s="668">
        <f t="shared" si="2"/>
        <v>0</v>
      </c>
      <c r="H15" s="1081">
        <f t="shared" si="3"/>
        <v>0</v>
      </c>
      <c r="J15" s="1086">
        <v>410240</v>
      </c>
      <c r="K15" s="1087" t="s">
        <v>619</v>
      </c>
      <c r="L15" s="1044">
        <f>R11</f>
        <v>2628025</v>
      </c>
      <c r="M15" s="1079">
        <v>0</v>
      </c>
      <c r="N15" s="1045" t="s">
        <v>15</v>
      </c>
      <c r="O15" s="575"/>
      <c r="P15" s="1058" t="s">
        <v>515</v>
      </c>
      <c r="Q15" s="1059" t="s">
        <v>24</v>
      </c>
      <c r="R15" s="1060">
        <f>W27</f>
        <v>57500000</v>
      </c>
      <c r="S15" s="575"/>
      <c r="T15" s="1076" t="s">
        <v>1565</v>
      </c>
      <c r="U15" s="1077" t="s">
        <v>1566</v>
      </c>
      <c r="V15" s="1077" t="s">
        <v>92</v>
      </c>
      <c r="W15" s="1078">
        <v>20764032</v>
      </c>
    </row>
    <row r="16" spans="4:23" ht="18" customHeight="1">
      <c r="D16" s="1080">
        <v>111761</v>
      </c>
      <c r="E16" s="668" t="s">
        <v>28</v>
      </c>
      <c r="F16" s="668">
        <f t="shared" si="1"/>
        <v>0</v>
      </c>
      <c r="G16" s="668">
        <f t="shared" si="2"/>
        <v>0</v>
      </c>
      <c r="H16" s="1081">
        <f t="shared" si="3"/>
        <v>0</v>
      </c>
      <c r="J16" s="1086">
        <v>410899</v>
      </c>
      <c r="K16" s="1087" t="s">
        <v>237</v>
      </c>
      <c r="L16" s="1044">
        <f>R12</f>
        <v>367046</v>
      </c>
      <c r="M16" s="1079">
        <v>0</v>
      </c>
      <c r="N16" s="1045" t="s">
        <v>15</v>
      </c>
      <c r="O16" s="575"/>
      <c r="P16" s="1046" t="s">
        <v>515</v>
      </c>
      <c r="Q16" s="1069" t="s">
        <v>26</v>
      </c>
      <c r="R16" s="1088">
        <f>W28</f>
        <v>630705409</v>
      </c>
      <c r="S16" s="575"/>
      <c r="T16" s="1076" t="s">
        <v>1565</v>
      </c>
      <c r="U16" s="1077" t="s">
        <v>1566</v>
      </c>
      <c r="V16" s="1077" t="s">
        <v>145</v>
      </c>
      <c r="W16" s="1078">
        <v>8515800</v>
      </c>
    </row>
    <row r="17" spans="4:23" ht="18" customHeight="1">
      <c r="D17" s="1080">
        <v>111762</v>
      </c>
      <c r="E17" s="668" t="s">
        <v>29</v>
      </c>
      <c r="F17" s="668">
        <f t="shared" si="1"/>
        <v>0</v>
      </c>
      <c r="G17" s="668">
        <f t="shared" si="2"/>
        <v>0</v>
      </c>
      <c r="H17" s="1081">
        <f t="shared" si="3"/>
        <v>0</v>
      </c>
      <c r="J17" s="1042">
        <v>420090</v>
      </c>
      <c r="K17" s="1089" t="s">
        <v>2402</v>
      </c>
      <c r="L17" s="1079">
        <v>0</v>
      </c>
      <c r="M17" s="1079">
        <f>L14</f>
        <v>4957003</v>
      </c>
      <c r="N17" s="1045" t="s">
        <v>1566</v>
      </c>
      <c r="O17" s="575"/>
      <c r="P17" s="1046" t="s">
        <v>515</v>
      </c>
      <c r="Q17" s="1069" t="s">
        <v>614</v>
      </c>
      <c r="R17" s="1048">
        <f>+W29</f>
        <v>1112741366</v>
      </c>
      <c r="S17" s="575"/>
      <c r="T17" s="1076" t="s">
        <v>1565</v>
      </c>
      <c r="U17" s="1077" t="s">
        <v>1566</v>
      </c>
      <c r="V17" s="1077" t="s">
        <v>614</v>
      </c>
      <c r="W17" s="1078">
        <v>4957003</v>
      </c>
    </row>
    <row r="18" spans="4:23" ht="18" customHeight="1">
      <c r="D18" s="1080">
        <v>111763</v>
      </c>
      <c r="E18" s="668" t="s">
        <v>30</v>
      </c>
      <c r="F18" s="668">
        <f t="shared" si="1"/>
        <v>0</v>
      </c>
      <c r="G18" s="668">
        <f t="shared" si="2"/>
        <v>0</v>
      </c>
      <c r="H18" s="1081">
        <f t="shared" si="3"/>
        <v>0</v>
      </c>
      <c r="J18" s="1054">
        <v>640000</v>
      </c>
      <c r="K18" s="1090" t="s">
        <v>2280</v>
      </c>
      <c r="L18" s="1091">
        <v>0</v>
      </c>
      <c r="M18" s="1091">
        <f>L15+L16</f>
        <v>2995071</v>
      </c>
      <c r="N18" s="1057" t="s">
        <v>1566</v>
      </c>
      <c r="O18" s="575"/>
      <c r="P18" s="1046" t="s">
        <v>515</v>
      </c>
      <c r="Q18" s="1069" t="s">
        <v>619</v>
      </c>
      <c r="R18" s="1048">
        <v>0</v>
      </c>
      <c r="S18" s="575"/>
      <c r="T18" s="1076" t="s">
        <v>1565</v>
      </c>
      <c r="U18" s="1077" t="s">
        <v>1566</v>
      </c>
      <c r="V18" s="1077" t="s">
        <v>619</v>
      </c>
      <c r="W18" s="1078">
        <v>2628025</v>
      </c>
    </row>
    <row r="19" spans="4:23" ht="18" customHeight="1">
      <c r="D19" s="1080">
        <v>111911</v>
      </c>
      <c r="E19" s="668" t="s">
        <v>31</v>
      </c>
      <c r="F19" s="668">
        <f t="shared" si="1"/>
        <v>0</v>
      </c>
      <c r="G19" s="668">
        <f t="shared" si="2"/>
        <v>0</v>
      </c>
      <c r="H19" s="1081">
        <f t="shared" si="3"/>
        <v>0</v>
      </c>
      <c r="J19" s="1086">
        <v>640000</v>
      </c>
      <c r="K19" s="1092" t="s">
        <v>296</v>
      </c>
      <c r="L19" s="1043">
        <v>0</v>
      </c>
      <c r="M19" s="1044">
        <f>R13</f>
        <v>308877600</v>
      </c>
      <c r="N19" s="1045" t="s">
        <v>15</v>
      </c>
      <c r="O19" s="575"/>
      <c r="P19" s="1046" t="s">
        <v>515</v>
      </c>
      <c r="Q19" s="1069" t="s">
        <v>2826</v>
      </c>
      <c r="R19" s="1048">
        <v>0</v>
      </c>
      <c r="S19" s="575"/>
      <c r="T19" s="1076" t="s">
        <v>1565</v>
      </c>
      <c r="U19" s="1077" t="s">
        <v>1566</v>
      </c>
      <c r="V19" s="1077" t="s">
        <v>2277</v>
      </c>
      <c r="W19" s="1078">
        <v>367046</v>
      </c>
    </row>
    <row r="20" spans="4:23" ht="18" customHeight="1">
      <c r="D20" s="1080">
        <v>111912</v>
      </c>
      <c r="E20" s="668" t="s">
        <v>2395</v>
      </c>
      <c r="F20" s="668">
        <f t="shared" si="1"/>
        <v>1500000000</v>
      </c>
      <c r="G20" s="668">
        <f t="shared" si="2"/>
        <v>1500000000</v>
      </c>
      <c r="H20" s="1081">
        <f t="shared" ref="H20:H28" si="4">F20-G20</f>
        <v>0</v>
      </c>
      <c r="J20" s="1086">
        <v>647000</v>
      </c>
      <c r="K20" s="1092" t="s">
        <v>308</v>
      </c>
      <c r="L20" s="1043">
        <v>0</v>
      </c>
      <c r="M20" s="1044">
        <f>+R14</f>
        <v>77553600</v>
      </c>
      <c r="N20" s="1045" t="s">
        <v>15</v>
      </c>
      <c r="O20" s="575"/>
      <c r="P20" s="1046" t="s">
        <v>515</v>
      </c>
      <c r="Q20" s="1069" t="s">
        <v>318</v>
      </c>
      <c r="R20" s="1048">
        <v>0</v>
      </c>
      <c r="S20" s="575"/>
      <c r="T20" s="1076" t="s">
        <v>1565</v>
      </c>
      <c r="U20" s="1077" t="s">
        <v>1566</v>
      </c>
      <c r="V20" s="1077" t="s">
        <v>2361</v>
      </c>
      <c r="W20" s="1078">
        <v>308877600</v>
      </c>
    </row>
    <row r="21" spans="4:23" ht="18" customHeight="1">
      <c r="D21" s="1080" t="s">
        <v>1688</v>
      </c>
      <c r="E21" s="668" t="s">
        <v>1548</v>
      </c>
      <c r="F21" s="668">
        <f t="shared" si="1"/>
        <v>0</v>
      </c>
      <c r="G21" s="668">
        <f t="shared" si="2"/>
        <v>0</v>
      </c>
      <c r="H21" s="1081">
        <f t="shared" si="4"/>
        <v>0</v>
      </c>
      <c r="J21" s="1096">
        <v>410899</v>
      </c>
      <c r="K21" s="1090" t="s">
        <v>237</v>
      </c>
      <c r="L21" s="1091">
        <f>M19+M20</f>
        <v>386431200</v>
      </c>
      <c r="M21" s="1091">
        <v>0</v>
      </c>
      <c r="N21" s="1057" t="s">
        <v>1566</v>
      </c>
      <c r="O21" s="575"/>
      <c r="P21" s="1093" t="s">
        <v>2081</v>
      </c>
      <c r="Q21" s="1094" t="s">
        <v>60</v>
      </c>
      <c r="R21" s="1095">
        <f>W32</f>
        <v>284268252</v>
      </c>
      <c r="S21" s="575"/>
      <c r="T21" s="1076" t="s">
        <v>1565</v>
      </c>
      <c r="U21" s="1077" t="s">
        <v>1566</v>
      </c>
      <c r="V21" s="1077" t="s">
        <v>2273</v>
      </c>
      <c r="W21" s="1078">
        <v>77553600</v>
      </c>
    </row>
    <row r="22" spans="4:23" ht="18" customHeight="1">
      <c r="D22" s="1080">
        <v>112111</v>
      </c>
      <c r="E22" s="668" t="s">
        <v>32</v>
      </c>
      <c r="F22" s="668">
        <f t="shared" si="1"/>
        <v>0</v>
      </c>
      <c r="G22" s="668">
        <f t="shared" si="2"/>
        <v>0</v>
      </c>
      <c r="H22" s="1081">
        <f t="shared" si="4"/>
        <v>0</v>
      </c>
      <c r="J22" s="1067">
        <v>111711</v>
      </c>
      <c r="K22" s="1068" t="s">
        <v>24</v>
      </c>
      <c r="L22" s="1084">
        <v>0</v>
      </c>
      <c r="M22" s="1075">
        <f>R15</f>
        <v>57500000</v>
      </c>
      <c r="N22" s="1085" t="s">
        <v>15</v>
      </c>
      <c r="O22" s="575"/>
      <c r="P22" s="1046" t="s">
        <v>2081</v>
      </c>
      <c r="Q22" s="1047" t="s">
        <v>144</v>
      </c>
      <c r="R22" s="1048">
        <f>W35</f>
        <v>132929500</v>
      </c>
      <c r="S22" s="575"/>
      <c r="T22" s="1072" t="s">
        <v>1569</v>
      </c>
      <c r="U22" s="1073" t="s">
        <v>511</v>
      </c>
      <c r="V22" s="1073" t="s">
        <v>21</v>
      </c>
      <c r="W22" s="1074">
        <v>295774241</v>
      </c>
    </row>
    <row r="23" spans="4:23" ht="18" customHeight="1">
      <c r="D23" s="1080">
        <v>112113</v>
      </c>
      <c r="E23" s="668" t="s">
        <v>33</v>
      </c>
      <c r="F23" s="668">
        <f t="shared" si="1"/>
        <v>0</v>
      </c>
      <c r="G23" s="668">
        <f t="shared" si="2"/>
        <v>0</v>
      </c>
      <c r="H23" s="1081">
        <f t="shared" si="4"/>
        <v>0</v>
      </c>
      <c r="J23" s="1054">
        <v>213100</v>
      </c>
      <c r="K23" s="1055" t="s">
        <v>144</v>
      </c>
      <c r="L23" s="1091">
        <f>+M22</f>
        <v>57500000</v>
      </c>
      <c r="M23" s="1091">
        <v>0</v>
      </c>
      <c r="N23" s="1057" t="s">
        <v>515</v>
      </c>
      <c r="O23" s="575"/>
      <c r="P23" s="1046" t="s">
        <v>2081</v>
      </c>
      <c r="Q23" s="1047" t="s">
        <v>2400</v>
      </c>
      <c r="R23" s="1048">
        <f>W37</f>
        <v>1387873690</v>
      </c>
      <c r="S23" s="575"/>
      <c r="T23" s="1097" t="s">
        <v>1569</v>
      </c>
      <c r="U23" s="1098" t="s">
        <v>511</v>
      </c>
      <c r="V23" s="1098" t="s">
        <v>22</v>
      </c>
      <c r="W23" s="1099">
        <v>12936505186</v>
      </c>
    </row>
    <row r="24" spans="4:23" ht="18" customHeight="1">
      <c r="D24" s="1080">
        <v>112115</v>
      </c>
      <c r="E24" s="668" t="s">
        <v>34</v>
      </c>
      <c r="F24" s="668">
        <f t="shared" si="1"/>
        <v>0</v>
      </c>
      <c r="G24" s="668">
        <f t="shared" si="2"/>
        <v>0</v>
      </c>
      <c r="H24" s="1081">
        <f t="shared" si="4"/>
        <v>0</v>
      </c>
      <c r="J24" s="1067">
        <v>111731</v>
      </c>
      <c r="K24" s="1068" t="s">
        <v>26</v>
      </c>
      <c r="L24" s="1084">
        <v>0</v>
      </c>
      <c r="M24" s="1075">
        <f>R16</f>
        <v>630705409</v>
      </c>
      <c r="N24" s="1085" t="s">
        <v>15</v>
      </c>
      <c r="O24" s="575"/>
      <c r="P24" s="1046" t="s">
        <v>2081</v>
      </c>
      <c r="Q24" s="1047" t="s">
        <v>2401</v>
      </c>
      <c r="R24" s="1048">
        <f>W38</f>
        <v>24035100</v>
      </c>
      <c r="S24" s="575"/>
      <c r="T24" s="1076" t="s">
        <v>1569</v>
      </c>
      <c r="U24" s="1077" t="s">
        <v>511</v>
      </c>
      <c r="V24" s="1077" t="s">
        <v>179</v>
      </c>
      <c r="W24" s="1078">
        <v>-36000</v>
      </c>
    </row>
    <row r="25" spans="4:23" ht="18" customHeight="1">
      <c r="D25" s="1080">
        <v>112116</v>
      </c>
      <c r="E25" s="668" t="s">
        <v>35</v>
      </c>
      <c r="F25" s="668">
        <f t="shared" si="1"/>
        <v>0</v>
      </c>
      <c r="G25" s="668">
        <f t="shared" si="2"/>
        <v>0</v>
      </c>
      <c r="H25" s="1081">
        <f t="shared" si="4"/>
        <v>0</v>
      </c>
      <c r="J25" s="1086">
        <v>214364</v>
      </c>
      <c r="K25" s="1089" t="s">
        <v>2022</v>
      </c>
      <c r="L25" s="1044">
        <f>R19</f>
        <v>0</v>
      </c>
      <c r="M25" s="1043">
        <v>0</v>
      </c>
      <c r="N25" s="1045" t="s">
        <v>15</v>
      </c>
      <c r="O25" s="575"/>
      <c r="P25" s="1046" t="s">
        <v>2081</v>
      </c>
      <c r="Q25" s="1047" t="s">
        <v>2428</v>
      </c>
      <c r="R25" s="1048">
        <f>W39</f>
        <v>2500000</v>
      </c>
      <c r="S25" s="575"/>
      <c r="T25" s="1076" t="s">
        <v>1569</v>
      </c>
      <c r="U25" s="1077" t="s">
        <v>511</v>
      </c>
      <c r="V25" s="1077" t="s">
        <v>526</v>
      </c>
      <c r="W25" s="1078">
        <v>101649635</v>
      </c>
    </row>
    <row r="26" spans="4:23" ht="18" customHeight="1">
      <c r="D26" s="1080">
        <v>112300</v>
      </c>
      <c r="E26" s="668" t="s">
        <v>1823</v>
      </c>
      <c r="F26" s="668">
        <f t="shared" si="1"/>
        <v>0</v>
      </c>
      <c r="G26" s="668">
        <f t="shared" si="2"/>
        <v>0</v>
      </c>
      <c r="H26" s="1081">
        <f t="shared" si="4"/>
        <v>0</v>
      </c>
      <c r="J26" s="1086">
        <v>214250</v>
      </c>
      <c r="K26" s="1089" t="s">
        <v>1829</v>
      </c>
      <c r="L26" s="1043">
        <v>0</v>
      </c>
      <c r="M26" s="1043">
        <v>0</v>
      </c>
      <c r="N26" s="1045" t="s">
        <v>15</v>
      </c>
      <c r="O26" s="575"/>
      <c r="P26" s="1046" t="s">
        <v>2081</v>
      </c>
      <c r="Q26" s="1047" t="s">
        <v>2877</v>
      </c>
      <c r="R26" s="1048">
        <f>W40</f>
        <v>2000000</v>
      </c>
      <c r="S26" s="575"/>
      <c r="T26" s="1072" t="s">
        <v>1579</v>
      </c>
      <c r="U26" s="1073" t="s">
        <v>515</v>
      </c>
      <c r="V26" s="1073" t="s">
        <v>21</v>
      </c>
      <c r="W26" s="1074">
        <v>-29999999995</v>
      </c>
    </row>
    <row r="27" spans="4:23" ht="18" customHeight="1">
      <c r="D27" s="1080">
        <v>112301</v>
      </c>
      <c r="E27" s="668" t="s">
        <v>2396</v>
      </c>
      <c r="F27" s="668">
        <f t="shared" si="1"/>
        <v>43857535</v>
      </c>
      <c r="G27" s="668">
        <f t="shared" si="2"/>
        <v>43857535</v>
      </c>
      <c r="H27" s="1081">
        <f t="shared" si="4"/>
        <v>0</v>
      </c>
      <c r="J27" s="1054">
        <v>211111</v>
      </c>
      <c r="K27" s="1055" t="s">
        <v>138</v>
      </c>
      <c r="L27" s="1056">
        <f>M24-L25-L26</f>
        <v>630705409</v>
      </c>
      <c r="M27" s="1056">
        <v>0</v>
      </c>
      <c r="N27" s="1057" t="s">
        <v>515</v>
      </c>
      <c r="O27" s="575"/>
      <c r="P27" s="1046" t="s">
        <v>2081</v>
      </c>
      <c r="Q27" s="1047" t="s">
        <v>2487</v>
      </c>
      <c r="R27" s="1048">
        <f>1200000+18975000+5967110+200000+200000+200000+200000</f>
        <v>26942110</v>
      </c>
      <c r="S27" s="575"/>
      <c r="T27" s="1097" t="s">
        <v>1579</v>
      </c>
      <c r="U27" s="1098" t="s">
        <v>515</v>
      </c>
      <c r="V27" s="1098" t="s">
        <v>24</v>
      </c>
      <c r="W27" s="1100">
        <v>57500000</v>
      </c>
    </row>
    <row r="28" spans="4:23" ht="18" customHeight="1">
      <c r="D28" s="1080">
        <v>112302</v>
      </c>
      <c r="E28" s="668" t="s">
        <v>1824</v>
      </c>
      <c r="F28" s="668">
        <f t="shared" si="1"/>
        <v>0</v>
      </c>
      <c r="G28" s="668">
        <f t="shared" si="2"/>
        <v>0</v>
      </c>
      <c r="H28" s="1081">
        <f t="shared" si="4"/>
        <v>0</v>
      </c>
      <c r="J28" s="1067">
        <v>410240</v>
      </c>
      <c r="K28" s="1068" t="s">
        <v>619</v>
      </c>
      <c r="L28" s="1075">
        <f>R18</f>
        <v>0</v>
      </c>
      <c r="M28" s="1084">
        <v>0</v>
      </c>
      <c r="N28" s="1085" t="s">
        <v>15</v>
      </c>
      <c r="O28" s="575"/>
      <c r="P28" s="1046" t="s">
        <v>2081</v>
      </c>
      <c r="Q28" s="1047" t="s">
        <v>318</v>
      </c>
      <c r="R28" s="1048">
        <f>W41</f>
        <v>46841095</v>
      </c>
      <c r="S28" s="575"/>
      <c r="T28" s="1076" t="s">
        <v>1579</v>
      </c>
      <c r="U28" s="1077" t="s">
        <v>515</v>
      </c>
      <c r="V28" s="1077" t="s">
        <v>26</v>
      </c>
      <c r="W28" s="1101">
        <v>630705409</v>
      </c>
    </row>
    <row r="29" spans="4:23" ht="18" customHeight="1" thickBot="1">
      <c r="D29" s="1080">
        <v>113310</v>
      </c>
      <c r="E29" s="668" t="s">
        <v>37</v>
      </c>
      <c r="F29" s="552">
        <f t="shared" si="1"/>
        <v>0</v>
      </c>
      <c r="G29" s="552">
        <f t="shared" si="2"/>
        <v>0</v>
      </c>
      <c r="H29" s="1071">
        <f t="shared" si="3"/>
        <v>0</v>
      </c>
      <c r="J29" s="1054">
        <v>420199</v>
      </c>
      <c r="K29" s="1055" t="s">
        <v>242</v>
      </c>
      <c r="L29" s="1091">
        <v>0</v>
      </c>
      <c r="M29" s="1091">
        <f>+L28</f>
        <v>0</v>
      </c>
      <c r="N29" s="1057" t="s">
        <v>515</v>
      </c>
      <c r="O29" s="575"/>
      <c r="P29" s="1046" t="s">
        <v>2081</v>
      </c>
      <c r="Q29" s="1069" t="s">
        <v>2601</v>
      </c>
      <c r="R29" s="1048">
        <f>+W42</f>
        <v>1543857535</v>
      </c>
      <c r="S29" s="575"/>
      <c r="T29" s="1076" t="s">
        <v>1579</v>
      </c>
      <c r="U29" s="1077" t="s">
        <v>515</v>
      </c>
      <c r="V29" s="1077" t="s">
        <v>614</v>
      </c>
      <c r="W29" s="1101">
        <v>1112741366</v>
      </c>
    </row>
    <row r="30" spans="4:23" ht="18" customHeight="1">
      <c r="D30" s="1102"/>
      <c r="E30" s="1103" t="s">
        <v>38</v>
      </c>
      <c r="F30" s="1065"/>
      <c r="G30" s="1065"/>
      <c r="H30" s="1066"/>
      <c r="J30" s="1067">
        <v>410130</v>
      </c>
      <c r="K30" s="1068" t="s">
        <v>614</v>
      </c>
      <c r="L30" s="1075">
        <f>R17</f>
        <v>1112741366</v>
      </c>
      <c r="M30" s="1084">
        <v>0</v>
      </c>
      <c r="N30" s="1085" t="s">
        <v>15</v>
      </c>
      <c r="O30" s="575"/>
      <c r="P30" s="2058"/>
      <c r="Q30" s="2059"/>
      <c r="R30" s="2060"/>
      <c r="S30" s="575"/>
      <c r="T30" s="1106" t="s">
        <v>2019</v>
      </c>
      <c r="U30" s="1107" t="s">
        <v>2020</v>
      </c>
      <c r="V30" s="1107" t="s">
        <v>21</v>
      </c>
      <c r="W30" s="1108">
        <v>-198548000</v>
      </c>
    </row>
    <row r="31" spans="4:23" ht="18" customHeight="1">
      <c r="D31" s="1070">
        <v>111391</v>
      </c>
      <c r="E31" s="552" t="s">
        <v>39</v>
      </c>
      <c r="F31" s="552">
        <f t="shared" ref="F31:G34" si="5">SUMIF($J:$J,$D31,L:L)</f>
        <v>0</v>
      </c>
      <c r="G31" s="552">
        <f t="shared" si="5"/>
        <v>0</v>
      </c>
      <c r="H31" s="1071">
        <f>F31-G31</f>
        <v>0</v>
      </c>
      <c r="J31" s="1086">
        <v>646000</v>
      </c>
      <c r="K31" s="1092" t="s">
        <v>306</v>
      </c>
      <c r="L31" s="1043">
        <v>0</v>
      </c>
      <c r="M31" s="1079">
        <v>0</v>
      </c>
      <c r="N31" s="1045" t="s">
        <v>515</v>
      </c>
      <c r="O31" s="575"/>
      <c r="P31" s="1047"/>
      <c r="Q31" s="1069"/>
      <c r="R31" s="2061"/>
      <c r="S31" s="575"/>
      <c r="T31" s="1061" t="s">
        <v>2080</v>
      </c>
      <c r="U31" s="1062" t="s">
        <v>2081</v>
      </c>
      <c r="V31" s="1062" t="s">
        <v>32</v>
      </c>
      <c r="W31" s="1111">
        <v>56100000</v>
      </c>
    </row>
    <row r="32" spans="4:23" ht="18" customHeight="1">
      <c r="D32" s="1070">
        <v>111410</v>
      </c>
      <c r="E32" s="552" t="s">
        <v>40</v>
      </c>
      <c r="F32" s="552">
        <f t="shared" si="5"/>
        <v>0</v>
      </c>
      <c r="G32" s="552">
        <f t="shared" si="5"/>
        <v>0</v>
      </c>
      <c r="H32" s="1071">
        <f>F32-G32</f>
        <v>0</v>
      </c>
      <c r="J32" s="1054">
        <v>420090</v>
      </c>
      <c r="K32" s="1055" t="s">
        <v>240</v>
      </c>
      <c r="L32" s="1056">
        <v>0</v>
      </c>
      <c r="M32" s="1091">
        <f>L30-M31</f>
        <v>1112741366</v>
      </c>
      <c r="N32" s="1057" t="s">
        <v>515</v>
      </c>
      <c r="O32" s="740"/>
      <c r="P32" s="575"/>
      <c r="Q32" s="575"/>
      <c r="R32" s="575"/>
      <c r="S32" s="575"/>
      <c r="T32" s="1061" t="s">
        <v>2080</v>
      </c>
      <c r="U32" s="1062" t="s">
        <v>2081</v>
      </c>
      <c r="V32" s="1062" t="s">
        <v>60</v>
      </c>
      <c r="W32" s="1111">
        <v>284268252</v>
      </c>
    </row>
    <row r="33" spans="4:23" ht="18" customHeight="1">
      <c r="D33" s="1112" t="s">
        <v>219</v>
      </c>
      <c r="E33" s="552" t="s">
        <v>41</v>
      </c>
      <c r="F33" s="552">
        <f t="shared" si="5"/>
        <v>0</v>
      </c>
      <c r="G33" s="552">
        <f t="shared" si="5"/>
        <v>0</v>
      </c>
      <c r="H33" s="1071">
        <f>F33-G33</f>
        <v>0</v>
      </c>
      <c r="J33" s="1042">
        <v>711191</v>
      </c>
      <c r="K33" s="925" t="s">
        <v>318</v>
      </c>
      <c r="L33" s="1044">
        <f>R20</f>
        <v>0</v>
      </c>
      <c r="M33" s="1079">
        <v>0</v>
      </c>
      <c r="N33" s="1045" t="s">
        <v>15</v>
      </c>
      <c r="O33" s="575"/>
      <c r="P33" s="1104"/>
      <c r="Q33" s="1104"/>
      <c r="R33" s="1105"/>
      <c r="S33" s="575"/>
      <c r="T33" s="1061" t="s">
        <v>2080</v>
      </c>
      <c r="U33" s="1062" t="s">
        <v>2081</v>
      </c>
      <c r="V33" s="1062" t="s">
        <v>67</v>
      </c>
      <c r="W33" s="1063">
        <v>245929444</v>
      </c>
    </row>
    <row r="34" spans="4:23" ht="18" customHeight="1">
      <c r="D34" s="1112" t="s">
        <v>220</v>
      </c>
      <c r="E34" s="552" t="s">
        <v>42</v>
      </c>
      <c r="F34" s="552">
        <f t="shared" si="5"/>
        <v>0</v>
      </c>
      <c r="G34" s="552">
        <f t="shared" si="5"/>
        <v>0</v>
      </c>
      <c r="H34" s="1071">
        <f>F34-G34</f>
        <v>0</v>
      </c>
      <c r="J34" s="1135">
        <v>731200</v>
      </c>
      <c r="K34" s="1136" t="s">
        <v>337</v>
      </c>
      <c r="L34" s="1808">
        <v>0</v>
      </c>
      <c r="M34" s="1808">
        <f>+L33</f>
        <v>0</v>
      </c>
      <c r="N34" s="1138" t="s">
        <v>515</v>
      </c>
      <c r="O34" s="575"/>
      <c r="P34" s="1109"/>
      <c r="Q34" s="1110"/>
      <c r="R34" s="925"/>
      <c r="S34" s="575"/>
      <c r="T34" s="1061" t="s">
        <v>2080</v>
      </c>
      <c r="U34" s="1062" t="s">
        <v>2081</v>
      </c>
      <c r="V34" s="1062" t="s">
        <v>95</v>
      </c>
      <c r="W34" s="1111">
        <v>-250000</v>
      </c>
    </row>
    <row r="35" spans="4:23" ht="18" customHeight="1">
      <c r="D35" s="1064"/>
      <c r="E35" s="1065" t="s">
        <v>2</v>
      </c>
      <c r="F35" s="1065"/>
      <c r="G35" s="1065"/>
      <c r="H35" s="1066"/>
      <c r="J35" s="1116">
        <v>711191</v>
      </c>
      <c r="K35" s="1114" t="s">
        <v>318</v>
      </c>
      <c r="L35" s="1117">
        <f>R28</f>
        <v>46841095</v>
      </c>
      <c r="M35" s="1117"/>
      <c r="N35" s="1115" t="s">
        <v>15</v>
      </c>
      <c r="O35" s="575"/>
      <c r="P35" s="575"/>
      <c r="Q35" s="936"/>
      <c r="R35" s="925"/>
      <c r="S35" s="575"/>
      <c r="T35" s="1120" t="s">
        <v>2080</v>
      </c>
      <c r="U35" s="1121" t="s">
        <v>2081</v>
      </c>
      <c r="V35" s="1121" t="s">
        <v>144</v>
      </c>
      <c r="W35" s="1122">
        <v>132929500</v>
      </c>
    </row>
    <row r="36" spans="4:23" ht="18" customHeight="1">
      <c r="D36" s="1070">
        <v>115100</v>
      </c>
      <c r="E36" s="552" t="s">
        <v>43</v>
      </c>
      <c r="F36" s="552">
        <f t="shared" ref="F36:F44" si="6">SUMIF($J:$J,$D36,L:L)</f>
        <v>0</v>
      </c>
      <c r="G36" s="552">
        <f t="shared" ref="G36:G44" si="7">SUMIF($J:$J,$D36,M:M)</f>
        <v>0</v>
      </c>
      <c r="H36" s="1071">
        <f t="shared" ref="H36:H44" si="8">F36-G36</f>
        <v>0</v>
      </c>
      <c r="J36" s="1086">
        <v>731200</v>
      </c>
      <c r="K36" s="925" t="s">
        <v>337</v>
      </c>
      <c r="L36" s="1043">
        <v>0</v>
      </c>
      <c r="M36" s="1043">
        <f>L35</f>
        <v>46841095</v>
      </c>
      <c r="N36" s="1045" t="s">
        <v>2362</v>
      </c>
      <c r="O36" s="575"/>
      <c r="P36" s="1113"/>
      <c r="Q36" s="925"/>
      <c r="R36" s="925"/>
      <c r="S36" s="575"/>
      <c r="T36" s="1120" t="s">
        <v>2080</v>
      </c>
      <c r="U36" s="1121" t="s">
        <v>2081</v>
      </c>
      <c r="V36" s="1121" t="s">
        <v>179</v>
      </c>
      <c r="W36" s="1122">
        <v>260000</v>
      </c>
    </row>
    <row r="37" spans="4:23" ht="18" customHeight="1">
      <c r="D37" s="1070">
        <v>115170</v>
      </c>
      <c r="E37" s="552" t="s">
        <v>44</v>
      </c>
      <c r="F37" s="552">
        <f t="shared" si="6"/>
        <v>0</v>
      </c>
      <c r="G37" s="552">
        <f t="shared" si="7"/>
        <v>0</v>
      </c>
      <c r="H37" s="1071">
        <f t="shared" si="8"/>
        <v>0</v>
      </c>
      <c r="J37" s="1116">
        <v>213100</v>
      </c>
      <c r="K37" s="1114" t="s">
        <v>144</v>
      </c>
      <c r="L37" s="1117">
        <f>R22</f>
        <v>132929500</v>
      </c>
      <c r="M37" s="1118">
        <v>0</v>
      </c>
      <c r="N37" s="1115" t="s">
        <v>15</v>
      </c>
      <c r="O37" s="575"/>
      <c r="P37" s="1113"/>
      <c r="Q37" s="925"/>
      <c r="R37" s="925"/>
      <c r="S37" s="575"/>
      <c r="T37" s="1120" t="s">
        <v>2080</v>
      </c>
      <c r="U37" s="1121" t="s">
        <v>2081</v>
      </c>
      <c r="V37" s="1121" t="s">
        <v>2400</v>
      </c>
      <c r="W37" s="1122">
        <v>1387873690</v>
      </c>
    </row>
    <row r="38" spans="4:23" ht="18" customHeight="1">
      <c r="D38" s="1070">
        <v>115200</v>
      </c>
      <c r="E38" s="552" t="s">
        <v>45</v>
      </c>
      <c r="F38" s="552">
        <f t="shared" si="6"/>
        <v>0</v>
      </c>
      <c r="G38" s="552">
        <f t="shared" si="7"/>
        <v>0</v>
      </c>
      <c r="H38" s="1071">
        <f t="shared" si="8"/>
        <v>0</v>
      </c>
      <c r="J38" s="1123">
        <v>111711</v>
      </c>
      <c r="K38" s="1055" t="s">
        <v>24</v>
      </c>
      <c r="L38" s="1091">
        <v>0</v>
      </c>
      <c r="M38" s="1091">
        <f>L37</f>
        <v>132929500</v>
      </c>
      <c r="N38" s="1057" t="s">
        <v>2362</v>
      </c>
      <c r="O38" s="575"/>
      <c r="P38" s="575"/>
      <c r="Q38" s="925"/>
      <c r="R38" s="925"/>
      <c r="S38" s="575"/>
      <c r="T38" s="1120" t="s">
        <v>2080</v>
      </c>
      <c r="U38" s="1121" t="s">
        <v>2081</v>
      </c>
      <c r="V38" s="1121" t="s">
        <v>2401</v>
      </c>
      <c r="W38" s="1122">
        <v>24035100</v>
      </c>
    </row>
    <row r="39" spans="4:23" ht="18" customHeight="1">
      <c r="D39" s="1070">
        <v>115270</v>
      </c>
      <c r="E39" s="552" t="s">
        <v>46</v>
      </c>
      <c r="F39" s="552">
        <f t="shared" si="6"/>
        <v>0</v>
      </c>
      <c r="G39" s="552">
        <f t="shared" si="7"/>
        <v>0</v>
      </c>
      <c r="H39" s="1071">
        <f t="shared" si="8"/>
        <v>0</v>
      </c>
      <c r="J39" s="1067">
        <v>112511</v>
      </c>
      <c r="K39" s="1068" t="s">
        <v>60</v>
      </c>
      <c r="L39" s="1124">
        <v>0</v>
      </c>
      <c r="M39" s="1125">
        <f>R21-M58</f>
        <v>281934919</v>
      </c>
      <c r="N39" s="1085" t="s">
        <v>15</v>
      </c>
      <c r="O39" s="575"/>
      <c r="P39" s="577"/>
      <c r="Q39" s="925"/>
      <c r="R39" s="925"/>
      <c r="S39" s="575"/>
      <c r="T39" s="1120" t="s">
        <v>2080</v>
      </c>
      <c r="U39" s="1121" t="s">
        <v>2081</v>
      </c>
      <c r="V39" s="1121" t="s">
        <v>2428</v>
      </c>
      <c r="W39" s="1122">
        <v>2500000</v>
      </c>
    </row>
    <row r="40" spans="4:23" ht="18" customHeight="1">
      <c r="D40" s="1070">
        <v>115300</v>
      </c>
      <c r="E40" s="552" t="s">
        <v>47</v>
      </c>
      <c r="F40" s="552">
        <f t="shared" si="6"/>
        <v>0</v>
      </c>
      <c r="G40" s="552">
        <f t="shared" si="7"/>
        <v>0</v>
      </c>
      <c r="H40" s="1071">
        <f t="shared" si="8"/>
        <v>0</v>
      </c>
      <c r="J40" s="1042">
        <v>640000</v>
      </c>
      <c r="K40" s="1089" t="s">
        <v>296</v>
      </c>
      <c r="L40" s="1129">
        <v>0</v>
      </c>
      <c r="M40" s="1130">
        <f>R23</f>
        <v>1387873690</v>
      </c>
      <c r="N40" s="1045" t="s">
        <v>15</v>
      </c>
      <c r="O40" s="575"/>
      <c r="P40" s="1119"/>
      <c r="Q40" s="936"/>
      <c r="R40" s="925"/>
      <c r="S40" s="575"/>
      <c r="T40" s="1120" t="s">
        <v>2080</v>
      </c>
      <c r="U40" s="1121" t="s">
        <v>2081</v>
      </c>
      <c r="V40" s="1121" t="s">
        <v>2876</v>
      </c>
      <c r="W40" s="1122">
        <v>2000000</v>
      </c>
    </row>
    <row r="41" spans="4:23" ht="18" customHeight="1">
      <c r="D41" s="1070">
        <v>115350</v>
      </c>
      <c r="E41" s="552" t="s">
        <v>48</v>
      </c>
      <c r="F41" s="552">
        <f t="shared" si="6"/>
        <v>0</v>
      </c>
      <c r="G41" s="552">
        <f t="shared" si="7"/>
        <v>0</v>
      </c>
      <c r="H41" s="1071">
        <f t="shared" si="8"/>
        <v>0</v>
      </c>
      <c r="J41" s="1042">
        <v>640000</v>
      </c>
      <c r="K41" s="1089" t="s">
        <v>296</v>
      </c>
      <c r="L41" s="1129">
        <v>0</v>
      </c>
      <c r="M41" s="1130">
        <f>R24</f>
        <v>24035100</v>
      </c>
      <c r="N41" s="1045" t="s">
        <v>15</v>
      </c>
      <c r="O41" s="575"/>
      <c r="P41" s="1113"/>
      <c r="Q41" s="925"/>
      <c r="R41" s="925"/>
      <c r="S41" s="575"/>
      <c r="T41" s="1120" t="s">
        <v>2080</v>
      </c>
      <c r="U41" s="1121" t="s">
        <v>2081</v>
      </c>
      <c r="V41" s="1121" t="s">
        <v>318</v>
      </c>
      <c r="W41" s="1122">
        <v>46841095</v>
      </c>
    </row>
    <row r="42" spans="4:23" ht="18" customHeight="1" thickBot="1">
      <c r="D42" s="1070">
        <v>115400</v>
      </c>
      <c r="E42" s="552" t="s">
        <v>49</v>
      </c>
      <c r="F42" s="552">
        <f t="shared" si="6"/>
        <v>0</v>
      </c>
      <c r="G42" s="552">
        <f t="shared" si="7"/>
        <v>0</v>
      </c>
      <c r="H42" s="1071">
        <f t="shared" si="8"/>
        <v>0</v>
      </c>
      <c r="J42" s="1086">
        <v>214100</v>
      </c>
      <c r="K42" s="925" t="s">
        <v>163</v>
      </c>
      <c r="L42" s="1129">
        <f>M39+M40+M41-L43-L44</f>
        <v>0</v>
      </c>
      <c r="M42" s="1129">
        <v>0</v>
      </c>
      <c r="N42" s="1045" t="s">
        <v>2362</v>
      </c>
      <c r="O42" s="575"/>
      <c r="P42" s="1113"/>
      <c r="Q42" s="925"/>
      <c r="R42" s="925"/>
      <c r="S42" s="575"/>
      <c r="T42" s="1126" t="s">
        <v>2080</v>
      </c>
      <c r="U42" s="1127" t="s">
        <v>2081</v>
      </c>
      <c r="V42" s="1127" t="s">
        <v>2601</v>
      </c>
      <c r="W42" s="1128">
        <v>1543857535</v>
      </c>
    </row>
    <row r="43" spans="4:23" ht="18" customHeight="1">
      <c r="D43" s="1070">
        <v>115470</v>
      </c>
      <c r="E43" s="552" t="s">
        <v>50</v>
      </c>
      <c r="F43" s="552">
        <f t="shared" si="6"/>
        <v>0</v>
      </c>
      <c r="G43" s="552">
        <f t="shared" si="7"/>
        <v>0</v>
      </c>
      <c r="H43" s="1071">
        <f t="shared" si="8"/>
        <v>0</v>
      </c>
      <c r="J43" s="1086">
        <v>214400</v>
      </c>
      <c r="K43" s="925" t="s">
        <v>168</v>
      </c>
      <c r="L43" s="1129">
        <v>919178</v>
      </c>
      <c r="M43" s="1129">
        <v>0</v>
      </c>
      <c r="N43" s="1045" t="s">
        <v>2362</v>
      </c>
      <c r="O43" s="575"/>
      <c r="P43" s="925"/>
      <c r="Q43" s="925"/>
      <c r="R43" s="925"/>
      <c r="S43" s="575"/>
      <c r="T43" s="575"/>
      <c r="U43" s="577"/>
      <c r="V43" s="577"/>
      <c r="W43" s="1131"/>
    </row>
    <row r="44" spans="4:23" ht="18" customHeight="1">
      <c r="D44" s="1070">
        <v>115800</v>
      </c>
      <c r="E44" s="552" t="s">
        <v>51</v>
      </c>
      <c r="F44" s="552">
        <f t="shared" si="6"/>
        <v>0</v>
      </c>
      <c r="G44" s="552">
        <f t="shared" si="7"/>
        <v>0</v>
      </c>
      <c r="H44" s="1071">
        <f t="shared" si="8"/>
        <v>0</v>
      </c>
      <c r="J44" s="1042">
        <v>410899</v>
      </c>
      <c r="K44" s="925" t="s">
        <v>237</v>
      </c>
      <c r="L44" s="1129">
        <f>1692924532-1</f>
        <v>1692924531</v>
      </c>
      <c r="M44" s="1129">
        <v>0</v>
      </c>
      <c r="N44" s="1045" t="s">
        <v>2362</v>
      </c>
      <c r="O44" s="575"/>
      <c r="P44" s="1110"/>
      <c r="Q44" s="1110"/>
      <c r="R44" s="1110"/>
      <c r="S44" s="575"/>
      <c r="T44" s="575"/>
      <c r="U44" s="577"/>
      <c r="V44" s="577"/>
      <c r="W44" s="1131"/>
    </row>
    <row r="45" spans="4:23" ht="18" customHeight="1">
      <c r="D45" s="1064"/>
      <c r="E45" s="1065" t="s">
        <v>3</v>
      </c>
      <c r="F45" s="1065"/>
      <c r="G45" s="1065"/>
      <c r="H45" s="1066"/>
      <c r="J45" s="1132" t="s">
        <v>297</v>
      </c>
      <c r="K45" s="1114" t="s">
        <v>298</v>
      </c>
      <c r="L45" s="1133">
        <v>0</v>
      </c>
      <c r="M45" s="1134">
        <f>R25+R26</f>
        <v>4500000</v>
      </c>
      <c r="N45" s="1115" t="s">
        <v>15</v>
      </c>
      <c r="O45" s="575"/>
      <c r="P45" s="575"/>
      <c r="Q45" s="575"/>
      <c r="R45" s="575"/>
      <c r="S45" s="575"/>
      <c r="T45" s="575"/>
      <c r="U45" s="577"/>
      <c r="V45" s="577"/>
      <c r="W45" s="1131"/>
    </row>
    <row r="46" spans="4:23" ht="18" customHeight="1">
      <c r="D46" s="1070">
        <v>113100</v>
      </c>
      <c r="E46" s="552" t="s">
        <v>52</v>
      </c>
      <c r="F46" s="552">
        <f t="shared" ref="F46:G49" si="9">SUMIF($J:$J,$D46,L:L)</f>
        <v>0</v>
      </c>
      <c r="G46" s="552">
        <f t="shared" si="9"/>
        <v>0</v>
      </c>
      <c r="H46" s="1071">
        <f>F46-G46</f>
        <v>0</v>
      </c>
      <c r="J46" s="1135">
        <v>410899</v>
      </c>
      <c r="K46" s="1136" t="s">
        <v>237</v>
      </c>
      <c r="L46" s="1137">
        <f>M45</f>
        <v>4500000</v>
      </c>
      <c r="M46" s="1137">
        <v>0</v>
      </c>
      <c r="N46" s="1138" t="s">
        <v>2362</v>
      </c>
      <c r="O46" s="575"/>
      <c r="P46" s="575"/>
      <c r="Q46" s="575"/>
      <c r="R46" s="575"/>
      <c r="S46" s="575"/>
      <c r="T46" s="575"/>
      <c r="U46" s="577"/>
      <c r="V46" s="577"/>
      <c r="W46" s="1131"/>
    </row>
    <row r="47" spans="4:23" ht="18" customHeight="1">
      <c r="D47" s="1070">
        <v>113101</v>
      </c>
      <c r="E47" s="552" t="s">
        <v>53</v>
      </c>
      <c r="F47" s="552">
        <f t="shared" si="9"/>
        <v>0</v>
      </c>
      <c r="G47" s="552">
        <f t="shared" si="9"/>
        <v>0</v>
      </c>
      <c r="H47" s="1071">
        <f>F47-G47</f>
        <v>0</v>
      </c>
      <c r="J47" s="1132" t="s">
        <v>359</v>
      </c>
      <c r="K47" s="1139" t="s">
        <v>2405</v>
      </c>
      <c r="L47" s="1134">
        <f>R27</f>
        <v>26942110</v>
      </c>
      <c r="M47" s="1133">
        <v>0</v>
      </c>
      <c r="N47" s="1115" t="s">
        <v>15</v>
      </c>
      <c r="O47" s="575"/>
      <c r="P47" s="575"/>
      <c r="Q47" s="575"/>
      <c r="R47" s="575"/>
      <c r="S47" s="575"/>
      <c r="T47" s="575"/>
      <c r="U47" s="577"/>
      <c r="V47" s="577"/>
      <c r="W47" s="1131"/>
    </row>
    <row r="48" spans="4:23" ht="18" customHeight="1">
      <c r="D48" s="1070">
        <v>113160</v>
      </c>
      <c r="E48" s="552" t="s">
        <v>54</v>
      </c>
      <c r="F48" s="552">
        <f t="shared" si="9"/>
        <v>0</v>
      </c>
      <c r="G48" s="552">
        <f t="shared" si="9"/>
        <v>0</v>
      </c>
      <c r="H48" s="1071">
        <f>F48-G48</f>
        <v>0</v>
      </c>
      <c r="J48" s="1042" t="s">
        <v>368</v>
      </c>
      <c r="K48" s="1089" t="s">
        <v>2589</v>
      </c>
      <c r="L48" s="1130"/>
      <c r="M48" s="1129">
        <f>+L47-M49</f>
        <v>24942110</v>
      </c>
      <c r="N48" s="1045" t="s">
        <v>2362</v>
      </c>
      <c r="O48" s="575"/>
      <c r="P48" s="575"/>
      <c r="Q48" s="575"/>
      <c r="R48" s="575"/>
      <c r="S48" s="575"/>
      <c r="T48" s="575"/>
      <c r="U48" s="577"/>
      <c r="V48" s="577"/>
      <c r="W48" s="1131"/>
    </row>
    <row r="49" spans="4:19" ht="18" customHeight="1">
      <c r="D49" s="1070">
        <v>113161</v>
      </c>
      <c r="E49" s="552" t="s">
        <v>55</v>
      </c>
      <c r="F49" s="552">
        <f t="shared" si="9"/>
        <v>0</v>
      </c>
      <c r="G49" s="552">
        <f t="shared" si="9"/>
        <v>0</v>
      </c>
      <c r="H49" s="1071">
        <f>F49-G49</f>
        <v>0</v>
      </c>
      <c r="J49" s="1054">
        <v>640000</v>
      </c>
      <c r="K49" s="1090" t="s">
        <v>296</v>
      </c>
      <c r="L49" s="1140">
        <v>0</v>
      </c>
      <c r="M49" s="1140">
        <v>2000000</v>
      </c>
      <c r="N49" s="1057" t="s">
        <v>2362</v>
      </c>
      <c r="O49" s="575"/>
      <c r="P49" s="925"/>
      <c r="Q49" s="925"/>
      <c r="R49" s="925"/>
      <c r="S49" s="925"/>
    </row>
    <row r="50" spans="4:19" ht="18" customHeight="1">
      <c r="D50" s="1064"/>
      <c r="E50" s="1065" t="s">
        <v>4</v>
      </c>
      <c r="F50" s="1065"/>
      <c r="G50" s="1065"/>
      <c r="H50" s="1066"/>
      <c r="J50" s="1042">
        <v>111911</v>
      </c>
      <c r="K50" s="1089" t="s">
        <v>2409</v>
      </c>
      <c r="L50" s="1129">
        <v>0</v>
      </c>
      <c r="M50" s="1130">
        <v>0</v>
      </c>
      <c r="N50" s="1045" t="s">
        <v>15</v>
      </c>
      <c r="O50" s="575"/>
      <c r="P50" s="925"/>
      <c r="Q50" s="925"/>
      <c r="R50" s="925"/>
      <c r="S50" s="925"/>
    </row>
    <row r="51" spans="4:19" ht="18" customHeight="1">
      <c r="D51" s="1070">
        <v>112710</v>
      </c>
      <c r="E51" s="552" t="s">
        <v>56</v>
      </c>
      <c r="F51" s="552">
        <f t="shared" ref="F51:F63" si="10">SUMIF($J:$J,$D51,L:L)</f>
        <v>0</v>
      </c>
      <c r="G51" s="552">
        <f t="shared" ref="G51:G63" si="11">SUMIF($J:$J,$D51,M:M)</f>
        <v>0</v>
      </c>
      <c r="H51" s="1071">
        <f t="shared" ref="H51:H63" si="12">F51-G51</f>
        <v>0</v>
      </c>
      <c r="J51" s="1042">
        <v>212300</v>
      </c>
      <c r="K51" s="1089" t="s">
        <v>2410</v>
      </c>
      <c r="L51" s="1129">
        <v>0</v>
      </c>
      <c r="M51" s="1130">
        <v>0</v>
      </c>
      <c r="N51" s="1045" t="s">
        <v>2362</v>
      </c>
      <c r="O51" s="575"/>
      <c r="P51" s="925"/>
      <c r="Q51" s="925"/>
      <c r="R51" s="925"/>
      <c r="S51" s="925"/>
    </row>
    <row r="52" spans="4:19" ht="18" customHeight="1">
      <c r="D52" s="1070">
        <v>112720</v>
      </c>
      <c r="E52" s="552" t="s">
        <v>57</v>
      </c>
      <c r="F52" s="552">
        <f t="shared" si="10"/>
        <v>0</v>
      </c>
      <c r="G52" s="552">
        <f t="shared" si="11"/>
        <v>0</v>
      </c>
      <c r="H52" s="1071">
        <f t="shared" si="12"/>
        <v>0</v>
      </c>
      <c r="J52" s="1141">
        <v>712900</v>
      </c>
      <c r="K52" s="1142" t="s">
        <v>2602</v>
      </c>
      <c r="L52" s="1143">
        <f>M53+M54</f>
        <v>1543857535</v>
      </c>
      <c r="M52" s="1144">
        <v>0</v>
      </c>
      <c r="N52" s="1145" t="s">
        <v>15</v>
      </c>
      <c r="P52" s="575"/>
      <c r="Q52" s="925"/>
      <c r="R52" s="925"/>
      <c r="S52" s="925"/>
    </row>
    <row r="53" spans="4:19" ht="18" customHeight="1">
      <c r="D53" s="1070">
        <v>112730</v>
      </c>
      <c r="E53" s="552" t="s">
        <v>58</v>
      </c>
      <c r="F53" s="552">
        <f t="shared" si="10"/>
        <v>0</v>
      </c>
      <c r="G53" s="552">
        <f t="shared" si="11"/>
        <v>0</v>
      </c>
      <c r="H53" s="1071">
        <f t="shared" si="12"/>
        <v>0</v>
      </c>
      <c r="J53" s="1146">
        <v>111912</v>
      </c>
      <c r="K53" s="1147" t="s">
        <v>2395</v>
      </c>
      <c r="L53" s="1148">
        <v>0</v>
      </c>
      <c r="M53" s="1149">
        <v>1500000000</v>
      </c>
      <c r="N53" s="1150" t="s">
        <v>15</v>
      </c>
      <c r="Q53" s="925"/>
      <c r="R53" s="925"/>
      <c r="S53" s="925"/>
    </row>
    <row r="54" spans="4:19" ht="18" customHeight="1">
      <c r="D54" s="1070">
        <v>113340</v>
      </c>
      <c r="E54" s="552" t="s">
        <v>59</v>
      </c>
      <c r="F54" s="552">
        <f t="shared" si="10"/>
        <v>0</v>
      </c>
      <c r="G54" s="552">
        <f t="shared" si="11"/>
        <v>0</v>
      </c>
      <c r="H54" s="1071">
        <f t="shared" si="12"/>
        <v>0</v>
      </c>
      <c r="J54" s="1151">
        <v>112301</v>
      </c>
      <c r="K54" s="1152" t="s">
        <v>2396</v>
      </c>
      <c r="L54" s="1153">
        <v>0</v>
      </c>
      <c r="M54" s="1154">
        <v>43857535</v>
      </c>
      <c r="N54" s="1155" t="s">
        <v>15</v>
      </c>
      <c r="R54" s="575"/>
      <c r="S54" s="575"/>
    </row>
    <row r="55" spans="4:19" ht="18" customHeight="1">
      <c r="D55" s="1070">
        <v>112511</v>
      </c>
      <c r="E55" s="552" t="s">
        <v>60</v>
      </c>
      <c r="F55" s="552">
        <f t="shared" si="10"/>
        <v>0</v>
      </c>
      <c r="G55" s="552">
        <f t="shared" si="11"/>
        <v>284268252</v>
      </c>
      <c r="H55" s="1071">
        <f t="shared" si="12"/>
        <v>-284268252</v>
      </c>
      <c r="J55" s="1156" t="s">
        <v>1354</v>
      </c>
      <c r="K55" s="1157" t="s">
        <v>207</v>
      </c>
      <c r="L55" s="1157">
        <v>-1543857535</v>
      </c>
      <c r="M55" s="1157">
        <v>0</v>
      </c>
      <c r="N55" s="1158" t="s">
        <v>15</v>
      </c>
      <c r="P55" s="575" t="s">
        <v>2403</v>
      </c>
      <c r="Q55" s="575"/>
      <c r="R55" s="575"/>
      <c r="S55" s="575"/>
    </row>
    <row r="56" spans="4:19" ht="18" customHeight="1">
      <c r="D56" s="1070">
        <v>112521</v>
      </c>
      <c r="E56" s="552" t="s">
        <v>61</v>
      </c>
      <c r="F56" s="552">
        <f t="shared" si="10"/>
        <v>0</v>
      </c>
      <c r="G56" s="552">
        <f t="shared" si="11"/>
        <v>0</v>
      </c>
      <c r="H56" s="1071">
        <f t="shared" si="12"/>
        <v>0</v>
      </c>
      <c r="J56" s="1146">
        <v>111912</v>
      </c>
      <c r="K56" s="1159" t="s">
        <v>2395</v>
      </c>
      <c r="L56" s="1159">
        <v>1500000000</v>
      </c>
      <c r="M56" s="1159">
        <v>0</v>
      </c>
      <c r="N56" s="1150" t="s">
        <v>15</v>
      </c>
      <c r="R56" s="575"/>
      <c r="S56" s="575"/>
    </row>
    <row r="57" spans="4:19" ht="18" customHeight="1">
      <c r="D57" s="1070">
        <v>112522</v>
      </c>
      <c r="E57" s="552" t="s">
        <v>62</v>
      </c>
      <c r="F57" s="552">
        <f t="shared" si="10"/>
        <v>0</v>
      </c>
      <c r="G57" s="552">
        <f t="shared" si="11"/>
        <v>0</v>
      </c>
      <c r="H57" s="1071">
        <f t="shared" si="12"/>
        <v>0</v>
      </c>
      <c r="J57" s="1146">
        <v>112301</v>
      </c>
      <c r="K57" s="1159" t="s">
        <v>2396</v>
      </c>
      <c r="L57" s="1159">
        <v>43857535</v>
      </c>
      <c r="M57" s="1159">
        <v>0</v>
      </c>
      <c r="N57" s="1150" t="s">
        <v>15</v>
      </c>
      <c r="R57" s="575"/>
      <c r="S57" s="575"/>
    </row>
    <row r="58" spans="4:19" ht="18" customHeight="1">
      <c r="D58" s="1070">
        <v>112531</v>
      </c>
      <c r="E58" s="552" t="s">
        <v>63</v>
      </c>
      <c r="F58" s="552">
        <f t="shared" si="10"/>
        <v>0</v>
      </c>
      <c r="G58" s="552">
        <f t="shared" si="11"/>
        <v>0</v>
      </c>
      <c r="H58" s="1071">
        <f t="shared" si="12"/>
        <v>0</v>
      </c>
      <c r="J58" s="1141">
        <v>112511</v>
      </c>
      <c r="K58" s="1160" t="s">
        <v>60</v>
      </c>
      <c r="L58" s="1160">
        <v>0</v>
      </c>
      <c r="M58" s="1160">
        <v>2333333</v>
      </c>
      <c r="N58" s="1145" t="s">
        <v>15</v>
      </c>
      <c r="P58" s="575" t="s">
        <v>2404</v>
      </c>
      <c r="R58" s="575"/>
      <c r="S58" s="575"/>
    </row>
    <row r="59" spans="4:19" ht="18" customHeight="1">
      <c r="D59" s="1070">
        <v>112533</v>
      </c>
      <c r="E59" s="552" t="s">
        <v>64</v>
      </c>
      <c r="F59" s="552">
        <f t="shared" si="10"/>
        <v>0</v>
      </c>
      <c r="G59" s="552">
        <f t="shared" si="11"/>
        <v>0</v>
      </c>
      <c r="H59" s="1071">
        <f t="shared" si="12"/>
        <v>0</v>
      </c>
      <c r="J59" s="1146" t="s">
        <v>1354</v>
      </c>
      <c r="K59" s="1159" t="s">
        <v>207</v>
      </c>
      <c r="L59" s="1159">
        <v>0</v>
      </c>
      <c r="M59" s="1159">
        <v>466667</v>
      </c>
      <c r="N59" s="1150" t="s">
        <v>15</v>
      </c>
      <c r="R59" s="575"/>
      <c r="S59" s="575"/>
    </row>
    <row r="60" spans="4:19" ht="18" customHeight="1" thickBot="1">
      <c r="D60" s="1070">
        <v>112534</v>
      </c>
      <c r="E60" s="552" t="s">
        <v>65</v>
      </c>
      <c r="F60" s="552">
        <f t="shared" si="10"/>
        <v>0</v>
      </c>
      <c r="G60" s="552">
        <f t="shared" si="11"/>
        <v>0</v>
      </c>
      <c r="H60" s="1071">
        <f t="shared" si="12"/>
        <v>0</v>
      </c>
      <c r="J60" s="1161" t="s">
        <v>1354</v>
      </c>
      <c r="K60" s="1162" t="s">
        <v>207</v>
      </c>
      <c r="L60" s="1162">
        <v>2800000</v>
      </c>
      <c r="M60" s="1162">
        <v>0</v>
      </c>
      <c r="N60" s="1163" t="s">
        <v>2362</v>
      </c>
      <c r="Q60" s="575"/>
      <c r="R60" s="575"/>
      <c r="S60" s="575"/>
    </row>
    <row r="61" spans="4:19" ht="18" customHeight="1">
      <c r="D61" s="1070">
        <v>112535</v>
      </c>
      <c r="E61" s="552" t="s">
        <v>66</v>
      </c>
      <c r="F61" s="552">
        <f t="shared" si="10"/>
        <v>0</v>
      </c>
      <c r="G61" s="552">
        <f t="shared" si="11"/>
        <v>0</v>
      </c>
      <c r="H61" s="1071">
        <f t="shared" si="12"/>
        <v>0</v>
      </c>
      <c r="Q61" s="575"/>
      <c r="R61" s="575"/>
      <c r="S61" s="575"/>
    </row>
    <row r="62" spans="4:19" ht="18" customHeight="1">
      <c r="D62" s="1070">
        <v>112900</v>
      </c>
      <c r="E62" s="552" t="s">
        <v>67</v>
      </c>
      <c r="F62" s="552">
        <f t="shared" si="10"/>
        <v>0</v>
      </c>
      <c r="G62" s="552">
        <f t="shared" si="11"/>
        <v>0</v>
      </c>
      <c r="H62" s="1071">
        <f t="shared" si="12"/>
        <v>0</v>
      </c>
      <c r="Q62" s="575"/>
      <c r="R62" s="575"/>
    </row>
    <row r="63" spans="4:19" ht="18" customHeight="1">
      <c r="D63" s="1070" t="s">
        <v>68</v>
      </c>
      <c r="E63" s="552" t="s">
        <v>69</v>
      </c>
      <c r="F63" s="552">
        <f t="shared" si="10"/>
        <v>0</v>
      </c>
      <c r="G63" s="552">
        <f t="shared" si="11"/>
        <v>0</v>
      </c>
      <c r="H63" s="1071">
        <f t="shared" si="12"/>
        <v>0</v>
      </c>
      <c r="Q63" s="575"/>
      <c r="R63" s="575"/>
    </row>
    <row r="64" spans="4:19" ht="18" customHeight="1">
      <c r="D64" s="1052"/>
      <c r="E64" s="995" t="s">
        <v>70</v>
      </c>
      <c r="F64" s="995"/>
      <c r="G64" s="995"/>
      <c r="H64" s="1053"/>
      <c r="Q64" s="575"/>
      <c r="R64" s="575"/>
    </row>
    <row r="65" spans="4:18" ht="18" customHeight="1">
      <c r="D65" s="1064"/>
      <c r="E65" s="1065" t="s">
        <v>71</v>
      </c>
      <c r="F65" s="1065"/>
      <c r="G65" s="1065"/>
      <c r="H65" s="1066"/>
      <c r="Q65" s="575"/>
      <c r="R65" s="575"/>
    </row>
    <row r="66" spans="4:18" ht="18" customHeight="1">
      <c r="D66" s="1070">
        <v>121551</v>
      </c>
      <c r="E66" s="552" t="s">
        <v>72</v>
      </c>
      <c r="F66" s="552">
        <f t="shared" ref="F66:G70" si="13">SUMIF($J:$J,$D66,L:L)</f>
        <v>0</v>
      </c>
      <c r="G66" s="552">
        <f t="shared" si="13"/>
        <v>0</v>
      </c>
      <c r="H66" s="1071">
        <f>F66-G66</f>
        <v>0</v>
      </c>
      <c r="Q66" s="575"/>
      <c r="R66" s="575"/>
    </row>
    <row r="67" spans="4:18" ht="18" customHeight="1">
      <c r="D67" s="1070">
        <v>121511</v>
      </c>
      <c r="E67" s="552" t="s">
        <v>73</v>
      </c>
      <c r="F67" s="552">
        <f t="shared" si="13"/>
        <v>0</v>
      </c>
      <c r="G67" s="552">
        <f t="shared" si="13"/>
        <v>0</v>
      </c>
      <c r="H67" s="1071">
        <f>F67-G67</f>
        <v>0</v>
      </c>
      <c r="Q67" s="575"/>
      <c r="R67" s="575"/>
    </row>
    <row r="68" spans="4:18" ht="18" customHeight="1">
      <c r="D68" s="1070">
        <v>121602</v>
      </c>
      <c r="E68" s="552" t="s">
        <v>1694</v>
      </c>
      <c r="F68" s="552">
        <f t="shared" si="13"/>
        <v>0</v>
      </c>
      <c r="G68" s="552">
        <f t="shared" si="13"/>
        <v>0</v>
      </c>
      <c r="H68" s="1071">
        <f>F68-G68</f>
        <v>0</v>
      </c>
      <c r="P68" s="575"/>
      <c r="Q68" s="575"/>
      <c r="R68" s="575"/>
    </row>
    <row r="69" spans="4:18" ht="18" customHeight="1">
      <c r="D69" s="1070">
        <v>121532</v>
      </c>
      <c r="E69" s="552" t="s">
        <v>74</v>
      </c>
      <c r="F69" s="552">
        <f t="shared" si="13"/>
        <v>0</v>
      </c>
      <c r="G69" s="552">
        <f t="shared" si="13"/>
        <v>0</v>
      </c>
      <c r="H69" s="1071">
        <f>F69-G69</f>
        <v>0</v>
      </c>
      <c r="P69" s="575"/>
      <c r="Q69" s="575"/>
      <c r="R69" s="575"/>
    </row>
    <row r="70" spans="4:18" ht="18" customHeight="1">
      <c r="D70" s="1070">
        <v>121531</v>
      </c>
      <c r="E70" s="552" t="s">
        <v>75</v>
      </c>
      <c r="F70" s="552">
        <f t="shared" si="13"/>
        <v>0</v>
      </c>
      <c r="G70" s="552">
        <f t="shared" si="13"/>
        <v>0</v>
      </c>
      <c r="H70" s="1071">
        <f>F70-G70</f>
        <v>0</v>
      </c>
      <c r="P70" s="575"/>
      <c r="Q70" s="575"/>
      <c r="R70" s="575"/>
    </row>
    <row r="71" spans="4:18" ht="18" customHeight="1">
      <c r="D71" s="1064"/>
      <c r="E71" s="1065" t="s">
        <v>76</v>
      </c>
      <c r="F71" s="1065"/>
      <c r="G71" s="1065"/>
      <c r="H71" s="1066"/>
      <c r="P71" s="575"/>
      <c r="Q71" s="575"/>
      <c r="R71" s="575"/>
    </row>
    <row r="72" spans="4:18" ht="18" customHeight="1">
      <c r="D72" s="1070">
        <v>121410</v>
      </c>
      <c r="E72" s="552" t="s">
        <v>77</v>
      </c>
      <c r="F72" s="552">
        <f t="shared" ref="F72:G75" si="14">SUMIF($J:$J,$D72,L:L)</f>
        <v>0</v>
      </c>
      <c r="G72" s="552">
        <f t="shared" si="14"/>
        <v>0</v>
      </c>
      <c r="H72" s="1071">
        <f>F72-G72</f>
        <v>0</v>
      </c>
      <c r="P72" s="575"/>
      <c r="Q72" s="575"/>
    </row>
    <row r="73" spans="4:18" ht="18" customHeight="1">
      <c r="D73" s="1112" t="s">
        <v>221</v>
      </c>
      <c r="E73" s="552" t="s">
        <v>78</v>
      </c>
      <c r="F73" s="552">
        <f t="shared" si="14"/>
        <v>0</v>
      </c>
      <c r="G73" s="552">
        <f t="shared" si="14"/>
        <v>0</v>
      </c>
      <c r="H73" s="1071">
        <f>F73-G73</f>
        <v>0</v>
      </c>
      <c r="P73" s="575"/>
      <c r="Q73" s="575"/>
    </row>
    <row r="74" spans="4:18" ht="18" customHeight="1">
      <c r="D74" s="1112" t="s">
        <v>222</v>
      </c>
      <c r="E74" s="552" t="s">
        <v>79</v>
      </c>
      <c r="F74" s="552">
        <f t="shared" si="14"/>
        <v>0</v>
      </c>
      <c r="G74" s="552">
        <f t="shared" si="14"/>
        <v>0</v>
      </c>
      <c r="H74" s="1071">
        <f>F74-G74</f>
        <v>0</v>
      </c>
      <c r="P74" s="575"/>
      <c r="Q74" s="575"/>
    </row>
    <row r="75" spans="4:18" ht="18" customHeight="1">
      <c r="D75" s="1112" t="s">
        <v>223</v>
      </c>
      <c r="E75" s="552" t="s">
        <v>42</v>
      </c>
      <c r="F75" s="552">
        <f t="shared" si="14"/>
        <v>0</v>
      </c>
      <c r="G75" s="552">
        <f t="shared" si="14"/>
        <v>0</v>
      </c>
      <c r="H75" s="1071">
        <f>F75-G75</f>
        <v>0</v>
      </c>
      <c r="P75" s="575"/>
    </row>
    <row r="76" spans="4:18" ht="18" customHeight="1">
      <c r="D76" s="1064"/>
      <c r="E76" s="1065" t="s">
        <v>80</v>
      </c>
      <c r="F76" s="1065"/>
      <c r="G76" s="1065"/>
      <c r="H76" s="1066"/>
      <c r="P76" s="575"/>
    </row>
    <row r="77" spans="4:18" ht="18" customHeight="1">
      <c r="D77" s="1070">
        <v>900019</v>
      </c>
      <c r="E77" s="552" t="s">
        <v>81</v>
      </c>
      <c r="F77" s="552">
        <f>SUMIF($J:$J,$D77,L:L)</f>
        <v>0</v>
      </c>
      <c r="G77" s="552">
        <f>SUMIF($J:$J,$D77,M:M)</f>
        <v>0</v>
      </c>
      <c r="H77" s="1071">
        <f>F77-G77</f>
        <v>0</v>
      </c>
      <c r="P77" s="575"/>
    </row>
    <row r="78" spans="4:18" ht="18" customHeight="1">
      <c r="D78" s="1070" t="s">
        <v>82</v>
      </c>
      <c r="E78" s="552" t="s">
        <v>83</v>
      </c>
      <c r="F78" s="552">
        <f>SUMIF($J:$J,$D78,L:L)</f>
        <v>0</v>
      </c>
      <c r="G78" s="552">
        <f>SUMIF($J:$J,$D78,M:M)</f>
        <v>0</v>
      </c>
      <c r="H78" s="1071">
        <f>F78-G78</f>
        <v>0</v>
      </c>
    </row>
    <row r="79" spans="4:18" ht="18" customHeight="1">
      <c r="D79" s="1064"/>
      <c r="E79" s="1065" t="s">
        <v>5</v>
      </c>
      <c r="F79" s="1065"/>
      <c r="G79" s="1065"/>
      <c r="H79" s="1066"/>
    </row>
    <row r="80" spans="4:18" ht="18" customHeight="1">
      <c r="D80" s="1070">
        <v>123700</v>
      </c>
      <c r="E80" s="552" t="s">
        <v>84</v>
      </c>
      <c r="F80" s="552">
        <f t="shared" ref="F80:F100" si="15">SUMIF($J:$J,$D80,L:L)</f>
        <v>0</v>
      </c>
      <c r="G80" s="552">
        <f t="shared" ref="G80:G100" si="16">SUMIF($J:$J,$D80,M:M)</f>
        <v>0</v>
      </c>
      <c r="H80" s="1071">
        <f t="shared" ref="H80:H100" si="17">F80-G80</f>
        <v>0</v>
      </c>
    </row>
    <row r="81" spans="4:8" ht="18" customHeight="1">
      <c r="D81" s="1070">
        <v>123750</v>
      </c>
      <c r="E81" s="552" t="s">
        <v>85</v>
      </c>
      <c r="F81" s="552">
        <f t="shared" si="15"/>
        <v>0</v>
      </c>
      <c r="G81" s="552">
        <f t="shared" si="16"/>
        <v>0</v>
      </c>
      <c r="H81" s="1071">
        <f t="shared" si="17"/>
        <v>0</v>
      </c>
    </row>
    <row r="82" spans="4:8" ht="18" customHeight="1">
      <c r="D82" s="1070">
        <v>123900</v>
      </c>
      <c r="E82" s="552" t="s">
        <v>86</v>
      </c>
      <c r="F82" s="552">
        <f t="shared" si="15"/>
        <v>0</v>
      </c>
      <c r="G82" s="552">
        <f t="shared" si="16"/>
        <v>0</v>
      </c>
      <c r="H82" s="1071">
        <f t="shared" si="17"/>
        <v>0</v>
      </c>
    </row>
    <row r="83" spans="4:8" ht="18" customHeight="1">
      <c r="D83" s="1070">
        <v>123950</v>
      </c>
      <c r="E83" s="552" t="s">
        <v>87</v>
      </c>
      <c r="F83" s="552">
        <f t="shared" si="15"/>
        <v>0</v>
      </c>
      <c r="G83" s="552">
        <f t="shared" si="16"/>
        <v>0</v>
      </c>
      <c r="H83" s="1071">
        <f t="shared" si="17"/>
        <v>0</v>
      </c>
    </row>
    <row r="84" spans="4:8" ht="18" customHeight="1">
      <c r="D84" s="1070">
        <v>123960</v>
      </c>
      <c r="E84" s="552" t="s">
        <v>88</v>
      </c>
      <c r="F84" s="552">
        <f t="shared" si="15"/>
        <v>0</v>
      </c>
      <c r="G84" s="552">
        <f t="shared" si="16"/>
        <v>0</v>
      </c>
      <c r="H84" s="1071">
        <f t="shared" si="17"/>
        <v>0</v>
      </c>
    </row>
    <row r="85" spans="4:8" ht="18" customHeight="1">
      <c r="D85" s="1070">
        <v>124000</v>
      </c>
      <c r="E85" s="552" t="s">
        <v>89</v>
      </c>
      <c r="F85" s="552">
        <f t="shared" si="15"/>
        <v>0</v>
      </c>
      <c r="G85" s="552">
        <f t="shared" si="16"/>
        <v>0</v>
      </c>
      <c r="H85" s="1071">
        <f t="shared" si="17"/>
        <v>0</v>
      </c>
    </row>
    <row r="86" spans="4:8" ht="18" customHeight="1">
      <c r="D86" s="1070">
        <v>124050</v>
      </c>
      <c r="E86" s="552" t="s">
        <v>90</v>
      </c>
      <c r="F86" s="552">
        <f t="shared" si="15"/>
        <v>0</v>
      </c>
      <c r="G86" s="552">
        <f t="shared" si="16"/>
        <v>0</v>
      </c>
      <c r="H86" s="1071">
        <f t="shared" si="17"/>
        <v>0</v>
      </c>
    </row>
    <row r="87" spans="4:8" ht="18" customHeight="1">
      <c r="D87" s="1070">
        <v>124160</v>
      </c>
      <c r="E87" s="552" t="s">
        <v>91</v>
      </c>
      <c r="F87" s="552">
        <f t="shared" si="15"/>
        <v>0</v>
      </c>
      <c r="G87" s="552">
        <f t="shared" si="16"/>
        <v>0</v>
      </c>
      <c r="H87" s="1071">
        <f t="shared" si="17"/>
        <v>0</v>
      </c>
    </row>
    <row r="88" spans="4:8" ht="18" customHeight="1">
      <c r="D88" s="1070">
        <v>124200</v>
      </c>
      <c r="E88" s="552" t="s">
        <v>92</v>
      </c>
      <c r="F88" s="552">
        <f t="shared" si="15"/>
        <v>0</v>
      </c>
      <c r="G88" s="552">
        <f t="shared" si="16"/>
        <v>0</v>
      </c>
      <c r="H88" s="1071">
        <f t="shared" si="17"/>
        <v>0</v>
      </c>
    </row>
    <row r="89" spans="4:8" ht="18" customHeight="1">
      <c r="D89" s="1070">
        <v>124250</v>
      </c>
      <c r="E89" s="552" t="s">
        <v>93</v>
      </c>
      <c r="F89" s="552">
        <f t="shared" si="15"/>
        <v>0</v>
      </c>
      <c r="G89" s="552">
        <f t="shared" si="16"/>
        <v>0</v>
      </c>
      <c r="H89" s="1071">
        <f t="shared" si="17"/>
        <v>0</v>
      </c>
    </row>
    <row r="90" spans="4:8" ht="18" customHeight="1">
      <c r="D90" s="1070">
        <v>124260</v>
      </c>
      <c r="E90" s="552" t="s">
        <v>94</v>
      </c>
      <c r="F90" s="552">
        <f t="shared" si="15"/>
        <v>0</v>
      </c>
      <c r="G90" s="552">
        <f t="shared" si="16"/>
        <v>0</v>
      </c>
      <c r="H90" s="1071">
        <f t="shared" si="17"/>
        <v>0</v>
      </c>
    </row>
    <row r="91" spans="4:8" ht="18" customHeight="1">
      <c r="D91" s="1070">
        <v>124300</v>
      </c>
      <c r="E91" s="552" t="s">
        <v>95</v>
      </c>
      <c r="F91" s="552">
        <f t="shared" si="15"/>
        <v>0</v>
      </c>
      <c r="G91" s="552">
        <f t="shared" si="16"/>
        <v>0</v>
      </c>
      <c r="H91" s="1071">
        <f t="shared" si="17"/>
        <v>0</v>
      </c>
    </row>
    <row r="92" spans="4:8" ht="18" customHeight="1">
      <c r="D92" s="1070">
        <v>124350</v>
      </c>
      <c r="E92" s="552" t="s">
        <v>96</v>
      </c>
      <c r="F92" s="552">
        <f t="shared" si="15"/>
        <v>0</v>
      </c>
      <c r="G92" s="552">
        <f t="shared" si="16"/>
        <v>0</v>
      </c>
      <c r="H92" s="1071">
        <f t="shared" si="17"/>
        <v>0</v>
      </c>
    </row>
    <row r="93" spans="4:8" ht="18" customHeight="1">
      <c r="D93" s="1070">
        <v>124360</v>
      </c>
      <c r="E93" s="552" t="s">
        <v>97</v>
      </c>
      <c r="F93" s="552">
        <f t="shared" si="15"/>
        <v>0</v>
      </c>
      <c r="G93" s="552">
        <f t="shared" si="16"/>
        <v>0</v>
      </c>
      <c r="H93" s="1071">
        <f t="shared" si="17"/>
        <v>0</v>
      </c>
    </row>
    <row r="94" spans="4:8" ht="18" customHeight="1">
      <c r="D94" s="1070">
        <v>124400</v>
      </c>
      <c r="E94" s="552" t="s">
        <v>98</v>
      </c>
      <c r="F94" s="552">
        <f t="shared" si="15"/>
        <v>0</v>
      </c>
      <c r="G94" s="552">
        <f t="shared" si="16"/>
        <v>0</v>
      </c>
      <c r="H94" s="1071">
        <f t="shared" si="17"/>
        <v>0</v>
      </c>
    </row>
    <row r="95" spans="4:8" ht="18" customHeight="1">
      <c r="D95" s="1070">
        <v>124450</v>
      </c>
      <c r="E95" s="552" t="s">
        <v>99</v>
      </c>
      <c r="F95" s="552">
        <f t="shared" si="15"/>
        <v>0</v>
      </c>
      <c r="G95" s="552">
        <f t="shared" si="16"/>
        <v>0</v>
      </c>
      <c r="H95" s="1071">
        <f t="shared" si="17"/>
        <v>0</v>
      </c>
    </row>
    <row r="96" spans="4:8" ht="18" customHeight="1">
      <c r="D96" s="1070">
        <v>124600</v>
      </c>
      <c r="E96" s="552" t="s">
        <v>100</v>
      </c>
      <c r="F96" s="552">
        <f t="shared" si="15"/>
        <v>0</v>
      </c>
      <c r="G96" s="552">
        <f t="shared" si="16"/>
        <v>0</v>
      </c>
      <c r="H96" s="1071">
        <f t="shared" si="17"/>
        <v>0</v>
      </c>
    </row>
    <row r="97" spans="4:8" ht="18" customHeight="1">
      <c r="D97" s="1070">
        <v>126100</v>
      </c>
      <c r="E97" s="552" t="s">
        <v>101</v>
      </c>
      <c r="F97" s="552">
        <f t="shared" si="15"/>
        <v>0</v>
      </c>
      <c r="G97" s="552">
        <f t="shared" si="16"/>
        <v>0</v>
      </c>
      <c r="H97" s="1071">
        <f t="shared" si="17"/>
        <v>0</v>
      </c>
    </row>
    <row r="98" spans="4:8" ht="18" customHeight="1">
      <c r="D98" s="1070">
        <v>126110</v>
      </c>
      <c r="E98" s="552" t="s">
        <v>102</v>
      </c>
      <c r="F98" s="552">
        <f t="shared" si="15"/>
        <v>0</v>
      </c>
      <c r="G98" s="552">
        <f t="shared" si="16"/>
        <v>0</v>
      </c>
      <c r="H98" s="1071">
        <f t="shared" si="17"/>
        <v>0</v>
      </c>
    </row>
    <row r="99" spans="4:8" ht="18" customHeight="1">
      <c r="D99" s="1070">
        <v>126200</v>
      </c>
      <c r="E99" s="552" t="s">
        <v>103</v>
      </c>
      <c r="F99" s="552">
        <f t="shared" si="15"/>
        <v>0</v>
      </c>
      <c r="G99" s="552">
        <f t="shared" si="16"/>
        <v>0</v>
      </c>
      <c r="H99" s="1071">
        <f t="shared" si="17"/>
        <v>0</v>
      </c>
    </row>
    <row r="100" spans="4:8" ht="18" customHeight="1">
      <c r="D100" s="1070">
        <v>126210</v>
      </c>
      <c r="E100" s="552" t="s">
        <v>104</v>
      </c>
      <c r="F100" s="552">
        <f t="shared" si="15"/>
        <v>0</v>
      </c>
      <c r="G100" s="552">
        <f t="shared" si="16"/>
        <v>0</v>
      </c>
      <c r="H100" s="1071">
        <f t="shared" si="17"/>
        <v>0</v>
      </c>
    </row>
    <row r="101" spans="4:8" ht="18" customHeight="1">
      <c r="D101" s="1064"/>
      <c r="E101" s="1065" t="s">
        <v>6</v>
      </c>
      <c r="F101" s="1065"/>
      <c r="G101" s="1065"/>
      <c r="H101" s="1066"/>
    </row>
    <row r="102" spans="4:8" ht="18" customHeight="1">
      <c r="D102" s="1070" t="s">
        <v>105</v>
      </c>
      <c r="E102" s="552" t="s">
        <v>106</v>
      </c>
      <c r="F102" s="552">
        <f t="shared" ref="F102:F120" si="18">SUMIF($J:$J,$D102,L:L)</f>
        <v>0</v>
      </c>
      <c r="G102" s="552">
        <f t="shared" ref="G102:G120" si="19">SUMIF($J:$J,$D102,M:M)</f>
        <v>0</v>
      </c>
      <c r="H102" s="1071">
        <f t="shared" ref="H102:H120" si="20">F102-G102</f>
        <v>0</v>
      </c>
    </row>
    <row r="103" spans="4:8" ht="18" customHeight="1">
      <c r="D103" s="1070" t="s">
        <v>107</v>
      </c>
      <c r="E103" s="552" t="s">
        <v>108</v>
      </c>
      <c r="F103" s="552">
        <f t="shared" si="18"/>
        <v>0</v>
      </c>
      <c r="G103" s="552">
        <f t="shared" si="19"/>
        <v>0</v>
      </c>
      <c r="H103" s="1071">
        <f t="shared" si="20"/>
        <v>0</v>
      </c>
    </row>
    <row r="104" spans="4:8" ht="18" customHeight="1">
      <c r="D104" s="1070" t="s">
        <v>109</v>
      </c>
      <c r="E104" s="552" t="s">
        <v>110</v>
      </c>
      <c r="F104" s="552">
        <f t="shared" si="18"/>
        <v>0</v>
      </c>
      <c r="G104" s="552">
        <f t="shared" si="19"/>
        <v>0</v>
      </c>
      <c r="H104" s="1071">
        <f t="shared" si="20"/>
        <v>0</v>
      </c>
    </row>
    <row r="105" spans="4:8" ht="18" customHeight="1">
      <c r="D105" s="1070" t="s">
        <v>111</v>
      </c>
      <c r="E105" s="552" t="s">
        <v>112</v>
      </c>
      <c r="F105" s="552">
        <f t="shared" si="18"/>
        <v>0</v>
      </c>
      <c r="G105" s="552">
        <f t="shared" si="19"/>
        <v>0</v>
      </c>
      <c r="H105" s="1071">
        <f t="shared" si="20"/>
        <v>0</v>
      </c>
    </row>
    <row r="106" spans="4:8" ht="18" customHeight="1">
      <c r="D106" s="1070" t="s">
        <v>113</v>
      </c>
      <c r="E106" s="552" t="s">
        <v>114</v>
      </c>
      <c r="F106" s="552">
        <f t="shared" si="18"/>
        <v>0</v>
      </c>
      <c r="G106" s="552">
        <f t="shared" si="19"/>
        <v>0</v>
      </c>
      <c r="H106" s="1071">
        <f t="shared" si="20"/>
        <v>0</v>
      </c>
    </row>
    <row r="107" spans="4:8" ht="18" customHeight="1">
      <c r="D107" s="1070">
        <v>125300</v>
      </c>
      <c r="E107" s="552" t="s">
        <v>115</v>
      </c>
      <c r="F107" s="552">
        <f t="shared" si="18"/>
        <v>0</v>
      </c>
      <c r="G107" s="552">
        <f t="shared" si="19"/>
        <v>0</v>
      </c>
      <c r="H107" s="1071">
        <f t="shared" si="20"/>
        <v>0</v>
      </c>
    </row>
    <row r="108" spans="4:8" ht="18" customHeight="1">
      <c r="D108" s="1070">
        <v>125400</v>
      </c>
      <c r="E108" s="552" t="s">
        <v>116</v>
      </c>
      <c r="F108" s="552">
        <f t="shared" si="18"/>
        <v>0</v>
      </c>
      <c r="G108" s="552">
        <f t="shared" si="19"/>
        <v>0</v>
      </c>
      <c r="H108" s="1071">
        <f t="shared" si="20"/>
        <v>0</v>
      </c>
    </row>
    <row r="109" spans="4:8" ht="18" customHeight="1">
      <c r="D109" s="1070" t="s">
        <v>117</v>
      </c>
      <c r="E109" s="552" t="s">
        <v>118</v>
      </c>
      <c r="F109" s="552">
        <f t="shared" si="18"/>
        <v>0</v>
      </c>
      <c r="G109" s="552">
        <f t="shared" si="19"/>
        <v>0</v>
      </c>
      <c r="H109" s="1071">
        <f t="shared" si="20"/>
        <v>0</v>
      </c>
    </row>
    <row r="110" spans="4:8" ht="18" customHeight="1">
      <c r="D110" s="1070" t="s">
        <v>119</v>
      </c>
      <c r="E110" s="552" t="s">
        <v>120</v>
      </c>
      <c r="F110" s="552">
        <f t="shared" si="18"/>
        <v>0</v>
      </c>
      <c r="G110" s="552">
        <f t="shared" si="19"/>
        <v>0</v>
      </c>
      <c r="H110" s="1071">
        <f t="shared" si="20"/>
        <v>0</v>
      </c>
    </row>
    <row r="111" spans="4:8" ht="18" customHeight="1">
      <c r="D111" s="1070" t="s">
        <v>121</v>
      </c>
      <c r="E111" s="552" t="s">
        <v>122</v>
      </c>
      <c r="F111" s="552">
        <f t="shared" si="18"/>
        <v>0</v>
      </c>
      <c r="G111" s="552">
        <f t="shared" si="19"/>
        <v>0</v>
      </c>
      <c r="H111" s="1071">
        <f t="shared" si="20"/>
        <v>0</v>
      </c>
    </row>
    <row r="112" spans="4:8" ht="18" customHeight="1">
      <c r="D112" s="1070">
        <v>125900</v>
      </c>
      <c r="E112" s="552" t="s">
        <v>123</v>
      </c>
      <c r="F112" s="552">
        <f t="shared" si="18"/>
        <v>0</v>
      </c>
      <c r="G112" s="552">
        <f t="shared" si="19"/>
        <v>0</v>
      </c>
      <c r="H112" s="1071">
        <f t="shared" si="20"/>
        <v>0</v>
      </c>
    </row>
    <row r="113" spans="4:8" ht="18" customHeight="1">
      <c r="D113" s="1070" t="s">
        <v>126</v>
      </c>
      <c r="E113" s="552" t="s">
        <v>127</v>
      </c>
      <c r="F113" s="552">
        <f t="shared" si="18"/>
        <v>0</v>
      </c>
      <c r="G113" s="552">
        <f t="shared" si="19"/>
        <v>0</v>
      </c>
      <c r="H113" s="1071">
        <f t="shared" si="20"/>
        <v>0</v>
      </c>
    </row>
    <row r="114" spans="4:8" ht="18" customHeight="1">
      <c r="D114" s="1070" t="s">
        <v>124</v>
      </c>
      <c r="E114" s="552" t="s">
        <v>125</v>
      </c>
      <c r="F114" s="552">
        <f t="shared" si="18"/>
        <v>0</v>
      </c>
      <c r="G114" s="552">
        <f t="shared" si="19"/>
        <v>0</v>
      </c>
      <c r="H114" s="1071">
        <f t="shared" si="20"/>
        <v>0</v>
      </c>
    </row>
    <row r="115" spans="4:8" ht="18" customHeight="1">
      <c r="D115" s="1070" t="s">
        <v>128</v>
      </c>
      <c r="E115" s="552" t="s">
        <v>129</v>
      </c>
      <c r="F115" s="552">
        <f t="shared" si="18"/>
        <v>0</v>
      </c>
      <c r="G115" s="552">
        <f t="shared" si="19"/>
        <v>0</v>
      </c>
      <c r="H115" s="1071">
        <f t="shared" si="20"/>
        <v>0</v>
      </c>
    </row>
    <row r="116" spans="4:8" ht="18" customHeight="1">
      <c r="D116" s="1070" t="s">
        <v>130</v>
      </c>
      <c r="E116" s="552" t="s">
        <v>131</v>
      </c>
      <c r="F116" s="552">
        <f t="shared" si="18"/>
        <v>0</v>
      </c>
      <c r="G116" s="552">
        <f t="shared" si="19"/>
        <v>0</v>
      </c>
      <c r="H116" s="1071">
        <f t="shared" si="20"/>
        <v>0</v>
      </c>
    </row>
    <row r="117" spans="4:8" ht="18" customHeight="1">
      <c r="D117" s="1070">
        <v>125950</v>
      </c>
      <c r="E117" s="552" t="s">
        <v>132</v>
      </c>
      <c r="F117" s="552">
        <f t="shared" si="18"/>
        <v>0</v>
      </c>
      <c r="G117" s="552">
        <f t="shared" si="19"/>
        <v>0</v>
      </c>
      <c r="H117" s="1071">
        <f t="shared" si="20"/>
        <v>0</v>
      </c>
    </row>
    <row r="118" spans="4:8" ht="18" customHeight="1">
      <c r="D118" s="1070">
        <v>125960</v>
      </c>
      <c r="E118" s="552" t="s">
        <v>133</v>
      </c>
      <c r="F118" s="552">
        <f t="shared" si="18"/>
        <v>0</v>
      </c>
      <c r="G118" s="552">
        <f t="shared" si="19"/>
        <v>0</v>
      </c>
      <c r="H118" s="1071">
        <f t="shared" si="20"/>
        <v>0</v>
      </c>
    </row>
    <row r="119" spans="4:8" ht="18" customHeight="1">
      <c r="D119" s="1070">
        <v>125970</v>
      </c>
      <c r="E119" s="552" t="s">
        <v>134</v>
      </c>
      <c r="F119" s="552">
        <f t="shared" si="18"/>
        <v>0</v>
      </c>
      <c r="G119" s="552">
        <f t="shared" si="19"/>
        <v>0</v>
      </c>
      <c r="H119" s="1071">
        <f t="shared" si="20"/>
        <v>0</v>
      </c>
    </row>
    <row r="120" spans="4:8" ht="18" customHeight="1">
      <c r="D120" s="1070">
        <v>125980</v>
      </c>
      <c r="E120" s="552" t="s">
        <v>135</v>
      </c>
      <c r="F120" s="552">
        <f t="shared" si="18"/>
        <v>0</v>
      </c>
      <c r="G120" s="552">
        <f t="shared" si="19"/>
        <v>0</v>
      </c>
      <c r="H120" s="1071">
        <f t="shared" si="20"/>
        <v>0</v>
      </c>
    </row>
    <row r="121" spans="4:8" ht="18" customHeight="1">
      <c r="D121" s="1064"/>
      <c r="E121" s="1065" t="s">
        <v>7</v>
      </c>
      <c r="F121" s="1065"/>
      <c r="G121" s="1065"/>
      <c r="H121" s="1066"/>
    </row>
    <row r="122" spans="4:8" ht="18" customHeight="1">
      <c r="D122" s="1070">
        <v>121850</v>
      </c>
      <c r="E122" s="552" t="s">
        <v>136</v>
      </c>
      <c r="F122" s="552">
        <f>SUMIF($J:$J,$D122,L:L)</f>
        <v>0</v>
      </c>
      <c r="G122" s="552">
        <f>SUMIF($J:$J,$D122,M:M)</f>
        <v>0</v>
      </c>
      <c r="H122" s="1071">
        <f>F122-G122</f>
        <v>0</v>
      </c>
    </row>
    <row r="123" spans="4:8" ht="18" customHeight="1">
      <c r="D123" s="1039"/>
      <c r="E123" s="1040" t="s">
        <v>8</v>
      </c>
      <c r="F123" s="1040"/>
      <c r="G123" s="1040"/>
      <c r="H123" s="1041"/>
    </row>
    <row r="124" spans="4:8" ht="18" customHeight="1">
      <c r="D124" s="1052"/>
      <c r="E124" s="995" t="s">
        <v>9</v>
      </c>
      <c r="F124" s="995"/>
      <c r="G124" s="995"/>
      <c r="H124" s="1053"/>
    </row>
    <row r="125" spans="4:8" ht="18" customHeight="1">
      <c r="D125" s="1064">
        <v>211000</v>
      </c>
      <c r="E125" s="1065" t="s">
        <v>137</v>
      </c>
      <c r="F125" s="1065"/>
      <c r="G125" s="1065"/>
      <c r="H125" s="1066"/>
    </row>
    <row r="126" spans="4:8" ht="18" customHeight="1">
      <c r="D126" s="1070">
        <v>211111</v>
      </c>
      <c r="E126" s="552" t="s">
        <v>138</v>
      </c>
      <c r="F126" s="552">
        <f t="shared" ref="F126:F144" si="21">SUMIF($J:$J,$D126,L:L)</f>
        <v>657672109</v>
      </c>
      <c r="G126" s="552">
        <f t="shared" ref="G126:G144" si="22">SUMIF($J:$J,$D126,M:M)</f>
        <v>0</v>
      </c>
      <c r="H126" s="1071">
        <f t="shared" ref="H126:H151" si="23">F126-G126</f>
        <v>657672109</v>
      </c>
    </row>
    <row r="127" spans="4:8" ht="18" customHeight="1">
      <c r="D127" s="1070">
        <v>211121</v>
      </c>
      <c r="E127" s="552" t="s">
        <v>139</v>
      </c>
      <c r="F127" s="552">
        <f t="shared" si="21"/>
        <v>0</v>
      </c>
      <c r="G127" s="552">
        <f t="shared" si="22"/>
        <v>0</v>
      </c>
      <c r="H127" s="1071">
        <f t="shared" si="23"/>
        <v>0</v>
      </c>
    </row>
    <row r="128" spans="4:8" ht="18" customHeight="1">
      <c r="D128" s="1070">
        <v>211131</v>
      </c>
      <c r="E128" s="552" t="s">
        <v>140</v>
      </c>
      <c r="F128" s="552">
        <f t="shared" si="21"/>
        <v>0</v>
      </c>
      <c r="G128" s="552">
        <f t="shared" si="22"/>
        <v>0</v>
      </c>
      <c r="H128" s="1071">
        <f t="shared" si="23"/>
        <v>0</v>
      </c>
    </row>
    <row r="129" spans="4:8" ht="18" customHeight="1">
      <c r="D129" s="1070">
        <v>211141</v>
      </c>
      <c r="E129" s="552" t="s">
        <v>141</v>
      </c>
      <c r="F129" s="552">
        <f t="shared" si="21"/>
        <v>0</v>
      </c>
      <c r="G129" s="552">
        <f t="shared" si="22"/>
        <v>0</v>
      </c>
      <c r="H129" s="1071">
        <f t="shared" si="23"/>
        <v>0</v>
      </c>
    </row>
    <row r="130" spans="4:8" ht="18" customHeight="1">
      <c r="D130" s="1070">
        <v>211151</v>
      </c>
      <c r="E130" s="552" t="s">
        <v>142</v>
      </c>
      <c r="F130" s="552">
        <f t="shared" si="21"/>
        <v>0</v>
      </c>
      <c r="G130" s="552">
        <f t="shared" si="22"/>
        <v>0</v>
      </c>
      <c r="H130" s="1071">
        <f t="shared" si="23"/>
        <v>0</v>
      </c>
    </row>
    <row r="131" spans="4:8" ht="18" customHeight="1">
      <c r="D131" s="1070">
        <v>211161</v>
      </c>
      <c r="E131" s="552" t="s">
        <v>143</v>
      </c>
      <c r="F131" s="552">
        <f t="shared" si="21"/>
        <v>0</v>
      </c>
      <c r="G131" s="552">
        <f t="shared" si="22"/>
        <v>0</v>
      </c>
      <c r="H131" s="1071">
        <f t="shared" si="23"/>
        <v>0</v>
      </c>
    </row>
    <row r="132" spans="4:8" ht="18" customHeight="1">
      <c r="D132" s="1070">
        <v>213100</v>
      </c>
      <c r="E132" s="552" t="s">
        <v>144</v>
      </c>
      <c r="F132" s="552">
        <f t="shared" si="21"/>
        <v>190429500</v>
      </c>
      <c r="G132" s="552">
        <f t="shared" si="22"/>
        <v>0</v>
      </c>
      <c r="H132" s="1071">
        <f t="shared" si="23"/>
        <v>190429500</v>
      </c>
    </row>
    <row r="133" spans="4:8" ht="18" customHeight="1">
      <c r="D133" s="1070">
        <v>213150</v>
      </c>
      <c r="E133" s="552" t="s">
        <v>145</v>
      </c>
      <c r="F133" s="552">
        <f t="shared" si="21"/>
        <v>8515800</v>
      </c>
      <c r="G133" s="552">
        <f t="shared" si="22"/>
        <v>0</v>
      </c>
      <c r="H133" s="1071">
        <f t="shared" si="23"/>
        <v>8515800</v>
      </c>
    </row>
    <row r="134" spans="4:8" ht="18" customHeight="1">
      <c r="D134" s="1070">
        <v>213900</v>
      </c>
      <c r="E134" s="552" t="s">
        <v>146</v>
      </c>
      <c r="F134" s="552">
        <f t="shared" si="21"/>
        <v>0</v>
      </c>
      <c r="G134" s="552">
        <f t="shared" si="22"/>
        <v>0</v>
      </c>
      <c r="H134" s="1071">
        <f t="shared" si="23"/>
        <v>0</v>
      </c>
    </row>
    <row r="135" spans="4:8" ht="18" customHeight="1">
      <c r="D135" s="1070">
        <v>213800</v>
      </c>
      <c r="E135" s="552" t="s">
        <v>147</v>
      </c>
      <c r="F135" s="552">
        <f t="shared" si="21"/>
        <v>0</v>
      </c>
      <c r="G135" s="552">
        <f t="shared" si="22"/>
        <v>0</v>
      </c>
      <c r="H135" s="1071">
        <f t="shared" si="23"/>
        <v>0</v>
      </c>
    </row>
    <row r="136" spans="4:8" ht="18" customHeight="1">
      <c r="D136" s="1070">
        <v>213101</v>
      </c>
      <c r="E136" s="552" t="s">
        <v>148</v>
      </c>
      <c r="F136" s="552">
        <f t="shared" si="21"/>
        <v>0</v>
      </c>
      <c r="G136" s="552">
        <f t="shared" si="22"/>
        <v>0</v>
      </c>
      <c r="H136" s="1071">
        <f t="shared" si="23"/>
        <v>0</v>
      </c>
    </row>
    <row r="137" spans="4:8" ht="18" customHeight="1">
      <c r="D137" s="1070">
        <v>213200</v>
      </c>
      <c r="E137" s="552" t="s">
        <v>149</v>
      </c>
      <c r="F137" s="552">
        <f t="shared" si="21"/>
        <v>0</v>
      </c>
      <c r="G137" s="552">
        <f t="shared" si="22"/>
        <v>0</v>
      </c>
      <c r="H137" s="1071">
        <f t="shared" si="23"/>
        <v>0</v>
      </c>
    </row>
    <row r="138" spans="4:8" ht="18" customHeight="1">
      <c r="D138" s="1070">
        <v>217900</v>
      </c>
      <c r="E138" s="552" t="s">
        <v>150</v>
      </c>
      <c r="F138" s="552">
        <f t="shared" si="21"/>
        <v>0</v>
      </c>
      <c r="G138" s="552">
        <f t="shared" si="22"/>
        <v>0</v>
      </c>
      <c r="H138" s="1071">
        <f t="shared" si="23"/>
        <v>0</v>
      </c>
    </row>
    <row r="139" spans="4:8" ht="18" customHeight="1">
      <c r="D139" s="1080">
        <v>217100</v>
      </c>
      <c r="E139" s="1164" t="s">
        <v>2272</v>
      </c>
      <c r="F139" s="552">
        <f t="shared" si="21"/>
        <v>0</v>
      </c>
      <c r="G139" s="552">
        <f t="shared" si="22"/>
        <v>0</v>
      </c>
      <c r="H139" s="1071">
        <f>F139-G139</f>
        <v>0</v>
      </c>
    </row>
    <row r="140" spans="4:8" ht="18" customHeight="1">
      <c r="D140" s="1070">
        <v>217200</v>
      </c>
      <c r="E140" s="552" t="s">
        <v>151</v>
      </c>
      <c r="F140" s="552">
        <f t="shared" si="21"/>
        <v>0</v>
      </c>
      <c r="G140" s="552">
        <f t="shared" si="22"/>
        <v>0</v>
      </c>
      <c r="H140" s="1071">
        <f t="shared" si="23"/>
        <v>0</v>
      </c>
    </row>
    <row r="141" spans="4:8" ht="18" customHeight="1">
      <c r="D141" s="1070">
        <v>217300</v>
      </c>
      <c r="E141" s="552" t="s">
        <v>152</v>
      </c>
      <c r="F141" s="552">
        <f t="shared" si="21"/>
        <v>0</v>
      </c>
      <c r="G141" s="552">
        <f t="shared" si="22"/>
        <v>0</v>
      </c>
      <c r="H141" s="1071">
        <f t="shared" si="23"/>
        <v>0</v>
      </c>
    </row>
    <row r="142" spans="4:8" ht="18" customHeight="1">
      <c r="D142" s="1070">
        <v>217400</v>
      </c>
      <c r="E142" s="552" t="s">
        <v>153</v>
      </c>
      <c r="F142" s="552">
        <f t="shared" si="21"/>
        <v>0</v>
      </c>
      <c r="G142" s="552">
        <f t="shared" si="22"/>
        <v>0</v>
      </c>
      <c r="H142" s="1071">
        <f t="shared" si="23"/>
        <v>0</v>
      </c>
    </row>
    <row r="143" spans="4:8" ht="18" customHeight="1">
      <c r="D143" s="1070">
        <v>217500</v>
      </c>
      <c r="E143" s="552" t="s">
        <v>154</v>
      </c>
      <c r="F143" s="552">
        <f t="shared" si="21"/>
        <v>0</v>
      </c>
      <c r="G143" s="552">
        <f t="shared" si="22"/>
        <v>0</v>
      </c>
      <c r="H143" s="1071">
        <f t="shared" si="23"/>
        <v>0</v>
      </c>
    </row>
    <row r="144" spans="4:8" ht="18" customHeight="1">
      <c r="D144" s="1070">
        <v>223150</v>
      </c>
      <c r="E144" s="552" t="s">
        <v>155</v>
      </c>
      <c r="F144" s="552">
        <f t="shared" si="21"/>
        <v>0</v>
      </c>
      <c r="G144" s="552">
        <f t="shared" si="22"/>
        <v>0</v>
      </c>
      <c r="H144" s="1071">
        <f t="shared" si="23"/>
        <v>0</v>
      </c>
    </row>
    <row r="145" spans="4:8" ht="18" customHeight="1">
      <c r="D145" s="1064"/>
      <c r="E145" s="1065" t="s">
        <v>156</v>
      </c>
      <c r="F145" s="1065"/>
      <c r="G145" s="1065"/>
      <c r="H145" s="1066"/>
    </row>
    <row r="146" spans="4:8" ht="18" customHeight="1">
      <c r="D146" s="1080">
        <v>212300</v>
      </c>
      <c r="E146" s="668" t="s">
        <v>157</v>
      </c>
      <c r="F146" s="668">
        <f t="shared" ref="F146:G151" si="24">SUMIF($J:$J,$D146,L:L)</f>
        <v>0</v>
      </c>
      <c r="G146" s="668">
        <f t="shared" si="24"/>
        <v>0</v>
      </c>
      <c r="H146" s="1081">
        <f t="shared" si="23"/>
        <v>0</v>
      </c>
    </row>
    <row r="147" spans="4:8" ht="18" customHeight="1">
      <c r="D147" s="1080">
        <v>212500</v>
      </c>
      <c r="E147" s="668" t="s">
        <v>1547</v>
      </c>
      <c r="F147" s="668">
        <f t="shared" si="24"/>
        <v>0</v>
      </c>
      <c r="G147" s="668">
        <f t="shared" si="24"/>
        <v>0</v>
      </c>
      <c r="H147" s="1081">
        <f t="shared" si="23"/>
        <v>0</v>
      </c>
    </row>
    <row r="148" spans="4:8" ht="18" customHeight="1">
      <c r="D148" s="1080">
        <v>230320</v>
      </c>
      <c r="E148" s="668" t="s">
        <v>158</v>
      </c>
      <c r="F148" s="668">
        <f t="shared" si="24"/>
        <v>0</v>
      </c>
      <c r="G148" s="668">
        <f t="shared" si="24"/>
        <v>0</v>
      </c>
      <c r="H148" s="1081">
        <f t="shared" si="23"/>
        <v>0</v>
      </c>
    </row>
    <row r="149" spans="4:8" ht="18" customHeight="1">
      <c r="D149" s="1080">
        <v>230321</v>
      </c>
      <c r="E149" s="668" t="s">
        <v>159</v>
      </c>
      <c r="F149" s="668">
        <f t="shared" si="24"/>
        <v>0</v>
      </c>
      <c r="G149" s="668">
        <f t="shared" si="24"/>
        <v>0</v>
      </c>
      <c r="H149" s="1081">
        <f t="shared" si="23"/>
        <v>0</v>
      </c>
    </row>
    <row r="150" spans="4:8" ht="18" customHeight="1">
      <c r="D150" s="1080">
        <v>230322</v>
      </c>
      <c r="E150" s="668" t="s">
        <v>160</v>
      </c>
      <c r="F150" s="668">
        <f t="shared" si="24"/>
        <v>0</v>
      </c>
      <c r="G150" s="668">
        <f t="shared" si="24"/>
        <v>0</v>
      </c>
      <c r="H150" s="1081">
        <f t="shared" si="23"/>
        <v>0</v>
      </c>
    </row>
    <row r="151" spans="4:8" ht="18" customHeight="1">
      <c r="D151" s="1080">
        <v>230325</v>
      </c>
      <c r="E151" s="668" t="s">
        <v>161</v>
      </c>
      <c r="F151" s="668">
        <f t="shared" si="24"/>
        <v>0</v>
      </c>
      <c r="G151" s="668">
        <f t="shared" si="24"/>
        <v>0</v>
      </c>
      <c r="H151" s="1081">
        <f t="shared" si="23"/>
        <v>0</v>
      </c>
    </row>
    <row r="152" spans="4:8" ht="18" customHeight="1">
      <c r="D152" s="1064"/>
      <c r="E152" s="1065" t="s">
        <v>162</v>
      </c>
      <c r="F152" s="1065"/>
      <c r="G152" s="1065"/>
      <c r="H152" s="1066"/>
    </row>
    <row r="153" spans="4:8" ht="18" customHeight="1">
      <c r="D153" s="1070">
        <v>214100</v>
      </c>
      <c r="E153" s="552" t="s">
        <v>163</v>
      </c>
      <c r="F153" s="552">
        <f t="shared" ref="F153:F173" si="25">SUMIF($J:$J,$D153,L:L)</f>
        <v>0</v>
      </c>
      <c r="G153" s="552">
        <f t="shared" ref="G153:G173" si="26">SUMIF($J:$J,$D153,M:M)</f>
        <v>0</v>
      </c>
      <c r="H153" s="1071">
        <f t="shared" ref="H153:H173" si="27">F153-G153</f>
        <v>0</v>
      </c>
    </row>
    <row r="154" spans="4:8" ht="18" customHeight="1">
      <c r="D154" s="1070">
        <v>214200</v>
      </c>
      <c r="E154" s="552" t="s">
        <v>164</v>
      </c>
      <c r="F154" s="552">
        <f t="shared" si="25"/>
        <v>0</v>
      </c>
      <c r="G154" s="552">
        <f t="shared" si="26"/>
        <v>0</v>
      </c>
      <c r="H154" s="1071">
        <f t="shared" si="27"/>
        <v>0</v>
      </c>
    </row>
    <row r="155" spans="4:8" ht="18" customHeight="1">
      <c r="D155" s="1070">
        <v>214350</v>
      </c>
      <c r="E155" s="552" t="s">
        <v>165</v>
      </c>
      <c r="F155" s="552">
        <f t="shared" si="25"/>
        <v>0</v>
      </c>
      <c r="G155" s="552">
        <f t="shared" si="26"/>
        <v>0</v>
      </c>
      <c r="H155" s="1071">
        <f t="shared" si="27"/>
        <v>0</v>
      </c>
    </row>
    <row r="156" spans="4:8" ht="18" customHeight="1">
      <c r="D156" s="1070">
        <v>214360</v>
      </c>
      <c r="E156" s="552" t="s">
        <v>166</v>
      </c>
      <c r="F156" s="552">
        <f t="shared" si="25"/>
        <v>0</v>
      </c>
      <c r="G156" s="552">
        <f t="shared" si="26"/>
        <v>0</v>
      </c>
      <c r="H156" s="1071">
        <f t="shared" si="27"/>
        <v>0</v>
      </c>
    </row>
    <row r="157" spans="4:8" ht="18" customHeight="1">
      <c r="D157" s="676" t="s">
        <v>1852</v>
      </c>
      <c r="E157" s="1165" t="s">
        <v>2022</v>
      </c>
      <c r="F157" s="552">
        <f t="shared" si="25"/>
        <v>0</v>
      </c>
      <c r="G157" s="552">
        <f t="shared" si="26"/>
        <v>0</v>
      </c>
      <c r="H157" s="1071">
        <f>F157-G157</f>
        <v>0</v>
      </c>
    </row>
    <row r="158" spans="4:8" ht="18" customHeight="1">
      <c r="D158" s="1070">
        <v>214150</v>
      </c>
      <c r="E158" s="552" t="s">
        <v>167</v>
      </c>
      <c r="F158" s="552">
        <f t="shared" si="25"/>
        <v>0</v>
      </c>
      <c r="G158" s="552">
        <f t="shared" si="26"/>
        <v>0</v>
      </c>
      <c r="H158" s="1071">
        <f t="shared" si="27"/>
        <v>0</v>
      </c>
    </row>
    <row r="159" spans="4:8" ht="18" customHeight="1">
      <c r="D159" s="1070">
        <v>214250</v>
      </c>
      <c r="E159" s="1165" t="s">
        <v>1829</v>
      </c>
      <c r="F159" s="552">
        <f t="shared" si="25"/>
        <v>0</v>
      </c>
      <c r="G159" s="552">
        <f t="shared" si="26"/>
        <v>0</v>
      </c>
      <c r="H159" s="1071">
        <f t="shared" si="27"/>
        <v>0</v>
      </c>
    </row>
    <row r="160" spans="4:8" ht="18" customHeight="1">
      <c r="D160" s="1070">
        <v>214400</v>
      </c>
      <c r="E160" s="552" t="s">
        <v>168</v>
      </c>
      <c r="F160" s="552">
        <f t="shared" si="25"/>
        <v>919178</v>
      </c>
      <c r="G160" s="552">
        <f t="shared" si="26"/>
        <v>0</v>
      </c>
      <c r="H160" s="1071">
        <f t="shared" si="27"/>
        <v>919178</v>
      </c>
    </row>
    <row r="161" spans="4:8" ht="18" customHeight="1">
      <c r="D161" s="1070">
        <v>214600</v>
      </c>
      <c r="E161" s="552" t="s">
        <v>169</v>
      </c>
      <c r="F161" s="552">
        <f t="shared" si="25"/>
        <v>0</v>
      </c>
      <c r="G161" s="552">
        <f t="shared" si="26"/>
        <v>0</v>
      </c>
      <c r="H161" s="1071">
        <f t="shared" si="27"/>
        <v>0</v>
      </c>
    </row>
    <row r="162" spans="4:8" ht="18" customHeight="1">
      <c r="D162" s="1070">
        <v>214700</v>
      </c>
      <c r="E162" s="552" t="s">
        <v>170</v>
      </c>
      <c r="F162" s="552">
        <f t="shared" si="25"/>
        <v>0</v>
      </c>
      <c r="G162" s="552">
        <f t="shared" si="26"/>
        <v>0</v>
      </c>
      <c r="H162" s="1071">
        <f t="shared" si="27"/>
        <v>0</v>
      </c>
    </row>
    <row r="163" spans="4:8" ht="18" customHeight="1">
      <c r="D163" s="1070">
        <v>215100</v>
      </c>
      <c r="E163" s="552" t="s">
        <v>171</v>
      </c>
      <c r="F163" s="552">
        <f t="shared" si="25"/>
        <v>0</v>
      </c>
      <c r="G163" s="552">
        <f t="shared" si="26"/>
        <v>0</v>
      </c>
      <c r="H163" s="1071">
        <f t="shared" si="27"/>
        <v>0</v>
      </c>
    </row>
    <row r="164" spans="4:8" ht="18" customHeight="1">
      <c r="D164" s="1070">
        <v>215200</v>
      </c>
      <c r="E164" s="552" t="s">
        <v>172</v>
      </c>
      <c r="F164" s="552">
        <f t="shared" si="25"/>
        <v>0</v>
      </c>
      <c r="G164" s="552">
        <f t="shared" si="26"/>
        <v>0</v>
      </c>
      <c r="H164" s="1071">
        <f t="shared" si="27"/>
        <v>0</v>
      </c>
    </row>
    <row r="165" spans="4:8" ht="18" customHeight="1">
      <c r="D165" s="1070">
        <v>215300</v>
      </c>
      <c r="E165" s="552" t="s">
        <v>173</v>
      </c>
      <c r="F165" s="552">
        <f t="shared" si="25"/>
        <v>0</v>
      </c>
      <c r="G165" s="552">
        <f t="shared" si="26"/>
        <v>0</v>
      </c>
      <c r="H165" s="1071">
        <f t="shared" si="27"/>
        <v>0</v>
      </c>
    </row>
    <row r="166" spans="4:8" ht="18" customHeight="1">
      <c r="D166" s="1070">
        <v>215400</v>
      </c>
      <c r="E166" s="552" t="s">
        <v>174</v>
      </c>
      <c r="F166" s="552">
        <f t="shared" si="25"/>
        <v>0</v>
      </c>
      <c r="G166" s="552">
        <f t="shared" si="26"/>
        <v>0</v>
      </c>
      <c r="H166" s="1071">
        <f t="shared" si="27"/>
        <v>0</v>
      </c>
    </row>
    <row r="167" spans="4:8" ht="18" customHeight="1">
      <c r="D167" s="1070">
        <v>215500</v>
      </c>
      <c r="E167" s="552" t="s">
        <v>175</v>
      </c>
      <c r="F167" s="552">
        <f t="shared" si="25"/>
        <v>0</v>
      </c>
      <c r="G167" s="552">
        <f t="shared" si="26"/>
        <v>0</v>
      </c>
      <c r="H167" s="1071">
        <f t="shared" si="27"/>
        <v>0</v>
      </c>
    </row>
    <row r="168" spans="4:8" ht="18" customHeight="1">
      <c r="D168" s="1070">
        <v>215900</v>
      </c>
      <c r="E168" s="552" t="s">
        <v>176</v>
      </c>
      <c r="F168" s="552">
        <f t="shared" si="25"/>
        <v>0</v>
      </c>
      <c r="G168" s="552">
        <f t="shared" si="26"/>
        <v>0</v>
      </c>
      <c r="H168" s="1071">
        <f t="shared" si="27"/>
        <v>0</v>
      </c>
    </row>
    <row r="169" spans="4:8" ht="18" customHeight="1">
      <c r="D169" s="1070">
        <v>215700</v>
      </c>
      <c r="E169" s="552" t="s">
        <v>177</v>
      </c>
      <c r="F169" s="552">
        <f t="shared" si="25"/>
        <v>0</v>
      </c>
      <c r="G169" s="552">
        <f t="shared" si="26"/>
        <v>0</v>
      </c>
      <c r="H169" s="1071">
        <f t="shared" si="27"/>
        <v>0</v>
      </c>
    </row>
    <row r="170" spans="4:8" ht="18" customHeight="1">
      <c r="D170" s="1070">
        <v>215800</v>
      </c>
      <c r="E170" s="552" t="s">
        <v>178</v>
      </c>
      <c r="F170" s="552">
        <f t="shared" si="25"/>
        <v>0</v>
      </c>
      <c r="G170" s="552">
        <f t="shared" si="26"/>
        <v>0</v>
      </c>
      <c r="H170" s="1071">
        <f t="shared" si="27"/>
        <v>0</v>
      </c>
    </row>
    <row r="171" spans="4:8" ht="18" customHeight="1">
      <c r="D171" s="1070">
        <v>219000</v>
      </c>
      <c r="E171" s="552" t="s">
        <v>179</v>
      </c>
      <c r="F171" s="552">
        <f t="shared" si="25"/>
        <v>0</v>
      </c>
      <c r="G171" s="552">
        <f t="shared" si="26"/>
        <v>0</v>
      </c>
      <c r="H171" s="1071">
        <f t="shared" si="27"/>
        <v>0</v>
      </c>
    </row>
    <row r="172" spans="4:8" ht="18" customHeight="1">
      <c r="D172" s="1070">
        <v>223100</v>
      </c>
      <c r="E172" s="552" t="s">
        <v>180</v>
      </c>
      <c r="F172" s="552">
        <f t="shared" si="25"/>
        <v>0</v>
      </c>
      <c r="G172" s="552">
        <f t="shared" si="26"/>
        <v>0</v>
      </c>
      <c r="H172" s="1071">
        <f t="shared" si="27"/>
        <v>0</v>
      </c>
    </row>
    <row r="173" spans="4:8" ht="18" customHeight="1">
      <c r="D173" s="1070">
        <v>223130</v>
      </c>
      <c r="E173" s="552" t="s">
        <v>181</v>
      </c>
      <c r="F173" s="552">
        <f t="shared" si="25"/>
        <v>0</v>
      </c>
      <c r="G173" s="552">
        <f t="shared" si="26"/>
        <v>0</v>
      </c>
      <c r="H173" s="1071">
        <f t="shared" si="27"/>
        <v>0</v>
      </c>
    </row>
    <row r="174" spans="4:8" ht="18" customHeight="1">
      <c r="D174" s="1064"/>
      <c r="E174" s="1065" t="s">
        <v>182</v>
      </c>
      <c r="F174" s="1065"/>
      <c r="G174" s="1065"/>
      <c r="H174" s="1066"/>
    </row>
    <row r="175" spans="4:8" ht="18" customHeight="1">
      <c r="D175" s="1070">
        <v>223110</v>
      </c>
      <c r="E175" s="552" t="s">
        <v>182</v>
      </c>
      <c r="F175" s="552">
        <f>SUMIF($J:$J,$D175,L:L)</f>
        <v>0</v>
      </c>
      <c r="G175" s="552">
        <f>SUMIF($J:$J,$D175,M:M)</f>
        <v>0</v>
      </c>
      <c r="H175" s="1071">
        <f>F175-G175</f>
        <v>0</v>
      </c>
    </row>
    <row r="176" spans="4:8" ht="18" customHeight="1">
      <c r="D176" s="1064"/>
      <c r="E176" s="1065" t="s">
        <v>218</v>
      </c>
      <c r="F176" s="1065"/>
      <c r="G176" s="1065"/>
      <c r="H176" s="1066"/>
    </row>
    <row r="177" spans="4:8" ht="18" customHeight="1">
      <c r="D177" s="1112" t="s">
        <v>224</v>
      </c>
      <c r="E177" s="552" t="s">
        <v>218</v>
      </c>
      <c r="F177" s="552">
        <f>SUMIF($J:$J,$D177,L:L)</f>
        <v>0</v>
      </c>
      <c r="G177" s="552">
        <f>SUMIF($J:$J,$D177,M:M)</f>
        <v>0</v>
      </c>
      <c r="H177" s="1071">
        <f>F177-G177</f>
        <v>0</v>
      </c>
    </row>
    <row r="178" spans="4:8" ht="18" customHeight="1">
      <c r="D178" s="1052"/>
      <c r="E178" s="995" t="s">
        <v>183</v>
      </c>
      <c r="F178" s="995"/>
      <c r="G178" s="995"/>
      <c r="H178" s="1053"/>
    </row>
    <row r="179" spans="4:8" ht="18" customHeight="1">
      <c r="D179" s="1064"/>
      <c r="E179" s="1065" t="s">
        <v>184</v>
      </c>
      <c r="F179" s="1065"/>
      <c r="G179" s="1065"/>
      <c r="H179" s="1066"/>
    </row>
    <row r="180" spans="4:8" ht="18" customHeight="1">
      <c r="D180" s="1070">
        <v>230700</v>
      </c>
      <c r="E180" s="552" t="s">
        <v>185</v>
      </c>
      <c r="F180" s="552">
        <f>SUMIF($J:$J,$D180,L:L)</f>
        <v>0</v>
      </c>
      <c r="G180" s="552">
        <f>SUMIF($J:$J,$D180,M:M)</f>
        <v>0</v>
      </c>
      <c r="H180" s="1071">
        <f>F180-G180</f>
        <v>0</v>
      </c>
    </row>
    <row r="181" spans="4:8" ht="18" customHeight="1">
      <c r="D181" s="1070">
        <v>122110</v>
      </c>
      <c r="E181" s="552" t="s">
        <v>186</v>
      </c>
      <c r="F181" s="552">
        <f>SUMIF($J:$J,$D181,L:L)</f>
        <v>0</v>
      </c>
      <c r="G181" s="552">
        <f>SUMIF($J:$J,$D181,M:M)</f>
        <v>0</v>
      </c>
      <c r="H181" s="1071">
        <f>F181-G181</f>
        <v>0</v>
      </c>
    </row>
    <row r="182" spans="4:8" ht="18" customHeight="1">
      <c r="D182" s="1064"/>
      <c r="E182" s="1065" t="s">
        <v>187</v>
      </c>
      <c r="F182" s="1065"/>
      <c r="G182" s="1065"/>
      <c r="H182" s="1066"/>
    </row>
    <row r="183" spans="4:8" ht="18" customHeight="1">
      <c r="D183" s="1070">
        <v>230900</v>
      </c>
      <c r="E183" s="552" t="s">
        <v>188</v>
      </c>
      <c r="F183" s="552">
        <f>SUMIF($J:$J,$D183,L:L)</f>
        <v>0</v>
      </c>
      <c r="G183" s="552">
        <f>SUMIF($J:$J,$D183,M:M)</f>
        <v>0</v>
      </c>
      <c r="H183" s="1071">
        <f>F183-G183</f>
        <v>0</v>
      </c>
    </row>
    <row r="184" spans="4:8" ht="18" customHeight="1">
      <c r="D184" s="1064"/>
      <c r="E184" s="1065" t="s">
        <v>189</v>
      </c>
      <c r="F184" s="1065"/>
      <c r="G184" s="1065"/>
      <c r="H184" s="1066"/>
    </row>
    <row r="185" spans="4:8" ht="18" customHeight="1">
      <c r="D185" s="1070">
        <v>231600</v>
      </c>
      <c r="E185" s="552" t="s">
        <v>189</v>
      </c>
      <c r="F185" s="552">
        <f>SUMIF($J:$J,$D185,L:L)</f>
        <v>0</v>
      </c>
      <c r="G185" s="552">
        <f>SUMIF($J:$J,$D185,M:M)</f>
        <v>0</v>
      </c>
      <c r="H185" s="1071">
        <f>F185-G185</f>
        <v>0</v>
      </c>
    </row>
    <row r="186" spans="4:8" ht="18" customHeight="1">
      <c r="D186" s="1039"/>
      <c r="E186" s="1040" t="s">
        <v>14</v>
      </c>
      <c r="F186" s="1040"/>
      <c r="G186" s="1040"/>
      <c r="H186" s="1041"/>
    </row>
    <row r="187" spans="4:8" ht="18" customHeight="1">
      <c r="D187" s="1052"/>
      <c r="E187" s="995" t="s">
        <v>11</v>
      </c>
      <c r="F187" s="995"/>
      <c r="G187" s="995"/>
      <c r="H187" s="1053"/>
    </row>
    <row r="188" spans="4:8" ht="18" customHeight="1">
      <c r="D188" s="1064"/>
      <c r="E188" s="1065" t="s">
        <v>10</v>
      </c>
      <c r="F188" s="1065"/>
      <c r="G188" s="1065"/>
      <c r="H188" s="1066"/>
    </row>
    <row r="189" spans="4:8" ht="18" customHeight="1">
      <c r="D189" s="1070">
        <v>310100</v>
      </c>
      <c r="E189" s="552" t="s">
        <v>190</v>
      </c>
      <c r="F189" s="552">
        <f>SUMIF($J:$J,$D189,L:L)</f>
        <v>0</v>
      </c>
      <c r="G189" s="552">
        <f>SUMIF($J:$J,$D189,M:M)</f>
        <v>0</v>
      </c>
      <c r="H189" s="1071">
        <f>F189-G189</f>
        <v>0</v>
      </c>
    </row>
    <row r="190" spans="4:8" ht="18" customHeight="1">
      <c r="D190" s="1064"/>
      <c r="E190" s="1065" t="s">
        <v>12</v>
      </c>
      <c r="F190" s="1065"/>
      <c r="G190" s="1065"/>
      <c r="H190" s="1066"/>
    </row>
    <row r="191" spans="4:8" ht="18" customHeight="1">
      <c r="D191" s="1070">
        <v>320100</v>
      </c>
      <c r="E191" s="552" t="s">
        <v>191</v>
      </c>
      <c r="F191" s="552">
        <f t="shared" ref="F191:G193" si="28">SUMIF($J:$J,$D191,L:L)</f>
        <v>0</v>
      </c>
      <c r="G191" s="552">
        <f t="shared" si="28"/>
        <v>0</v>
      </c>
      <c r="H191" s="1071">
        <f>F191-G191</f>
        <v>0</v>
      </c>
    </row>
    <row r="192" spans="4:8" ht="18" customHeight="1">
      <c r="D192" s="1070">
        <v>320500</v>
      </c>
      <c r="E192" s="552" t="s">
        <v>192</v>
      </c>
      <c r="F192" s="552">
        <f t="shared" si="28"/>
        <v>0</v>
      </c>
      <c r="G192" s="552">
        <f t="shared" si="28"/>
        <v>0</v>
      </c>
      <c r="H192" s="1071">
        <f>F192-G192</f>
        <v>0</v>
      </c>
    </row>
    <row r="193" spans="4:8" ht="18" customHeight="1">
      <c r="D193" s="1070">
        <v>320300</v>
      </c>
      <c r="E193" s="552" t="s">
        <v>193</v>
      </c>
      <c r="F193" s="552">
        <f t="shared" si="28"/>
        <v>0</v>
      </c>
      <c r="G193" s="552">
        <f t="shared" si="28"/>
        <v>0</v>
      </c>
      <c r="H193" s="1071">
        <f>F193-G193</f>
        <v>0</v>
      </c>
    </row>
    <row r="194" spans="4:8" ht="18" customHeight="1">
      <c r="D194" s="1064"/>
      <c r="E194" s="1065" t="s">
        <v>194</v>
      </c>
      <c r="F194" s="1065"/>
      <c r="G194" s="1065"/>
      <c r="H194" s="1066"/>
    </row>
    <row r="195" spans="4:8" ht="18" customHeight="1">
      <c r="D195" s="1070">
        <v>350300</v>
      </c>
      <c r="E195" s="552" t="s">
        <v>195</v>
      </c>
      <c r="F195" s="552">
        <f t="shared" ref="F195:G202" si="29">SUMIF($J:$J,$D195,L:L)</f>
        <v>0</v>
      </c>
      <c r="G195" s="552">
        <f t="shared" si="29"/>
        <v>0</v>
      </c>
      <c r="H195" s="1071">
        <f t="shared" ref="H195:H202" si="30">F195-G195</f>
        <v>0</v>
      </c>
    </row>
    <row r="196" spans="4:8" ht="18" customHeight="1">
      <c r="D196" s="1070">
        <v>350350</v>
      </c>
      <c r="E196" s="552" t="s">
        <v>196</v>
      </c>
      <c r="F196" s="552">
        <f t="shared" si="29"/>
        <v>0</v>
      </c>
      <c r="G196" s="552">
        <f t="shared" si="29"/>
        <v>0</v>
      </c>
      <c r="H196" s="1071">
        <f t="shared" si="30"/>
        <v>0</v>
      </c>
    </row>
    <row r="197" spans="4:8" ht="18" customHeight="1">
      <c r="D197" s="1070" t="s">
        <v>226</v>
      </c>
      <c r="E197" s="552" t="s">
        <v>225</v>
      </c>
      <c r="F197" s="552">
        <f t="shared" si="29"/>
        <v>0</v>
      </c>
      <c r="G197" s="552">
        <f t="shared" si="29"/>
        <v>0</v>
      </c>
      <c r="H197" s="1071">
        <f t="shared" si="30"/>
        <v>0</v>
      </c>
    </row>
    <row r="198" spans="4:8" ht="18" customHeight="1">
      <c r="D198" s="1070">
        <v>350400</v>
      </c>
      <c r="E198" s="552" t="s">
        <v>197</v>
      </c>
      <c r="F198" s="552">
        <f t="shared" si="29"/>
        <v>0</v>
      </c>
      <c r="G198" s="552">
        <f t="shared" si="29"/>
        <v>0</v>
      </c>
      <c r="H198" s="1071">
        <f t="shared" si="30"/>
        <v>0</v>
      </c>
    </row>
    <row r="199" spans="4:8" ht="18" customHeight="1">
      <c r="D199" s="1070">
        <v>350210</v>
      </c>
      <c r="E199" s="552" t="s">
        <v>198</v>
      </c>
      <c r="F199" s="552">
        <f t="shared" si="29"/>
        <v>0</v>
      </c>
      <c r="G199" s="552">
        <f t="shared" si="29"/>
        <v>0</v>
      </c>
      <c r="H199" s="1071">
        <f t="shared" si="30"/>
        <v>0</v>
      </c>
    </row>
    <row r="200" spans="4:8" ht="18" customHeight="1">
      <c r="D200" s="1070" t="s">
        <v>199</v>
      </c>
      <c r="E200" s="552" t="s">
        <v>200</v>
      </c>
      <c r="F200" s="552">
        <f t="shared" si="29"/>
        <v>0</v>
      </c>
      <c r="G200" s="552">
        <f t="shared" si="29"/>
        <v>0</v>
      </c>
      <c r="H200" s="1071">
        <f t="shared" si="30"/>
        <v>0</v>
      </c>
    </row>
    <row r="201" spans="4:8" ht="18" customHeight="1">
      <c r="D201" s="1070" t="s">
        <v>201</v>
      </c>
      <c r="E201" s="552" t="s">
        <v>202</v>
      </c>
      <c r="F201" s="552">
        <f t="shared" si="29"/>
        <v>0</v>
      </c>
      <c r="G201" s="552">
        <f t="shared" si="29"/>
        <v>0</v>
      </c>
      <c r="H201" s="1071">
        <f t="shared" si="30"/>
        <v>0</v>
      </c>
    </row>
    <row r="202" spans="4:8" ht="18" customHeight="1">
      <c r="D202" s="1070" t="s">
        <v>203</v>
      </c>
      <c r="E202" s="552" t="s">
        <v>204</v>
      </c>
      <c r="F202" s="552">
        <f t="shared" si="29"/>
        <v>0</v>
      </c>
      <c r="G202" s="552">
        <f t="shared" si="29"/>
        <v>0</v>
      </c>
      <c r="H202" s="1071">
        <f t="shared" si="30"/>
        <v>0</v>
      </c>
    </row>
    <row r="203" spans="4:8" ht="18" customHeight="1">
      <c r="D203" s="1064"/>
      <c r="E203" s="1065" t="s">
        <v>13</v>
      </c>
      <c r="F203" s="1065"/>
      <c r="G203" s="1065"/>
      <c r="H203" s="1066"/>
    </row>
    <row r="204" spans="4:8" ht="18" customHeight="1">
      <c r="D204" s="1070">
        <v>350951</v>
      </c>
      <c r="E204" s="552" t="s">
        <v>205</v>
      </c>
      <c r="F204" s="552">
        <f t="shared" ref="F204:G206" si="31">SUMIF($J:$J,$D204,L:L)</f>
        <v>0</v>
      </c>
      <c r="G204" s="552">
        <f t="shared" si="31"/>
        <v>0</v>
      </c>
      <c r="H204" s="1071">
        <f>F204-G204</f>
        <v>0</v>
      </c>
    </row>
    <row r="205" spans="4:8" ht="18" customHeight="1">
      <c r="D205" s="1070" t="s">
        <v>1354</v>
      </c>
      <c r="E205" s="552" t="s">
        <v>207</v>
      </c>
      <c r="F205" s="552">
        <f t="shared" si="31"/>
        <v>-1541057535</v>
      </c>
      <c r="G205" s="552">
        <f t="shared" si="31"/>
        <v>466667</v>
      </c>
      <c r="H205" s="1071">
        <f>F205-G205</f>
        <v>-1541524202</v>
      </c>
    </row>
    <row r="206" spans="4:8" ht="18" customHeight="1">
      <c r="D206" s="1070" t="s">
        <v>1355</v>
      </c>
      <c r="E206" s="552" t="s">
        <v>209</v>
      </c>
      <c r="F206" s="552">
        <f t="shared" si="31"/>
        <v>0</v>
      </c>
      <c r="G206" s="552">
        <f t="shared" si="31"/>
        <v>0</v>
      </c>
      <c r="H206" s="1071">
        <f>F206-G206</f>
        <v>0</v>
      </c>
    </row>
    <row r="207" spans="4:8" ht="18" customHeight="1">
      <c r="D207" s="1052"/>
      <c r="E207" s="995" t="s">
        <v>210</v>
      </c>
      <c r="F207" s="995"/>
      <c r="G207" s="995"/>
      <c r="H207" s="1053"/>
    </row>
    <row r="208" spans="4:8" ht="18" customHeight="1">
      <c r="D208" s="1070" t="s">
        <v>492</v>
      </c>
      <c r="E208" s="943" t="s">
        <v>210</v>
      </c>
      <c r="F208" s="943">
        <f>SUMIF($J:$J,$D208,L:L)</f>
        <v>0</v>
      </c>
      <c r="G208" s="943">
        <f>SUMIF($J:$J,$D208,M:M)</f>
        <v>0</v>
      </c>
      <c r="H208" s="1071">
        <f>F208-G208</f>
        <v>0</v>
      </c>
    </row>
    <row r="209" spans="4:8" ht="18" customHeight="1" thickBot="1">
      <c r="D209" s="1166"/>
      <c r="E209" s="1167" t="s">
        <v>212</v>
      </c>
      <c r="F209" s="1167"/>
      <c r="G209" s="1167"/>
      <c r="H209" s="1168"/>
    </row>
    <row r="210" spans="4:8" ht="18" customHeight="1">
      <c r="D210" s="1169"/>
      <c r="E210" s="494"/>
      <c r="F210" s="494">
        <f>SUM(F6:F209)</f>
        <v>860336587</v>
      </c>
      <c r="G210" s="494">
        <f>SUM(G6:G209)</f>
        <v>2685209863</v>
      </c>
      <c r="H210" s="494"/>
    </row>
    <row r="211" spans="4:8" ht="18" customHeight="1">
      <c r="D211" s="1170"/>
    </row>
    <row r="212" spans="4:8" ht="18" customHeight="1" thickBot="1">
      <c r="D212" s="1171" t="s">
        <v>408</v>
      </c>
      <c r="H212" s="498">
        <f>ROUND(SUM(H214:H317),)</f>
        <v>1824873276</v>
      </c>
    </row>
    <row r="213" spans="4:8" ht="18" customHeight="1">
      <c r="D213" s="1172" t="s">
        <v>16</v>
      </c>
      <c r="E213" s="1028" t="s">
        <v>19</v>
      </c>
      <c r="F213" s="1028" t="s">
        <v>404</v>
      </c>
      <c r="G213" s="1028" t="s">
        <v>405</v>
      </c>
      <c r="H213" s="1029" t="s">
        <v>406</v>
      </c>
    </row>
    <row r="214" spans="4:8" ht="18" customHeight="1">
      <c r="D214" s="1052"/>
      <c r="E214" s="1173" t="s">
        <v>228</v>
      </c>
      <c r="F214" s="1174"/>
      <c r="G214" s="1174"/>
      <c r="H214" s="1175"/>
    </row>
    <row r="215" spans="4:8" ht="18" customHeight="1">
      <c r="D215" s="1070">
        <v>410100</v>
      </c>
      <c r="E215" s="552" t="s">
        <v>612</v>
      </c>
      <c r="F215" s="552">
        <f t="shared" ref="F215:F230" si="32">SUMIF($J:$J,$D215,L:L)</f>
        <v>0</v>
      </c>
      <c r="G215" s="552">
        <f t="shared" ref="G215:G230" si="33">SUMIF($J:$J,$D215,M:M)</f>
        <v>0</v>
      </c>
      <c r="H215" s="1071">
        <f>F215-G215</f>
        <v>0</v>
      </c>
    </row>
    <row r="216" spans="4:8" ht="18" customHeight="1">
      <c r="D216" s="1070">
        <v>410120</v>
      </c>
      <c r="E216" s="552" t="s">
        <v>613</v>
      </c>
      <c r="F216" s="552">
        <f t="shared" si="32"/>
        <v>0</v>
      </c>
      <c r="G216" s="552">
        <f t="shared" si="33"/>
        <v>0</v>
      </c>
      <c r="H216" s="1071">
        <f t="shared" ref="H216:H230" si="34">F216-G216</f>
        <v>0</v>
      </c>
    </row>
    <row r="217" spans="4:8" ht="18" customHeight="1">
      <c r="D217" s="1070">
        <v>410130</v>
      </c>
      <c r="E217" s="552" t="s">
        <v>614</v>
      </c>
      <c r="F217" s="552">
        <f t="shared" si="32"/>
        <v>1117698369</v>
      </c>
      <c r="G217" s="552">
        <f t="shared" si="33"/>
        <v>0</v>
      </c>
      <c r="H217" s="1071">
        <f>F217-G217</f>
        <v>1117698369</v>
      </c>
    </row>
    <row r="218" spans="4:8" ht="18" customHeight="1">
      <c r="D218" s="1070">
        <v>410140</v>
      </c>
      <c r="E218" s="552" t="s">
        <v>615</v>
      </c>
      <c r="F218" s="552">
        <f t="shared" si="32"/>
        <v>0</v>
      </c>
      <c r="G218" s="552">
        <f t="shared" si="33"/>
        <v>0</v>
      </c>
      <c r="H218" s="1071">
        <f t="shared" si="34"/>
        <v>0</v>
      </c>
    </row>
    <row r="219" spans="4:8" ht="18" customHeight="1">
      <c r="D219" s="1070">
        <v>410200</v>
      </c>
      <c r="E219" s="552" t="s">
        <v>616</v>
      </c>
      <c r="F219" s="552">
        <f t="shared" si="32"/>
        <v>0</v>
      </c>
      <c r="G219" s="552">
        <f t="shared" si="33"/>
        <v>0</v>
      </c>
      <c r="H219" s="1071">
        <f t="shared" si="34"/>
        <v>0</v>
      </c>
    </row>
    <row r="220" spans="4:8" ht="18" customHeight="1">
      <c r="D220" s="1070">
        <v>410220</v>
      </c>
      <c r="E220" s="552" t="s">
        <v>617</v>
      </c>
      <c r="F220" s="552">
        <f t="shared" si="32"/>
        <v>0</v>
      </c>
      <c r="G220" s="552">
        <f t="shared" si="33"/>
        <v>0</v>
      </c>
      <c r="H220" s="1071">
        <f t="shared" si="34"/>
        <v>0</v>
      </c>
    </row>
    <row r="221" spans="4:8" ht="18" customHeight="1">
      <c r="D221" s="1070">
        <v>410230</v>
      </c>
      <c r="E221" s="552" t="s">
        <v>618</v>
      </c>
      <c r="F221" s="552">
        <f t="shared" si="32"/>
        <v>0</v>
      </c>
      <c r="G221" s="552">
        <f t="shared" si="33"/>
        <v>0</v>
      </c>
      <c r="H221" s="1071">
        <f t="shared" si="34"/>
        <v>0</v>
      </c>
    </row>
    <row r="222" spans="4:8" ht="18" customHeight="1">
      <c r="D222" s="1070">
        <v>410240</v>
      </c>
      <c r="E222" s="552" t="s">
        <v>619</v>
      </c>
      <c r="F222" s="552">
        <f t="shared" si="32"/>
        <v>2628025</v>
      </c>
      <c r="G222" s="552">
        <f t="shared" si="33"/>
        <v>0</v>
      </c>
      <c r="H222" s="1071">
        <f t="shared" si="34"/>
        <v>2628025</v>
      </c>
    </row>
    <row r="223" spans="4:8" ht="18" customHeight="1">
      <c r="D223" s="1070">
        <v>410241</v>
      </c>
      <c r="E223" s="552" t="s">
        <v>620</v>
      </c>
      <c r="F223" s="552">
        <f t="shared" si="32"/>
        <v>0</v>
      </c>
      <c r="G223" s="552">
        <f t="shared" si="33"/>
        <v>0</v>
      </c>
      <c r="H223" s="1071">
        <f t="shared" si="34"/>
        <v>0</v>
      </c>
    </row>
    <row r="224" spans="4:8" ht="18" customHeight="1">
      <c r="D224" s="1070">
        <v>410610</v>
      </c>
      <c r="E224" s="552" t="s">
        <v>231</v>
      </c>
      <c r="F224" s="552">
        <f t="shared" si="32"/>
        <v>0</v>
      </c>
      <c r="G224" s="552">
        <f t="shared" si="33"/>
        <v>0</v>
      </c>
      <c r="H224" s="1071">
        <f t="shared" si="34"/>
        <v>0</v>
      </c>
    </row>
    <row r="225" spans="4:8" ht="18" customHeight="1">
      <c r="D225" s="1070">
        <v>410620</v>
      </c>
      <c r="E225" s="552" t="s">
        <v>232</v>
      </c>
      <c r="F225" s="552">
        <f t="shared" si="32"/>
        <v>0</v>
      </c>
      <c r="G225" s="552">
        <f t="shared" si="33"/>
        <v>0</v>
      </c>
      <c r="H225" s="1071">
        <f t="shared" si="34"/>
        <v>0</v>
      </c>
    </row>
    <row r="226" spans="4:8" ht="18" customHeight="1">
      <c r="D226" s="1070">
        <v>410630</v>
      </c>
      <c r="E226" s="552" t="s">
        <v>233</v>
      </c>
      <c r="F226" s="552">
        <f t="shared" si="32"/>
        <v>0</v>
      </c>
      <c r="G226" s="552">
        <f t="shared" si="33"/>
        <v>0</v>
      </c>
      <c r="H226" s="1071">
        <f t="shared" si="34"/>
        <v>0</v>
      </c>
    </row>
    <row r="227" spans="4:8" ht="18" customHeight="1">
      <c r="D227" s="1070">
        <v>410640</v>
      </c>
      <c r="E227" s="552" t="s">
        <v>234</v>
      </c>
      <c r="F227" s="552">
        <f t="shared" si="32"/>
        <v>0</v>
      </c>
      <c r="G227" s="552">
        <f t="shared" si="33"/>
        <v>0</v>
      </c>
      <c r="H227" s="1071">
        <f t="shared" si="34"/>
        <v>0</v>
      </c>
    </row>
    <row r="228" spans="4:8" ht="18" customHeight="1">
      <c r="D228" s="1070">
        <v>410650</v>
      </c>
      <c r="E228" s="552" t="s">
        <v>235</v>
      </c>
      <c r="F228" s="552">
        <f t="shared" si="32"/>
        <v>0</v>
      </c>
      <c r="G228" s="552">
        <f t="shared" si="33"/>
        <v>0</v>
      </c>
      <c r="H228" s="1071">
        <f t="shared" si="34"/>
        <v>0</v>
      </c>
    </row>
    <row r="229" spans="4:8" ht="18" customHeight="1">
      <c r="D229" s="1070">
        <v>410660</v>
      </c>
      <c r="E229" s="552" t="s">
        <v>236</v>
      </c>
      <c r="F229" s="552">
        <f t="shared" si="32"/>
        <v>0</v>
      </c>
      <c r="G229" s="552">
        <f t="shared" si="33"/>
        <v>0</v>
      </c>
      <c r="H229" s="1071">
        <f t="shared" si="34"/>
        <v>0</v>
      </c>
    </row>
    <row r="230" spans="4:8" ht="18" customHeight="1">
      <c r="D230" s="1070">
        <v>410899</v>
      </c>
      <c r="E230" s="552" t="s">
        <v>237</v>
      </c>
      <c r="F230" s="552">
        <f t="shared" si="32"/>
        <v>2084222777</v>
      </c>
      <c r="G230" s="552">
        <f t="shared" si="33"/>
        <v>0</v>
      </c>
      <c r="H230" s="1176">
        <f t="shared" si="34"/>
        <v>2084222777</v>
      </c>
    </row>
    <row r="231" spans="4:8" ht="18" customHeight="1">
      <c r="D231" s="1052"/>
      <c r="E231" s="995" t="s">
        <v>238</v>
      </c>
      <c r="F231" s="995"/>
      <c r="G231" s="995"/>
      <c r="H231" s="1053"/>
    </row>
    <row r="232" spans="4:8" ht="18" customHeight="1">
      <c r="D232" s="1070" t="s">
        <v>239</v>
      </c>
      <c r="E232" s="552" t="s">
        <v>240</v>
      </c>
      <c r="F232" s="552">
        <f t="shared" ref="F232:F240" si="35">SUMIF($J:$J,$D232,L:L)</f>
        <v>0</v>
      </c>
      <c r="G232" s="552">
        <f t="shared" ref="G232:G240" si="36">SUMIF($J:$J,$D232,M:M)</f>
        <v>1117698369</v>
      </c>
      <c r="H232" s="1071">
        <f t="shared" ref="H232:H240" si="37">F232-G232</f>
        <v>-1117698369</v>
      </c>
    </row>
    <row r="233" spans="4:8" ht="18" customHeight="1">
      <c r="D233" s="1070" t="s">
        <v>241</v>
      </c>
      <c r="E233" s="552" t="s">
        <v>242</v>
      </c>
      <c r="F233" s="552">
        <f t="shared" si="35"/>
        <v>0</v>
      </c>
      <c r="G233" s="552">
        <f t="shared" si="36"/>
        <v>0</v>
      </c>
      <c r="H233" s="1071">
        <f t="shared" si="37"/>
        <v>0</v>
      </c>
    </row>
    <row r="234" spans="4:8" ht="18" customHeight="1">
      <c r="D234" s="1070" t="s">
        <v>243</v>
      </c>
      <c r="E234" s="552" t="s">
        <v>244</v>
      </c>
      <c r="F234" s="552">
        <f t="shared" si="35"/>
        <v>0</v>
      </c>
      <c r="G234" s="552">
        <f t="shared" si="36"/>
        <v>0</v>
      </c>
      <c r="H234" s="1071">
        <f t="shared" si="37"/>
        <v>0</v>
      </c>
    </row>
    <row r="235" spans="4:8" ht="18" customHeight="1">
      <c r="D235" s="1070" t="s">
        <v>245</v>
      </c>
      <c r="E235" s="552" t="s">
        <v>246</v>
      </c>
      <c r="F235" s="552">
        <f t="shared" si="35"/>
        <v>0</v>
      </c>
      <c r="G235" s="552">
        <f t="shared" si="36"/>
        <v>0</v>
      </c>
      <c r="H235" s="1071">
        <f t="shared" si="37"/>
        <v>0</v>
      </c>
    </row>
    <row r="236" spans="4:8" ht="18" customHeight="1">
      <c r="D236" s="1070" t="s">
        <v>247</v>
      </c>
      <c r="E236" s="552" t="s">
        <v>248</v>
      </c>
      <c r="F236" s="552">
        <f t="shared" si="35"/>
        <v>0</v>
      </c>
      <c r="G236" s="552">
        <f t="shared" si="36"/>
        <v>0</v>
      </c>
      <c r="H236" s="1071">
        <f t="shared" si="37"/>
        <v>0</v>
      </c>
    </row>
    <row r="237" spans="4:8" ht="18" customHeight="1">
      <c r="D237" s="1070" t="s">
        <v>249</v>
      </c>
      <c r="E237" s="552" t="s">
        <v>250</v>
      </c>
      <c r="F237" s="552">
        <f t="shared" si="35"/>
        <v>0</v>
      </c>
      <c r="G237" s="552">
        <f t="shared" si="36"/>
        <v>0</v>
      </c>
      <c r="H237" s="1071">
        <f t="shared" si="37"/>
        <v>0</v>
      </c>
    </row>
    <row r="238" spans="4:8" ht="18" customHeight="1">
      <c r="D238" s="1070" t="s">
        <v>251</v>
      </c>
      <c r="E238" s="552" t="s">
        <v>252</v>
      </c>
      <c r="F238" s="552">
        <f t="shared" si="35"/>
        <v>0</v>
      </c>
      <c r="G238" s="552">
        <f t="shared" si="36"/>
        <v>0</v>
      </c>
      <c r="H238" s="1071">
        <f t="shared" si="37"/>
        <v>0</v>
      </c>
    </row>
    <row r="239" spans="4:8" ht="18" customHeight="1">
      <c r="D239" s="1070" t="s">
        <v>253</v>
      </c>
      <c r="E239" s="552" t="s">
        <v>254</v>
      </c>
      <c r="F239" s="552">
        <f t="shared" si="35"/>
        <v>0</v>
      </c>
      <c r="G239" s="552">
        <f t="shared" si="36"/>
        <v>0</v>
      </c>
      <c r="H239" s="1071">
        <f t="shared" si="37"/>
        <v>0</v>
      </c>
    </row>
    <row r="240" spans="4:8" ht="18" customHeight="1">
      <c r="D240" s="1070" t="s">
        <v>255</v>
      </c>
      <c r="E240" s="552" t="s">
        <v>256</v>
      </c>
      <c r="F240" s="552">
        <f t="shared" si="35"/>
        <v>0</v>
      </c>
      <c r="G240" s="552">
        <f t="shared" si="36"/>
        <v>0</v>
      </c>
      <c r="H240" s="1071">
        <f t="shared" si="37"/>
        <v>0</v>
      </c>
    </row>
    <row r="241" spans="4:8" ht="18" customHeight="1">
      <c r="D241" s="1052"/>
      <c r="E241" s="995" t="s">
        <v>257</v>
      </c>
      <c r="F241" s="995"/>
      <c r="G241" s="995"/>
      <c r="H241" s="1053"/>
    </row>
    <row r="242" spans="4:8" ht="18" customHeight="1">
      <c r="D242" s="1052"/>
      <c r="E242" s="995" t="s">
        <v>258</v>
      </c>
      <c r="F242" s="995"/>
      <c r="G242" s="995"/>
      <c r="H242" s="1053"/>
    </row>
    <row r="243" spans="4:8" ht="18" customHeight="1">
      <c r="D243" s="1070" t="s">
        <v>259</v>
      </c>
      <c r="E243" s="552" t="s">
        <v>260</v>
      </c>
      <c r="F243" s="552">
        <f t="shared" ref="F243:F271" si="38">SUMIF($J:$J,$D243,L:L)</f>
        <v>0</v>
      </c>
      <c r="G243" s="552">
        <f t="shared" ref="G243:G271" si="39">SUMIF($J:$J,$D243,M:M)</f>
        <v>0</v>
      </c>
      <c r="H243" s="1071">
        <f t="shared" ref="H243:H271" si="40">F243-G243</f>
        <v>0</v>
      </c>
    </row>
    <row r="244" spans="4:8" ht="18" customHeight="1">
      <c r="D244" s="1070" t="s">
        <v>261</v>
      </c>
      <c r="E244" s="552" t="s">
        <v>262</v>
      </c>
      <c r="F244" s="552">
        <f t="shared" si="38"/>
        <v>0</v>
      </c>
      <c r="G244" s="552">
        <f t="shared" si="39"/>
        <v>0</v>
      </c>
      <c r="H244" s="1071">
        <f t="shared" si="40"/>
        <v>0</v>
      </c>
    </row>
    <row r="245" spans="4:8" ht="18" customHeight="1">
      <c r="D245" s="1070" t="s">
        <v>263</v>
      </c>
      <c r="E245" s="552" t="s">
        <v>264</v>
      </c>
      <c r="F245" s="552">
        <f t="shared" si="38"/>
        <v>0</v>
      </c>
      <c r="G245" s="552">
        <f t="shared" si="39"/>
        <v>0</v>
      </c>
      <c r="H245" s="1071">
        <f t="shared" si="40"/>
        <v>0</v>
      </c>
    </row>
    <row r="246" spans="4:8" ht="18" customHeight="1">
      <c r="D246" s="1070" t="s">
        <v>265</v>
      </c>
      <c r="E246" s="552" t="s">
        <v>266</v>
      </c>
      <c r="F246" s="552">
        <f t="shared" si="38"/>
        <v>0</v>
      </c>
      <c r="G246" s="552">
        <f t="shared" si="39"/>
        <v>0</v>
      </c>
      <c r="H246" s="1071">
        <f t="shared" si="40"/>
        <v>0</v>
      </c>
    </row>
    <row r="247" spans="4:8" ht="18" customHeight="1">
      <c r="D247" s="1070" t="s">
        <v>267</v>
      </c>
      <c r="E247" s="552" t="s">
        <v>268</v>
      </c>
      <c r="F247" s="552">
        <f t="shared" si="38"/>
        <v>0</v>
      </c>
      <c r="G247" s="552">
        <f t="shared" si="39"/>
        <v>0</v>
      </c>
      <c r="H247" s="1071">
        <f t="shared" si="40"/>
        <v>0</v>
      </c>
    </row>
    <row r="248" spans="4:8" ht="18" customHeight="1">
      <c r="D248" s="1070" t="s">
        <v>269</v>
      </c>
      <c r="E248" s="552" t="s">
        <v>270</v>
      </c>
      <c r="F248" s="552">
        <f t="shared" si="38"/>
        <v>0</v>
      </c>
      <c r="G248" s="552">
        <f t="shared" si="39"/>
        <v>0</v>
      </c>
      <c r="H248" s="1071">
        <f t="shared" si="40"/>
        <v>0</v>
      </c>
    </row>
    <row r="249" spans="4:8" ht="18" customHeight="1">
      <c r="D249" s="1070" t="s">
        <v>271</v>
      </c>
      <c r="E249" s="552" t="s">
        <v>272</v>
      </c>
      <c r="F249" s="552">
        <f t="shared" si="38"/>
        <v>0</v>
      </c>
      <c r="G249" s="552">
        <f t="shared" si="39"/>
        <v>0</v>
      </c>
      <c r="H249" s="1071">
        <f t="shared" si="40"/>
        <v>0</v>
      </c>
    </row>
    <row r="250" spans="4:8" ht="18" customHeight="1">
      <c r="D250" s="1070" t="s">
        <v>273</v>
      </c>
      <c r="E250" s="552" t="s">
        <v>274</v>
      </c>
      <c r="F250" s="552">
        <f t="shared" si="38"/>
        <v>0</v>
      </c>
      <c r="G250" s="552">
        <f t="shared" si="39"/>
        <v>0</v>
      </c>
      <c r="H250" s="1071">
        <f t="shared" si="40"/>
        <v>0</v>
      </c>
    </row>
    <row r="251" spans="4:8" ht="18" customHeight="1">
      <c r="D251" s="1070" t="s">
        <v>389</v>
      </c>
      <c r="E251" s="552" t="s">
        <v>385</v>
      </c>
      <c r="F251" s="552">
        <f t="shared" si="38"/>
        <v>0</v>
      </c>
      <c r="G251" s="552">
        <f t="shared" si="39"/>
        <v>0</v>
      </c>
      <c r="H251" s="1071">
        <f t="shared" si="40"/>
        <v>0</v>
      </c>
    </row>
    <row r="252" spans="4:8" ht="18" customHeight="1">
      <c r="D252" s="1070" t="s">
        <v>390</v>
      </c>
      <c r="E252" s="552" t="s">
        <v>386</v>
      </c>
      <c r="F252" s="552">
        <f t="shared" si="38"/>
        <v>0</v>
      </c>
      <c r="G252" s="552">
        <f t="shared" si="39"/>
        <v>0</v>
      </c>
      <c r="H252" s="1071">
        <f t="shared" si="40"/>
        <v>0</v>
      </c>
    </row>
    <row r="253" spans="4:8" ht="18" customHeight="1">
      <c r="D253" s="1070" t="s">
        <v>275</v>
      </c>
      <c r="E253" s="552" t="s">
        <v>276</v>
      </c>
      <c r="F253" s="552">
        <f t="shared" si="38"/>
        <v>0</v>
      </c>
      <c r="G253" s="552">
        <f t="shared" si="39"/>
        <v>0</v>
      </c>
      <c r="H253" s="1071">
        <f t="shared" si="40"/>
        <v>0</v>
      </c>
    </row>
    <row r="254" spans="4:8" ht="18" customHeight="1">
      <c r="D254" s="1070" t="s">
        <v>277</v>
      </c>
      <c r="E254" s="552" t="s">
        <v>278</v>
      </c>
      <c r="F254" s="552">
        <f t="shared" si="38"/>
        <v>0</v>
      </c>
      <c r="G254" s="552">
        <f t="shared" si="39"/>
        <v>0</v>
      </c>
      <c r="H254" s="1071">
        <f t="shared" si="40"/>
        <v>0</v>
      </c>
    </row>
    <row r="255" spans="4:8" ht="18" customHeight="1">
      <c r="D255" s="1070" t="s">
        <v>279</v>
      </c>
      <c r="E255" s="552" t="s">
        <v>280</v>
      </c>
      <c r="F255" s="552">
        <f t="shared" si="38"/>
        <v>0</v>
      </c>
      <c r="G255" s="552">
        <f t="shared" si="39"/>
        <v>0</v>
      </c>
      <c r="H255" s="1071">
        <f t="shared" si="40"/>
        <v>0</v>
      </c>
    </row>
    <row r="256" spans="4:8" ht="18" customHeight="1">
      <c r="D256" s="1070" t="s">
        <v>281</v>
      </c>
      <c r="E256" s="552" t="s">
        <v>282</v>
      </c>
      <c r="F256" s="552">
        <f t="shared" si="38"/>
        <v>0</v>
      </c>
      <c r="G256" s="552">
        <f t="shared" si="39"/>
        <v>0</v>
      </c>
      <c r="H256" s="1071">
        <f t="shared" si="40"/>
        <v>0</v>
      </c>
    </row>
    <row r="257" spans="4:8" ht="18" customHeight="1">
      <c r="D257" s="1070" t="s">
        <v>283</v>
      </c>
      <c r="E257" s="552" t="s">
        <v>284</v>
      </c>
      <c r="F257" s="552">
        <f t="shared" si="38"/>
        <v>0</v>
      </c>
      <c r="G257" s="552">
        <f t="shared" si="39"/>
        <v>0</v>
      </c>
      <c r="H257" s="1071">
        <f t="shared" si="40"/>
        <v>0</v>
      </c>
    </row>
    <row r="258" spans="4:8" ht="18" customHeight="1">
      <c r="D258" s="1070" t="s">
        <v>285</v>
      </c>
      <c r="E258" s="552" t="s">
        <v>286</v>
      </c>
      <c r="F258" s="552">
        <f t="shared" si="38"/>
        <v>0</v>
      </c>
      <c r="G258" s="552">
        <f t="shared" si="39"/>
        <v>0</v>
      </c>
      <c r="H258" s="1071">
        <f t="shared" si="40"/>
        <v>0</v>
      </c>
    </row>
    <row r="259" spans="4:8" ht="18" customHeight="1">
      <c r="D259" s="1070" t="s">
        <v>287</v>
      </c>
      <c r="E259" s="552" t="s">
        <v>288</v>
      </c>
      <c r="F259" s="552">
        <f t="shared" si="38"/>
        <v>0</v>
      </c>
      <c r="G259" s="552">
        <f t="shared" si="39"/>
        <v>0</v>
      </c>
      <c r="H259" s="1071">
        <f t="shared" si="40"/>
        <v>0</v>
      </c>
    </row>
    <row r="260" spans="4:8" ht="18" customHeight="1">
      <c r="D260" s="1070" t="s">
        <v>289</v>
      </c>
      <c r="E260" s="552" t="s">
        <v>290</v>
      </c>
      <c r="F260" s="552">
        <f t="shared" si="38"/>
        <v>0</v>
      </c>
      <c r="G260" s="552">
        <f t="shared" si="39"/>
        <v>0</v>
      </c>
      <c r="H260" s="1071">
        <f t="shared" si="40"/>
        <v>0</v>
      </c>
    </row>
    <row r="261" spans="4:8" ht="18" customHeight="1">
      <c r="D261" s="1070" t="s">
        <v>291</v>
      </c>
      <c r="E261" s="552" t="s">
        <v>292</v>
      </c>
      <c r="F261" s="552">
        <f t="shared" si="38"/>
        <v>0</v>
      </c>
      <c r="G261" s="552">
        <f t="shared" si="39"/>
        <v>0</v>
      </c>
      <c r="H261" s="1071">
        <f t="shared" si="40"/>
        <v>0</v>
      </c>
    </row>
    <row r="262" spans="4:8" ht="18" customHeight="1">
      <c r="D262" s="1070" t="s">
        <v>293</v>
      </c>
      <c r="E262" s="552" t="s">
        <v>294</v>
      </c>
      <c r="F262" s="552">
        <f t="shared" si="38"/>
        <v>0</v>
      </c>
      <c r="G262" s="552">
        <f t="shared" si="39"/>
        <v>0</v>
      </c>
      <c r="H262" s="1071">
        <f t="shared" si="40"/>
        <v>0</v>
      </c>
    </row>
    <row r="263" spans="4:8" ht="18" customHeight="1">
      <c r="D263" s="1070" t="s">
        <v>295</v>
      </c>
      <c r="E263" s="552" t="s">
        <v>296</v>
      </c>
      <c r="F263" s="552">
        <f t="shared" si="38"/>
        <v>0</v>
      </c>
      <c r="G263" s="552">
        <f t="shared" si="39"/>
        <v>1725781461</v>
      </c>
      <c r="H263" s="1081">
        <f>F263-G263</f>
        <v>-1725781461</v>
      </c>
    </row>
    <row r="264" spans="4:8" ht="18" customHeight="1">
      <c r="D264" s="1070" t="s">
        <v>297</v>
      </c>
      <c r="E264" s="552" t="s">
        <v>298</v>
      </c>
      <c r="F264" s="552">
        <f t="shared" si="38"/>
        <v>0</v>
      </c>
      <c r="G264" s="552">
        <f t="shared" si="39"/>
        <v>4500000</v>
      </c>
      <c r="H264" s="1071">
        <f t="shared" si="40"/>
        <v>-4500000</v>
      </c>
    </row>
    <row r="265" spans="4:8" ht="18" customHeight="1">
      <c r="D265" s="1070" t="s">
        <v>299</v>
      </c>
      <c r="E265" s="552" t="s">
        <v>300</v>
      </c>
      <c r="F265" s="552">
        <f t="shared" si="38"/>
        <v>0</v>
      </c>
      <c r="G265" s="552">
        <f t="shared" si="39"/>
        <v>0</v>
      </c>
      <c r="H265" s="1071">
        <f t="shared" si="40"/>
        <v>0</v>
      </c>
    </row>
    <row r="266" spans="4:8" ht="18" customHeight="1">
      <c r="D266" s="1070" t="s">
        <v>301</v>
      </c>
      <c r="E266" s="552" t="s">
        <v>302</v>
      </c>
      <c r="F266" s="552">
        <f t="shared" si="38"/>
        <v>0</v>
      </c>
      <c r="G266" s="552">
        <f t="shared" si="39"/>
        <v>0</v>
      </c>
      <c r="H266" s="1071">
        <f t="shared" si="40"/>
        <v>0</v>
      </c>
    </row>
    <row r="267" spans="4:8" ht="18" customHeight="1">
      <c r="D267" s="1070" t="s">
        <v>303</v>
      </c>
      <c r="E267" s="552" t="s">
        <v>304</v>
      </c>
      <c r="F267" s="552">
        <f t="shared" si="38"/>
        <v>0</v>
      </c>
      <c r="G267" s="552">
        <f t="shared" si="39"/>
        <v>0</v>
      </c>
      <c r="H267" s="1071">
        <f t="shared" si="40"/>
        <v>0</v>
      </c>
    </row>
    <row r="268" spans="4:8" ht="18" customHeight="1">
      <c r="D268" s="1070" t="s">
        <v>305</v>
      </c>
      <c r="E268" s="552" t="s">
        <v>306</v>
      </c>
      <c r="F268" s="552">
        <f t="shared" si="38"/>
        <v>0</v>
      </c>
      <c r="G268" s="552">
        <f t="shared" si="39"/>
        <v>0</v>
      </c>
      <c r="H268" s="1071">
        <f t="shared" si="40"/>
        <v>0</v>
      </c>
    </row>
    <row r="269" spans="4:8" ht="18" customHeight="1">
      <c r="D269" s="1070" t="s">
        <v>307</v>
      </c>
      <c r="E269" s="552" t="s">
        <v>308</v>
      </c>
      <c r="F269" s="552">
        <f t="shared" si="38"/>
        <v>0</v>
      </c>
      <c r="G269" s="552">
        <f t="shared" si="39"/>
        <v>77553600</v>
      </c>
      <c r="H269" s="1071">
        <f t="shared" si="40"/>
        <v>-77553600</v>
      </c>
    </row>
    <row r="270" spans="4:8" ht="18" customHeight="1">
      <c r="D270" s="1070" t="s">
        <v>309</v>
      </c>
      <c r="E270" s="552" t="s">
        <v>310</v>
      </c>
      <c r="F270" s="552">
        <f t="shared" si="38"/>
        <v>0</v>
      </c>
      <c r="G270" s="552">
        <f t="shared" si="39"/>
        <v>0</v>
      </c>
      <c r="H270" s="1071">
        <f t="shared" si="40"/>
        <v>0</v>
      </c>
    </row>
    <row r="271" spans="4:8" ht="18" customHeight="1">
      <c r="D271" s="1070" t="s">
        <v>311</v>
      </c>
      <c r="E271" s="552" t="s">
        <v>312</v>
      </c>
      <c r="F271" s="552">
        <f t="shared" si="38"/>
        <v>0</v>
      </c>
      <c r="G271" s="552">
        <f t="shared" si="39"/>
        <v>0</v>
      </c>
      <c r="H271" s="1071">
        <f t="shared" si="40"/>
        <v>0</v>
      </c>
    </row>
    <row r="272" spans="4:8" ht="18" customHeight="1">
      <c r="D272" s="1052"/>
      <c r="E272" s="995" t="s">
        <v>313</v>
      </c>
      <c r="F272" s="995"/>
      <c r="G272" s="995"/>
      <c r="H272" s="1053"/>
    </row>
    <row r="273" spans="4:8" ht="18" customHeight="1">
      <c r="D273" s="1064"/>
      <c r="E273" s="1065" t="s">
        <v>314</v>
      </c>
      <c r="F273" s="1065"/>
      <c r="G273" s="1065"/>
      <c r="H273" s="1066"/>
    </row>
    <row r="274" spans="4:8" ht="18" customHeight="1">
      <c r="D274" s="1070" t="s">
        <v>315</v>
      </c>
      <c r="E274" s="552" t="s">
        <v>316</v>
      </c>
      <c r="F274" s="552">
        <f t="shared" ref="F274:F282" si="41">SUMIF($J:$J,$D274,L:L)</f>
        <v>0</v>
      </c>
      <c r="G274" s="552">
        <f t="shared" ref="G274:G282" si="42">SUMIF($J:$J,$D274,M:M)</f>
        <v>0</v>
      </c>
      <c r="H274" s="1071">
        <f t="shared" ref="H274:H311" si="43">F274-G274</f>
        <v>0</v>
      </c>
    </row>
    <row r="275" spans="4:8" ht="18" customHeight="1">
      <c r="D275" s="1070" t="s">
        <v>317</v>
      </c>
      <c r="E275" s="552" t="s">
        <v>318</v>
      </c>
      <c r="F275" s="552">
        <f t="shared" si="41"/>
        <v>46841095</v>
      </c>
      <c r="G275" s="552">
        <f t="shared" si="42"/>
        <v>0</v>
      </c>
      <c r="H275" s="1071">
        <f t="shared" si="43"/>
        <v>46841095</v>
      </c>
    </row>
    <row r="276" spans="4:8" ht="18" customHeight="1">
      <c r="D276" s="1070" t="s">
        <v>319</v>
      </c>
      <c r="E276" s="552" t="s">
        <v>320</v>
      </c>
      <c r="F276" s="552">
        <f t="shared" si="41"/>
        <v>0</v>
      </c>
      <c r="G276" s="552">
        <f t="shared" si="42"/>
        <v>0</v>
      </c>
      <c r="H276" s="1071">
        <f t="shared" si="43"/>
        <v>0</v>
      </c>
    </row>
    <row r="277" spans="4:8" ht="18" customHeight="1">
      <c r="D277" s="1070" t="s">
        <v>321</v>
      </c>
      <c r="E277" s="552" t="s">
        <v>322</v>
      </c>
      <c r="F277" s="552">
        <f t="shared" si="41"/>
        <v>0</v>
      </c>
      <c r="G277" s="552">
        <f t="shared" si="42"/>
        <v>0</v>
      </c>
      <c r="H277" s="1071">
        <f t="shared" si="43"/>
        <v>0</v>
      </c>
    </row>
    <row r="278" spans="4:8" ht="18" customHeight="1">
      <c r="D278" s="1070" t="s">
        <v>323</v>
      </c>
      <c r="E278" s="552" t="s">
        <v>324</v>
      </c>
      <c r="F278" s="552">
        <f t="shared" si="41"/>
        <v>0</v>
      </c>
      <c r="G278" s="552">
        <f t="shared" si="42"/>
        <v>0</v>
      </c>
      <c r="H278" s="1071">
        <f t="shared" si="43"/>
        <v>0</v>
      </c>
    </row>
    <row r="279" spans="4:8" ht="18" customHeight="1">
      <c r="D279" s="1070" t="s">
        <v>325</v>
      </c>
      <c r="E279" s="552" t="s">
        <v>326</v>
      </c>
      <c r="F279" s="552">
        <f t="shared" si="41"/>
        <v>0</v>
      </c>
      <c r="G279" s="552">
        <f t="shared" si="42"/>
        <v>0</v>
      </c>
      <c r="H279" s="1071">
        <f t="shared" si="43"/>
        <v>0</v>
      </c>
    </row>
    <row r="280" spans="4:8" ht="18" customHeight="1">
      <c r="D280" s="1070" t="s">
        <v>327</v>
      </c>
      <c r="E280" s="552" t="s">
        <v>328</v>
      </c>
      <c r="F280" s="552">
        <f t="shared" si="41"/>
        <v>0</v>
      </c>
      <c r="G280" s="552">
        <f t="shared" si="42"/>
        <v>0</v>
      </c>
      <c r="H280" s="1071">
        <f t="shared" si="43"/>
        <v>0</v>
      </c>
    </row>
    <row r="281" spans="4:8" ht="18" customHeight="1">
      <c r="D281" s="1070" t="s">
        <v>329</v>
      </c>
      <c r="E281" s="552" t="s">
        <v>330</v>
      </c>
      <c r="F281" s="552">
        <f t="shared" si="41"/>
        <v>0</v>
      </c>
      <c r="G281" s="552">
        <f t="shared" si="42"/>
        <v>0</v>
      </c>
      <c r="H281" s="1071">
        <f t="shared" si="43"/>
        <v>0</v>
      </c>
    </row>
    <row r="282" spans="4:8" ht="18" customHeight="1">
      <c r="D282" s="1070" t="s">
        <v>331</v>
      </c>
      <c r="E282" s="552" t="s">
        <v>332</v>
      </c>
      <c r="F282" s="552">
        <f t="shared" si="41"/>
        <v>0</v>
      </c>
      <c r="G282" s="552">
        <f t="shared" si="42"/>
        <v>0</v>
      </c>
      <c r="H282" s="1071">
        <f t="shared" si="43"/>
        <v>0</v>
      </c>
    </row>
    <row r="283" spans="4:8" ht="18" customHeight="1">
      <c r="D283" s="1064"/>
      <c r="E283" s="1065" t="s">
        <v>333</v>
      </c>
      <c r="F283" s="1065"/>
      <c r="G283" s="1065"/>
      <c r="H283" s="1066"/>
    </row>
    <row r="284" spans="4:8" ht="18" customHeight="1">
      <c r="D284" s="1070" t="s">
        <v>334</v>
      </c>
      <c r="E284" s="552" t="s">
        <v>335</v>
      </c>
      <c r="F284" s="552">
        <f t="shared" ref="F284:F294" si="44">SUMIF($J:$J,$D284,L:L)</f>
        <v>0</v>
      </c>
      <c r="G284" s="552">
        <f t="shared" ref="G284:G294" si="45">SUMIF($J:$J,$D284,M:M)</f>
        <v>0</v>
      </c>
      <c r="H284" s="1071">
        <f t="shared" si="43"/>
        <v>0</v>
      </c>
    </row>
    <row r="285" spans="4:8" ht="18" customHeight="1">
      <c r="D285" s="1070" t="s">
        <v>336</v>
      </c>
      <c r="E285" s="552" t="s">
        <v>337</v>
      </c>
      <c r="F285" s="552">
        <f t="shared" si="44"/>
        <v>0</v>
      </c>
      <c r="G285" s="552">
        <f t="shared" si="45"/>
        <v>46841095</v>
      </c>
      <c r="H285" s="1071">
        <f t="shared" si="43"/>
        <v>-46841095</v>
      </c>
    </row>
    <row r="286" spans="4:8" ht="18" customHeight="1">
      <c r="D286" s="1070" t="s">
        <v>338</v>
      </c>
      <c r="E286" s="552" t="s">
        <v>339</v>
      </c>
      <c r="F286" s="552">
        <f t="shared" si="44"/>
        <v>0</v>
      </c>
      <c r="G286" s="552">
        <f t="shared" si="45"/>
        <v>0</v>
      </c>
      <c r="H286" s="1071">
        <f t="shared" si="43"/>
        <v>0</v>
      </c>
    </row>
    <row r="287" spans="4:8" ht="18" customHeight="1">
      <c r="D287" s="1112" t="s">
        <v>388</v>
      </c>
      <c r="E287" s="552" t="s">
        <v>387</v>
      </c>
      <c r="F287" s="552">
        <f t="shared" si="44"/>
        <v>0</v>
      </c>
      <c r="G287" s="552">
        <f t="shared" si="45"/>
        <v>0</v>
      </c>
      <c r="H287" s="1071">
        <f t="shared" si="43"/>
        <v>0</v>
      </c>
    </row>
    <row r="288" spans="4:8" ht="18" customHeight="1">
      <c r="D288" s="1070" t="s">
        <v>340</v>
      </c>
      <c r="E288" s="552" t="s">
        <v>341</v>
      </c>
      <c r="F288" s="552">
        <f t="shared" si="44"/>
        <v>0</v>
      </c>
      <c r="G288" s="552">
        <f t="shared" si="45"/>
        <v>0</v>
      </c>
      <c r="H288" s="1071">
        <f t="shared" si="43"/>
        <v>0</v>
      </c>
    </row>
    <row r="289" spans="4:8" ht="18" customHeight="1">
      <c r="D289" s="1070" t="s">
        <v>342</v>
      </c>
      <c r="E289" s="552" t="s">
        <v>343</v>
      </c>
      <c r="F289" s="552">
        <f t="shared" si="44"/>
        <v>0</v>
      </c>
      <c r="G289" s="552">
        <f t="shared" si="45"/>
        <v>0</v>
      </c>
      <c r="H289" s="1071">
        <f t="shared" si="43"/>
        <v>0</v>
      </c>
    </row>
    <row r="290" spans="4:8" ht="18" customHeight="1">
      <c r="D290" s="1070" t="s">
        <v>344</v>
      </c>
      <c r="E290" s="552" t="s">
        <v>345</v>
      </c>
      <c r="F290" s="552">
        <f t="shared" si="44"/>
        <v>0</v>
      </c>
      <c r="G290" s="552">
        <f t="shared" si="45"/>
        <v>0</v>
      </c>
      <c r="H290" s="1071">
        <f t="shared" si="43"/>
        <v>0</v>
      </c>
    </row>
    <row r="291" spans="4:8" ht="18" customHeight="1">
      <c r="D291" s="1070" t="s">
        <v>346</v>
      </c>
      <c r="E291" s="552" t="s">
        <v>347</v>
      </c>
      <c r="F291" s="552">
        <f t="shared" si="44"/>
        <v>0</v>
      </c>
      <c r="G291" s="552">
        <f t="shared" si="45"/>
        <v>0</v>
      </c>
      <c r="H291" s="1071">
        <f t="shared" si="43"/>
        <v>0</v>
      </c>
    </row>
    <row r="292" spans="4:8" ht="18" customHeight="1">
      <c r="D292" s="1070" t="s">
        <v>348</v>
      </c>
      <c r="E292" s="552" t="s">
        <v>349</v>
      </c>
      <c r="F292" s="552">
        <f t="shared" si="44"/>
        <v>0</v>
      </c>
      <c r="G292" s="552">
        <f t="shared" si="45"/>
        <v>0</v>
      </c>
      <c r="H292" s="1071">
        <f t="shared" si="43"/>
        <v>0</v>
      </c>
    </row>
    <row r="293" spans="4:8" ht="18" customHeight="1">
      <c r="D293" s="1112" t="s">
        <v>350</v>
      </c>
      <c r="E293" s="552" t="s">
        <v>351</v>
      </c>
      <c r="F293" s="552">
        <f t="shared" si="44"/>
        <v>0</v>
      </c>
      <c r="G293" s="552">
        <f t="shared" si="45"/>
        <v>0</v>
      </c>
      <c r="H293" s="1071">
        <f t="shared" si="43"/>
        <v>0</v>
      </c>
    </row>
    <row r="294" spans="4:8" ht="18" customHeight="1">
      <c r="D294" s="1112" t="s">
        <v>352</v>
      </c>
      <c r="E294" s="552" t="s">
        <v>353</v>
      </c>
      <c r="F294" s="552">
        <f t="shared" si="44"/>
        <v>0</v>
      </c>
      <c r="G294" s="552">
        <f t="shared" si="45"/>
        <v>0</v>
      </c>
      <c r="H294" s="1071">
        <f t="shared" si="43"/>
        <v>0</v>
      </c>
    </row>
    <row r="295" spans="4:8" ht="18" customHeight="1">
      <c r="D295" s="1064"/>
      <c r="E295" s="1065" t="s">
        <v>354</v>
      </c>
      <c r="F295" s="1065"/>
      <c r="G295" s="1065"/>
      <c r="H295" s="1066"/>
    </row>
    <row r="296" spans="4:8" ht="18" customHeight="1">
      <c r="D296" s="1070" t="s">
        <v>355</v>
      </c>
      <c r="E296" s="552" t="s">
        <v>356</v>
      </c>
      <c r="F296" s="552">
        <f t="shared" ref="F296:G299" si="46">SUMIF($J:$J,$D296,L:L)</f>
        <v>0</v>
      </c>
      <c r="G296" s="552">
        <f t="shared" si="46"/>
        <v>0</v>
      </c>
      <c r="H296" s="1071">
        <f t="shared" si="43"/>
        <v>0</v>
      </c>
    </row>
    <row r="297" spans="4:8" ht="18" customHeight="1">
      <c r="D297" s="1070" t="s">
        <v>357</v>
      </c>
      <c r="E297" s="552" t="s">
        <v>358</v>
      </c>
      <c r="F297" s="552">
        <f t="shared" si="46"/>
        <v>0</v>
      </c>
      <c r="G297" s="552">
        <f t="shared" si="46"/>
        <v>0</v>
      </c>
      <c r="H297" s="1071">
        <f t="shared" si="43"/>
        <v>0</v>
      </c>
    </row>
    <row r="298" spans="4:8" ht="18" customHeight="1">
      <c r="D298" s="1070" t="s">
        <v>359</v>
      </c>
      <c r="E298" s="552" t="s">
        <v>360</v>
      </c>
      <c r="F298" s="552">
        <f t="shared" si="46"/>
        <v>26942110</v>
      </c>
      <c r="G298" s="552">
        <f t="shared" si="46"/>
        <v>0</v>
      </c>
      <c r="H298" s="1081">
        <f t="shared" si="43"/>
        <v>26942110</v>
      </c>
    </row>
    <row r="299" spans="4:8" ht="18" customHeight="1">
      <c r="D299" s="1070">
        <v>712900</v>
      </c>
      <c r="E299" s="552" t="s">
        <v>2601</v>
      </c>
      <c r="F299" s="552">
        <f t="shared" si="46"/>
        <v>1543857535</v>
      </c>
      <c r="G299" s="552">
        <f t="shared" si="46"/>
        <v>0</v>
      </c>
      <c r="H299" s="1081">
        <f>F299-G299</f>
        <v>1543857535</v>
      </c>
    </row>
    <row r="300" spans="4:8" ht="18" customHeight="1">
      <c r="D300" s="1064"/>
      <c r="E300" s="1065" t="s">
        <v>361</v>
      </c>
      <c r="F300" s="1065"/>
      <c r="G300" s="1065"/>
      <c r="H300" s="1066"/>
    </row>
    <row r="301" spans="4:8" ht="18" customHeight="1">
      <c r="D301" s="1070" t="s">
        <v>362</v>
      </c>
      <c r="E301" s="552" t="s">
        <v>363</v>
      </c>
      <c r="F301" s="552">
        <f t="shared" ref="F301:G305" si="47">SUMIF($J:$J,$D301,L:L)</f>
        <v>0</v>
      </c>
      <c r="G301" s="552">
        <f t="shared" si="47"/>
        <v>0</v>
      </c>
      <c r="H301" s="1071">
        <f t="shared" si="43"/>
        <v>0</v>
      </c>
    </row>
    <row r="302" spans="4:8" ht="18" customHeight="1">
      <c r="D302" s="1070" t="s">
        <v>364</v>
      </c>
      <c r="E302" s="552" t="s">
        <v>365</v>
      </c>
      <c r="F302" s="552">
        <f t="shared" si="47"/>
        <v>0</v>
      </c>
      <c r="G302" s="552">
        <f t="shared" si="47"/>
        <v>0</v>
      </c>
      <c r="H302" s="1071">
        <f t="shared" si="43"/>
        <v>0</v>
      </c>
    </row>
    <row r="303" spans="4:8" ht="18" customHeight="1">
      <c r="D303" s="1070">
        <v>733260</v>
      </c>
      <c r="E303" s="552" t="s">
        <v>762</v>
      </c>
      <c r="F303" s="552">
        <f t="shared" si="47"/>
        <v>0</v>
      </c>
      <c r="G303" s="552">
        <f t="shared" si="47"/>
        <v>0</v>
      </c>
      <c r="H303" s="1071">
        <f>F303-G303</f>
        <v>0</v>
      </c>
    </row>
    <row r="304" spans="4:8" ht="18" customHeight="1">
      <c r="D304" s="1070" t="s">
        <v>366</v>
      </c>
      <c r="E304" s="552" t="s">
        <v>367</v>
      </c>
      <c r="F304" s="552">
        <f t="shared" si="47"/>
        <v>0</v>
      </c>
      <c r="G304" s="552">
        <f t="shared" si="47"/>
        <v>0</v>
      </c>
      <c r="H304" s="1071">
        <f t="shared" si="43"/>
        <v>0</v>
      </c>
    </row>
    <row r="305" spans="4:8" ht="18" customHeight="1">
      <c r="D305" s="1070" t="s">
        <v>368</v>
      </c>
      <c r="E305" s="552" t="s">
        <v>369</v>
      </c>
      <c r="F305" s="552">
        <f t="shared" si="47"/>
        <v>0</v>
      </c>
      <c r="G305" s="552">
        <f t="shared" si="47"/>
        <v>24942110</v>
      </c>
      <c r="H305" s="1071">
        <f t="shared" si="43"/>
        <v>-24942110</v>
      </c>
    </row>
    <row r="306" spans="4:8" ht="18" customHeight="1">
      <c r="D306" s="1064"/>
      <c r="E306" s="1065" t="s">
        <v>370</v>
      </c>
      <c r="F306" s="1065"/>
      <c r="G306" s="1065"/>
      <c r="H306" s="1066"/>
    </row>
    <row r="307" spans="4:8" ht="18" customHeight="1">
      <c r="D307" s="1070" t="s">
        <v>371</v>
      </c>
      <c r="E307" s="552" t="s">
        <v>372</v>
      </c>
      <c r="F307" s="552">
        <f t="shared" ref="F307:G309" si="48">SUMIF($J:$J,$D307,L:L)</f>
        <v>0</v>
      </c>
      <c r="G307" s="552">
        <f t="shared" si="48"/>
        <v>0</v>
      </c>
      <c r="H307" s="1071">
        <f t="shared" si="43"/>
        <v>0</v>
      </c>
    </row>
    <row r="308" spans="4:8" ht="18" customHeight="1">
      <c r="D308" s="1070" t="s">
        <v>373</v>
      </c>
      <c r="E308" s="552" t="s">
        <v>374</v>
      </c>
      <c r="F308" s="552">
        <f t="shared" si="48"/>
        <v>0</v>
      </c>
      <c r="G308" s="552">
        <f t="shared" si="48"/>
        <v>0</v>
      </c>
      <c r="H308" s="1071">
        <f t="shared" si="43"/>
        <v>0</v>
      </c>
    </row>
    <row r="309" spans="4:8" ht="18" customHeight="1">
      <c r="D309" s="1070" t="s">
        <v>375</v>
      </c>
      <c r="E309" s="552" t="s">
        <v>376</v>
      </c>
      <c r="F309" s="552">
        <f t="shared" si="48"/>
        <v>0</v>
      </c>
      <c r="G309" s="552">
        <f t="shared" si="48"/>
        <v>0</v>
      </c>
      <c r="H309" s="1071">
        <f t="shared" si="43"/>
        <v>0</v>
      </c>
    </row>
    <row r="310" spans="4:8" ht="18" customHeight="1">
      <c r="D310" s="1064"/>
      <c r="E310" s="1065" t="s">
        <v>377</v>
      </c>
      <c r="F310" s="1065"/>
      <c r="G310" s="1065"/>
      <c r="H310" s="1066"/>
    </row>
    <row r="311" spans="4:8" ht="18" customHeight="1">
      <c r="D311" s="1070" t="s">
        <v>378</v>
      </c>
      <c r="E311" s="552" t="s">
        <v>377</v>
      </c>
      <c r="F311" s="552">
        <f>SUMIF($J:$J,$D311,L:L)</f>
        <v>0</v>
      </c>
      <c r="G311" s="552">
        <f>SUMIF($J:$J,$D311,M:M)</f>
        <v>0</v>
      </c>
      <c r="H311" s="1071">
        <f t="shared" si="43"/>
        <v>0</v>
      </c>
    </row>
    <row r="312" spans="4:8" ht="18" customHeight="1">
      <c r="D312" s="1052"/>
      <c r="E312" s="995" t="s">
        <v>379</v>
      </c>
      <c r="F312" s="995"/>
      <c r="G312" s="995"/>
      <c r="H312" s="1053"/>
    </row>
    <row r="313" spans="4:8" ht="18" customHeight="1">
      <c r="D313" s="1064"/>
      <c r="E313" s="1065" t="s">
        <v>380</v>
      </c>
      <c r="F313" s="1065"/>
      <c r="G313" s="1065"/>
      <c r="H313" s="1066"/>
    </row>
    <row r="314" spans="4:8" ht="18" customHeight="1">
      <c r="D314" s="1070" t="s">
        <v>381</v>
      </c>
      <c r="E314" s="552" t="s">
        <v>380</v>
      </c>
      <c r="F314" s="552">
        <f>SUMIF($J:$J,$D314,L:L)</f>
        <v>0</v>
      </c>
      <c r="G314" s="552">
        <f>SUMIF($J:$J,$D314,M:M)</f>
        <v>0</v>
      </c>
      <c r="H314" s="1071">
        <f>F314-G314</f>
        <v>0</v>
      </c>
    </row>
    <row r="315" spans="4:8" ht="18" customHeight="1">
      <c r="D315" s="1052"/>
      <c r="E315" s="995" t="s">
        <v>382</v>
      </c>
      <c r="F315" s="995"/>
      <c r="G315" s="995"/>
      <c r="H315" s="1053"/>
    </row>
    <row r="316" spans="4:8" ht="18" customHeight="1">
      <c r="D316" s="1070" t="s">
        <v>383</v>
      </c>
      <c r="E316" s="552" t="s">
        <v>11</v>
      </c>
      <c r="F316" s="552"/>
      <c r="G316" s="552"/>
      <c r="H316" s="1071"/>
    </row>
    <row r="317" spans="4:8" ht="18" customHeight="1" thickBot="1">
      <c r="D317" s="1177" t="s">
        <v>384</v>
      </c>
      <c r="E317" s="1178" t="s">
        <v>210</v>
      </c>
      <c r="F317" s="1178"/>
      <c r="G317" s="1178"/>
      <c r="H317" s="1179"/>
    </row>
    <row r="318" spans="4:8" ht="18" customHeight="1">
      <c r="D318" s="494"/>
      <c r="E318" s="494"/>
      <c r="F318" s="494">
        <f>SUM(F215:F317)</f>
        <v>4822189911</v>
      </c>
      <c r="G318" s="494">
        <f>SUM(G215:G317)</f>
        <v>2997316635</v>
      </c>
      <c r="H318" s="494"/>
    </row>
  </sheetData>
  <autoFilter ref="D5:W210"/>
  <phoneticPr fontId="21" type="noConversion"/>
  <pageMargins left="0.7" right="0.7" top="0.75" bottom="0.75" header="0.3" footer="0.3"/>
  <pageSetup paperSize="9" orientation="portrait" r:id="rId1"/>
  <ignoredErrors>
    <ignoredError sqref="O52:O206 D63:H85 D102:H209 D21 J64:N198 P68:P216 J55:K59 O37:O41 J47:J48 J61:M63 J60 Y9:AF27 J45 O17:O35 O50 T22:U25 T30:W30 T6:T8 T9:U21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FF00"/>
  </sheetPr>
  <dimension ref="D4:AP89"/>
  <sheetViews>
    <sheetView showGridLines="0" zoomScale="80" zoomScaleNormal="80" workbookViewId="0">
      <pane xSplit="5" ySplit="5" topLeftCell="O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ColWidth="8.75" defaultRowHeight="18" customHeight="1" outlineLevelRow="1" outlineLevelCol="1"/>
  <cols>
    <col min="1" max="3" width="2.375" style="509" customWidth="1"/>
    <col min="4" max="4" width="16.125" style="509" customWidth="1"/>
    <col min="5" max="5" width="25.75" style="563" bestFit="1" customWidth="1"/>
    <col min="6" max="10" width="20.375" style="509" hidden="1" customWidth="1" outlineLevel="1"/>
    <col min="11" max="14" width="17.625" style="509" hidden="1" customWidth="1" outlineLevel="1"/>
    <col min="15" max="15" width="17.625" style="509" customWidth="1" collapsed="1"/>
    <col min="16" max="22" width="17.625" style="509" customWidth="1"/>
    <col min="23" max="23" width="18.625" style="710" customWidth="1"/>
    <col min="24" max="24" width="8.375" style="509" bestFit="1" customWidth="1"/>
    <col min="25" max="25" width="8.375" style="509" customWidth="1"/>
    <col min="26" max="26" width="2.625" style="509" customWidth="1"/>
    <col min="27" max="28" width="20.625" style="509" customWidth="1"/>
    <col min="29" max="29" width="11.75" style="509" bestFit="1" customWidth="1"/>
    <col min="30" max="34" width="11.625" style="509" customWidth="1"/>
    <col min="35" max="35" width="13.125" style="509" bestFit="1" customWidth="1"/>
    <col min="36" max="36" width="12" style="509" bestFit="1" customWidth="1"/>
    <col min="37" max="37" width="12.375" style="509" bestFit="1" customWidth="1"/>
    <col min="38" max="40" width="11.625" style="509" customWidth="1"/>
    <col min="41" max="41" width="10.25" style="509" bestFit="1" customWidth="1"/>
    <col min="42" max="16384" width="8.75" style="509"/>
  </cols>
  <sheetData>
    <row r="4" spans="4:42" ht="18" customHeight="1" thickBot="1"/>
    <row r="5" spans="4:42" s="924" customFormat="1" ht="18" customHeight="1">
      <c r="D5" s="1895"/>
      <c r="E5" s="1896" t="s">
        <v>414</v>
      </c>
      <c r="F5" s="490" t="s">
        <v>2346</v>
      </c>
      <c r="G5" s="490" t="s">
        <v>2349</v>
      </c>
      <c r="H5" s="490" t="s">
        <v>2350</v>
      </c>
      <c r="I5" s="490" t="s">
        <v>2353</v>
      </c>
      <c r="J5" s="491" t="s">
        <v>2355</v>
      </c>
      <c r="K5" s="489" t="s">
        <v>2452</v>
      </c>
      <c r="L5" s="490" t="s">
        <v>2453</v>
      </c>
      <c r="M5" s="490" t="s">
        <v>2460</v>
      </c>
      <c r="N5" s="491" t="s">
        <v>2461</v>
      </c>
      <c r="O5" s="489" t="s">
        <v>2462</v>
      </c>
      <c r="P5" s="490" t="s">
        <v>2457</v>
      </c>
      <c r="Q5" s="490" t="s">
        <v>2463</v>
      </c>
      <c r="R5" s="493" t="s">
        <v>2450</v>
      </c>
      <c r="S5" s="489" t="s">
        <v>2579</v>
      </c>
      <c r="T5" s="1897" t="s">
        <v>2814</v>
      </c>
      <c r="U5" s="493" t="s">
        <v>2904</v>
      </c>
      <c r="V5" s="922" t="s">
        <v>2903</v>
      </c>
      <c r="W5" s="923"/>
      <c r="AB5" s="509"/>
      <c r="AC5" s="509"/>
      <c r="AD5" s="509"/>
      <c r="AE5" s="509"/>
      <c r="AF5" s="509"/>
    </row>
    <row r="6" spans="4:42" ht="18" customHeight="1">
      <c r="D6" s="634" t="s">
        <v>1532</v>
      </c>
      <c r="E6" s="657"/>
      <c r="F6" s="635"/>
      <c r="G6" s="635"/>
      <c r="H6" s="635"/>
      <c r="I6" s="635"/>
      <c r="J6" s="636"/>
      <c r="K6" s="637"/>
      <c r="L6" s="635"/>
      <c r="M6" s="635"/>
      <c r="N6" s="636"/>
      <c r="O6" s="637"/>
      <c r="P6" s="635"/>
      <c r="Q6" s="635"/>
      <c r="R6" s="639"/>
      <c r="S6" s="637"/>
      <c r="T6" s="1898"/>
      <c r="U6" s="639"/>
      <c r="V6" s="1907"/>
      <c r="Z6" s="925"/>
      <c r="AA6" s="926" t="s">
        <v>1890</v>
      </c>
      <c r="AB6" s="927">
        <v>9.6119000000000003</v>
      </c>
      <c r="AC6" s="925"/>
    </row>
    <row r="7" spans="4:42" s="935" customFormat="1" ht="18" customHeight="1">
      <c r="D7" s="928"/>
      <c r="E7" s="929" t="s">
        <v>415</v>
      </c>
      <c r="F7" s="930"/>
      <c r="G7" s="930"/>
      <c r="H7" s="930"/>
      <c r="I7" s="930"/>
      <c r="J7" s="931"/>
      <c r="K7" s="932"/>
      <c r="L7" s="930"/>
      <c r="M7" s="930"/>
      <c r="N7" s="931"/>
      <c r="O7" s="932"/>
      <c r="P7" s="930"/>
      <c r="Q7" s="930"/>
      <c r="R7" s="933"/>
      <c r="S7" s="932"/>
      <c r="T7" s="1899"/>
      <c r="U7" s="2042"/>
      <c r="V7" s="1908"/>
      <c r="W7" s="934"/>
      <c r="Z7" s="936"/>
      <c r="AA7" s="926" t="s">
        <v>1889</v>
      </c>
      <c r="AB7" s="927">
        <v>9.8899000000000008</v>
      </c>
      <c r="AC7" s="925"/>
      <c r="AD7" s="509"/>
      <c r="AE7" s="509"/>
      <c r="AF7" s="509"/>
      <c r="AG7" s="509"/>
      <c r="AH7" s="509"/>
      <c r="AI7" s="509"/>
      <c r="AJ7" s="509"/>
      <c r="AK7" s="509"/>
      <c r="AL7" s="509"/>
    </row>
    <row r="8" spans="4:42" ht="18" customHeight="1" thickBot="1">
      <c r="D8" s="551"/>
      <c r="E8" s="572" t="s">
        <v>1991</v>
      </c>
      <c r="F8" s="937">
        <v>0</v>
      </c>
      <c r="G8" s="937">
        <v>0.12005333333333333</v>
      </c>
      <c r="H8" s="937">
        <v>0.12005333333333333</v>
      </c>
      <c r="I8" s="937">
        <v>0.12005333333333333</v>
      </c>
      <c r="J8" s="938">
        <v>0.12005333333333333</v>
      </c>
      <c r="K8" s="939">
        <v>0.12005333333333333</v>
      </c>
      <c r="L8" s="937">
        <v>0.37620775098519366</v>
      </c>
      <c r="M8" s="937">
        <v>0.41895262948515843</v>
      </c>
      <c r="N8" s="938"/>
      <c r="O8" s="939"/>
      <c r="P8" s="937"/>
      <c r="Q8" s="937"/>
      <c r="R8" s="940"/>
      <c r="S8" s="939"/>
      <c r="T8" s="1900"/>
      <c r="U8" s="940"/>
      <c r="V8" s="1909"/>
      <c r="W8" s="941"/>
      <c r="X8" s="935"/>
      <c r="Y8" s="935"/>
      <c r="Z8" s="936"/>
      <c r="AA8" s="925"/>
      <c r="AB8" s="925"/>
      <c r="AC8" s="952">
        <f>SUM(AC10:AC25)</f>
        <v>32623</v>
      </c>
      <c r="AD8" s="952">
        <f>SUM(AD10:AD25)</f>
        <v>75172968</v>
      </c>
      <c r="AE8" s="952"/>
      <c r="AF8" s="952"/>
      <c r="AG8" s="952"/>
      <c r="AH8" s="952"/>
      <c r="AI8" s="952">
        <f>SUM(AI10:AI25)</f>
        <v>722555050</v>
      </c>
      <c r="AJ8" s="952">
        <f>SUM(AJ10:AJ25)</f>
        <v>60384975</v>
      </c>
    </row>
    <row r="9" spans="4:42" s="952" customFormat="1" ht="18" customHeight="1">
      <c r="D9" s="942"/>
      <c r="E9" s="572" t="s">
        <v>1992</v>
      </c>
      <c r="F9" s="943"/>
      <c r="G9" s="943"/>
      <c r="H9" s="943"/>
      <c r="I9" s="943"/>
      <c r="J9" s="944"/>
      <c r="K9" s="942"/>
      <c r="L9" s="943"/>
      <c r="M9" s="937">
        <v>0.41495331566253552</v>
      </c>
      <c r="N9" s="938"/>
      <c r="O9" s="939"/>
      <c r="P9" s="937"/>
      <c r="Q9" s="937"/>
      <c r="R9" s="940"/>
      <c r="S9" s="939"/>
      <c r="T9" s="1900"/>
      <c r="U9" s="940"/>
      <c r="V9" s="1909"/>
      <c r="W9" s="941"/>
      <c r="X9" s="519" t="s">
        <v>1858</v>
      </c>
      <c r="Y9" s="519" t="s">
        <v>1990</v>
      </c>
      <c r="Z9" s="519"/>
      <c r="AA9" s="945" t="s">
        <v>1892</v>
      </c>
      <c r="AB9" s="946" t="s">
        <v>1895</v>
      </c>
      <c r="AC9" s="946" t="s">
        <v>1891</v>
      </c>
      <c r="AD9" s="946" t="s">
        <v>1896</v>
      </c>
      <c r="AE9" s="946" t="s">
        <v>1893</v>
      </c>
      <c r="AF9" s="946" t="s">
        <v>1894</v>
      </c>
      <c r="AG9" s="946" t="s">
        <v>1897</v>
      </c>
      <c r="AH9" s="947" t="s">
        <v>1888</v>
      </c>
      <c r="AI9" s="948" t="s">
        <v>1898</v>
      </c>
      <c r="AJ9" s="949" t="s">
        <v>1899</v>
      </c>
      <c r="AK9" s="950" t="s">
        <v>2038</v>
      </c>
      <c r="AL9" s="946" t="s">
        <v>1997</v>
      </c>
      <c r="AM9" s="946" t="s">
        <v>1998</v>
      </c>
      <c r="AN9" s="951" t="s">
        <v>1897</v>
      </c>
    </row>
    <row r="10" spans="4:42" ht="18" customHeight="1">
      <c r="D10" s="953"/>
      <c r="E10" s="929" t="s">
        <v>412</v>
      </c>
      <c r="F10" s="954"/>
      <c r="G10" s="954"/>
      <c r="H10" s="954"/>
      <c r="I10" s="954"/>
      <c r="J10" s="955"/>
      <c r="K10" s="953"/>
      <c r="L10" s="954"/>
      <c r="M10" s="954"/>
      <c r="N10" s="955"/>
      <c r="O10" s="953"/>
      <c r="P10" s="954"/>
      <c r="Q10" s="954"/>
      <c r="R10" s="956"/>
      <c r="S10" s="953"/>
      <c r="T10" s="1901"/>
      <c r="U10" s="2043"/>
      <c r="V10" s="1910"/>
      <c r="W10" s="720"/>
      <c r="X10" s="519" t="s">
        <v>45</v>
      </c>
      <c r="Y10" s="519" t="s">
        <v>1992</v>
      </c>
      <c r="Z10" s="519"/>
      <c r="AA10" s="957" t="s">
        <v>2488</v>
      </c>
      <c r="AB10" s="958" t="s">
        <v>2008</v>
      </c>
      <c r="AC10" s="959">
        <v>1339</v>
      </c>
      <c r="AD10" s="959">
        <v>2958578</v>
      </c>
      <c r="AE10" s="959">
        <v>2209.5429424943986</v>
      </c>
      <c r="AF10" s="959">
        <v>21852</v>
      </c>
      <c r="AG10" s="959">
        <v>14407</v>
      </c>
      <c r="AH10" s="960">
        <f>IFERROR(+(AF10-AG10)/AF10,)</f>
        <v>0.34070107999267801</v>
      </c>
      <c r="AI10" s="961">
        <v>28437556</v>
      </c>
      <c r="AJ10" s="962">
        <v>9688706</v>
      </c>
      <c r="AK10" s="963">
        <v>79</v>
      </c>
      <c r="AL10" s="964">
        <v>351910</v>
      </c>
      <c r="AM10" s="964">
        <v>3487498</v>
      </c>
      <c r="AN10" s="965">
        <v>1729864</v>
      </c>
      <c r="AP10" s="966"/>
    </row>
    <row r="11" spans="4:42" s="952" customFormat="1" ht="18" customHeight="1">
      <c r="D11" s="551"/>
      <c r="E11" s="572" t="s">
        <v>1991</v>
      </c>
      <c r="F11" s="552">
        <v>0</v>
      </c>
      <c r="G11" s="552">
        <v>34213288</v>
      </c>
      <c r="H11" s="552">
        <v>30892054</v>
      </c>
      <c r="I11" s="552">
        <v>0</v>
      </c>
      <c r="J11" s="553">
        <v>30475870</v>
      </c>
      <c r="K11" s="551">
        <v>0</v>
      </c>
      <c r="L11" s="552">
        <v>83381323</v>
      </c>
      <c r="M11" s="552">
        <v>45943748</v>
      </c>
      <c r="N11" s="553">
        <v>35034683</v>
      </c>
      <c r="O11" s="551">
        <v>33299885</v>
      </c>
      <c r="P11" s="552">
        <v>121934153</v>
      </c>
      <c r="Q11" s="552">
        <v>125885220</v>
      </c>
      <c r="R11" s="667">
        <v>122470305</v>
      </c>
      <c r="S11" s="551">
        <v>117507963</v>
      </c>
      <c r="T11" s="1902">
        <v>111568671</v>
      </c>
      <c r="U11" s="667">
        <v>116405185</v>
      </c>
      <c r="V11" s="1911">
        <f>SUMIF($X$10:$X$25,E11,$AI$10:$AI$26)</f>
        <v>112541681</v>
      </c>
      <c r="W11" s="710"/>
      <c r="X11" s="519" t="s">
        <v>43</v>
      </c>
      <c r="Y11" s="519" t="s">
        <v>1992</v>
      </c>
      <c r="Z11" s="519"/>
      <c r="AA11" s="957" t="s">
        <v>2489</v>
      </c>
      <c r="AB11" s="958" t="s">
        <v>2009</v>
      </c>
      <c r="AC11" s="959">
        <v>4517</v>
      </c>
      <c r="AD11" s="959">
        <v>3387750</v>
      </c>
      <c r="AE11" s="959">
        <v>750</v>
      </c>
      <c r="AF11" s="959">
        <v>7417</v>
      </c>
      <c r="AG11" s="959">
        <v>4916</v>
      </c>
      <c r="AH11" s="960">
        <f t="shared" ref="AH11:AH25" si="0">IFERROR(+(AF11-AG11)/AF11,)</f>
        <v>0.33719832816502632</v>
      </c>
      <c r="AI11" s="961">
        <v>32562714</v>
      </c>
      <c r="AJ11" s="962">
        <v>10980093</v>
      </c>
      <c r="AK11" s="963"/>
      <c r="AL11" s="964"/>
      <c r="AM11" s="964"/>
      <c r="AN11" s="965"/>
      <c r="AO11" s="509"/>
      <c r="AP11" s="966"/>
    </row>
    <row r="12" spans="4:42" ht="18" customHeight="1">
      <c r="D12" s="551"/>
      <c r="E12" s="572" t="s">
        <v>1992</v>
      </c>
      <c r="F12" s="552"/>
      <c r="G12" s="552"/>
      <c r="H12" s="552"/>
      <c r="I12" s="552"/>
      <c r="J12" s="553"/>
      <c r="K12" s="551"/>
      <c r="L12" s="552"/>
      <c r="M12" s="552">
        <v>40000910</v>
      </c>
      <c r="N12" s="553">
        <v>44428603</v>
      </c>
      <c r="O12" s="551">
        <v>41435413</v>
      </c>
      <c r="P12" s="552">
        <v>41963761</v>
      </c>
      <c r="Q12" s="552">
        <v>45400281</v>
      </c>
      <c r="R12" s="667">
        <v>58775759</v>
      </c>
      <c r="S12" s="551">
        <v>66429147</v>
      </c>
      <c r="T12" s="1902">
        <v>60214964</v>
      </c>
      <c r="U12" s="667">
        <v>76887701</v>
      </c>
      <c r="V12" s="1911">
        <f>SUMIF($X$10:$X$25,E12,$AI$10:$AI$26)</f>
        <v>610013369</v>
      </c>
      <c r="X12" s="519" t="s">
        <v>43</v>
      </c>
      <c r="Y12" s="519" t="s">
        <v>1992</v>
      </c>
      <c r="Z12" s="519"/>
      <c r="AA12" s="957" t="s">
        <v>2490</v>
      </c>
      <c r="AB12" s="958" t="s">
        <v>2817</v>
      </c>
      <c r="AC12" s="959">
        <v>49</v>
      </c>
      <c r="AD12" s="959">
        <v>108729</v>
      </c>
      <c r="AE12" s="959">
        <v>2218.9591836734694</v>
      </c>
      <c r="AF12" s="959">
        <v>21945</v>
      </c>
      <c r="AG12" s="959">
        <v>15093</v>
      </c>
      <c r="AH12" s="960">
        <f t="shared" si="0"/>
        <v>0.31223513328776487</v>
      </c>
      <c r="AI12" s="961">
        <v>1045092</v>
      </c>
      <c r="AJ12" s="962">
        <v>326314</v>
      </c>
      <c r="AK12" s="963"/>
      <c r="AL12" s="964"/>
      <c r="AM12" s="964"/>
      <c r="AN12" s="965"/>
      <c r="AP12" s="966"/>
    </row>
    <row r="13" spans="4:42" s="952" customFormat="1" ht="18" customHeight="1">
      <c r="D13" s="953"/>
      <c r="E13" s="929" t="s">
        <v>416</v>
      </c>
      <c r="F13" s="954"/>
      <c r="G13" s="954"/>
      <c r="H13" s="954"/>
      <c r="I13" s="954"/>
      <c r="J13" s="955"/>
      <c r="K13" s="953"/>
      <c r="L13" s="954"/>
      <c r="M13" s="954"/>
      <c r="N13" s="955"/>
      <c r="O13" s="953"/>
      <c r="P13" s="954"/>
      <c r="Q13" s="954"/>
      <c r="R13" s="956"/>
      <c r="S13" s="953"/>
      <c r="T13" s="1901"/>
      <c r="U13" s="2043"/>
      <c r="V13" s="1910"/>
      <c r="W13" s="720"/>
      <c r="X13" s="519" t="s">
        <v>43</v>
      </c>
      <c r="Y13" s="519" t="s">
        <v>1992</v>
      </c>
      <c r="Z13" s="519"/>
      <c r="AA13" s="957" t="s">
        <v>2491</v>
      </c>
      <c r="AB13" s="958" t="s">
        <v>2818</v>
      </c>
      <c r="AC13" s="959">
        <v>95</v>
      </c>
      <c r="AD13" s="959">
        <v>194300</v>
      </c>
      <c r="AE13" s="959">
        <v>2045.2631578947369</v>
      </c>
      <c r="AF13" s="959">
        <v>20227</v>
      </c>
      <c r="AG13" s="959">
        <v>14887</v>
      </c>
      <c r="AH13" s="960">
        <f t="shared" si="0"/>
        <v>0.26400355959855637</v>
      </c>
      <c r="AI13" s="961">
        <v>1867592</v>
      </c>
      <c r="AJ13" s="962">
        <v>493051</v>
      </c>
      <c r="AK13" s="963"/>
      <c r="AL13" s="964"/>
      <c r="AM13" s="964"/>
      <c r="AN13" s="965"/>
      <c r="AO13" s="509"/>
      <c r="AP13" s="966"/>
    </row>
    <row r="14" spans="4:42" ht="18" customHeight="1">
      <c r="D14" s="551"/>
      <c r="E14" s="572" t="s">
        <v>1991</v>
      </c>
      <c r="F14" s="552">
        <f>ROUND(F11*F8,0)</f>
        <v>0</v>
      </c>
      <c r="G14" s="552">
        <f>ROUND(G11*G8,0)</f>
        <v>4107419</v>
      </c>
      <c r="H14" s="552">
        <f>ROUND(H11*H8,0)</f>
        <v>3708694</v>
      </c>
      <c r="I14" s="552">
        <f>ROUND(I11*I8,0)</f>
        <v>0</v>
      </c>
      <c r="J14" s="553">
        <f>ROUND(J11*J8,0)</f>
        <v>3658730</v>
      </c>
      <c r="K14" s="551">
        <v>0</v>
      </c>
      <c r="L14" s="552">
        <v>31368700</v>
      </c>
      <c r="M14" s="552">
        <v>19248254</v>
      </c>
      <c r="N14" s="553">
        <v>14362828</v>
      </c>
      <c r="O14" s="551">
        <v>12641424</v>
      </c>
      <c r="P14" s="552">
        <v>30876029</v>
      </c>
      <c r="Q14" s="552">
        <v>32247678</v>
      </c>
      <c r="R14" s="667">
        <v>31317467</v>
      </c>
      <c r="S14" s="551">
        <v>29506249</v>
      </c>
      <c r="T14" s="1902">
        <v>26097073</v>
      </c>
      <c r="U14" s="667">
        <v>25152908</v>
      </c>
      <c r="V14" s="1911">
        <f>SUMIF($X$10:$X$25,E14,$AJ$10:$AJ$26)</f>
        <v>24121551</v>
      </c>
      <c r="X14" s="519" t="s">
        <v>43</v>
      </c>
      <c r="Y14" s="519" t="s">
        <v>1992</v>
      </c>
      <c r="Z14" s="519"/>
      <c r="AA14" s="957" t="s">
        <v>2492</v>
      </c>
      <c r="AB14" s="958" t="s">
        <v>2819</v>
      </c>
      <c r="AC14" s="959">
        <v>18</v>
      </c>
      <c r="AD14" s="959">
        <v>38784</v>
      </c>
      <c r="AE14" s="959">
        <v>2154.6666666666665</v>
      </c>
      <c r="AF14" s="959">
        <v>21309</v>
      </c>
      <c r="AG14" s="959">
        <v>12236</v>
      </c>
      <c r="AH14" s="960">
        <f t="shared" si="0"/>
        <v>0.42578253320193343</v>
      </c>
      <c r="AI14" s="961">
        <v>372788</v>
      </c>
      <c r="AJ14" s="962">
        <v>158727</v>
      </c>
      <c r="AK14" s="963"/>
      <c r="AL14" s="964"/>
      <c r="AM14" s="964"/>
      <c r="AN14" s="965"/>
      <c r="AP14" s="966"/>
    </row>
    <row r="15" spans="4:42" ht="18" customHeight="1">
      <c r="D15" s="551"/>
      <c r="E15" s="572" t="s">
        <v>1992</v>
      </c>
      <c r="F15" s="552"/>
      <c r="G15" s="552"/>
      <c r="H15" s="552"/>
      <c r="I15" s="552"/>
      <c r="J15" s="553"/>
      <c r="K15" s="551"/>
      <c r="L15" s="552"/>
      <c r="M15" s="552">
        <v>16598510</v>
      </c>
      <c r="N15" s="553">
        <v>17841963</v>
      </c>
      <c r="O15" s="551">
        <v>15382090</v>
      </c>
      <c r="P15" s="552">
        <v>15441678</v>
      </c>
      <c r="Q15" s="552">
        <v>16409819</v>
      </c>
      <c r="R15" s="667">
        <v>21945839</v>
      </c>
      <c r="S15" s="551">
        <v>23127952</v>
      </c>
      <c r="T15" s="1902">
        <v>21201649</v>
      </c>
      <c r="U15" s="667">
        <v>17340354</v>
      </c>
      <c r="V15" s="1911">
        <f>SUMIF($X$10:$X$25,E15,$AJ$10:$AJ$26)</f>
        <v>36263424</v>
      </c>
      <c r="X15" s="519" t="s">
        <v>43</v>
      </c>
      <c r="Y15" s="519" t="s">
        <v>1992</v>
      </c>
      <c r="Z15" s="519"/>
      <c r="AA15" s="957" t="s">
        <v>2493</v>
      </c>
      <c r="AB15" s="958" t="s">
        <v>2007</v>
      </c>
      <c r="AC15" s="959">
        <v>98</v>
      </c>
      <c r="AD15" s="959">
        <v>386668</v>
      </c>
      <c r="AE15" s="959">
        <v>3945.591836734694</v>
      </c>
      <c r="AF15" s="959">
        <v>39022</v>
      </c>
      <c r="AG15" s="959">
        <v>25435</v>
      </c>
      <c r="AH15" s="960">
        <f t="shared" si="0"/>
        <v>0.34818820152734353</v>
      </c>
      <c r="AI15" s="961">
        <v>3716614</v>
      </c>
      <c r="AJ15" s="962">
        <v>1294081</v>
      </c>
      <c r="AK15" s="963"/>
      <c r="AL15" s="964"/>
      <c r="AM15" s="964"/>
      <c r="AN15" s="965"/>
      <c r="AP15" s="966"/>
    </row>
    <row r="16" spans="4:42" ht="18" customHeight="1">
      <c r="D16" s="953"/>
      <c r="E16" s="929"/>
      <c r="F16" s="954" t="b">
        <f>SUM(F19:F26)=0</f>
        <v>1</v>
      </c>
      <c r="G16" s="954"/>
      <c r="H16" s="954"/>
      <c r="I16" s="954"/>
      <c r="J16" s="955"/>
      <c r="K16" s="953"/>
      <c r="L16" s="954"/>
      <c r="M16" s="954"/>
      <c r="N16" s="955"/>
      <c r="O16" s="953"/>
      <c r="P16" s="954"/>
      <c r="Q16" s="954"/>
      <c r="R16" s="956"/>
      <c r="S16" s="953"/>
      <c r="T16" s="1901"/>
      <c r="U16" s="2043"/>
      <c r="V16" s="1910"/>
      <c r="W16" s="720"/>
      <c r="X16" s="519" t="s">
        <v>43</v>
      </c>
      <c r="Y16" s="519" t="s">
        <v>1992</v>
      </c>
      <c r="Z16" s="519"/>
      <c r="AA16" s="957" t="s">
        <v>2494</v>
      </c>
      <c r="AB16" s="958" t="s">
        <v>2820</v>
      </c>
      <c r="AC16" s="959">
        <v>86</v>
      </c>
      <c r="AD16" s="959">
        <v>145011</v>
      </c>
      <c r="AE16" s="959">
        <v>1686.1744186046512</v>
      </c>
      <c r="AF16" s="959">
        <v>16676</v>
      </c>
      <c r="AG16" s="959">
        <v>10104</v>
      </c>
      <c r="AH16" s="960">
        <f t="shared" si="0"/>
        <v>0.39409930438954188</v>
      </c>
      <c r="AI16" s="961">
        <v>1393831</v>
      </c>
      <c r="AJ16" s="962">
        <v>549308</v>
      </c>
      <c r="AK16" s="963"/>
      <c r="AL16" s="964"/>
      <c r="AM16" s="964"/>
      <c r="AN16" s="965"/>
      <c r="AP16" s="966"/>
    </row>
    <row r="17" spans="4:42" ht="18" customHeight="1">
      <c r="D17" s="953"/>
      <c r="E17" s="929"/>
      <c r="F17" s="954"/>
      <c r="G17" s="954"/>
      <c r="H17" s="954"/>
      <c r="I17" s="954"/>
      <c r="J17" s="955"/>
      <c r="K17" s="953"/>
      <c r="L17" s="954"/>
      <c r="M17" s="954"/>
      <c r="N17" s="955"/>
      <c r="O17" s="953"/>
      <c r="P17" s="954"/>
      <c r="Q17" s="954"/>
      <c r="R17" s="956"/>
      <c r="S17" s="953"/>
      <c r="T17" s="1901"/>
      <c r="U17" s="2043"/>
      <c r="V17" s="1910"/>
      <c r="W17" s="720"/>
      <c r="X17" s="519" t="s">
        <v>45</v>
      </c>
      <c r="Y17" s="519" t="s">
        <v>1992</v>
      </c>
      <c r="Z17" s="519"/>
      <c r="AA17" s="957" t="s">
        <v>2495</v>
      </c>
      <c r="AB17" s="958" t="s">
        <v>2083</v>
      </c>
      <c r="AC17" s="959">
        <v>5000</v>
      </c>
      <c r="AD17" s="959">
        <v>8750000</v>
      </c>
      <c r="AE17" s="959">
        <v>1750</v>
      </c>
      <c r="AF17" s="959">
        <v>17307</v>
      </c>
      <c r="AG17" s="959">
        <v>14337</v>
      </c>
      <c r="AH17" s="960">
        <f t="shared" si="0"/>
        <v>0.17160686427457097</v>
      </c>
      <c r="AI17" s="961">
        <v>84104125</v>
      </c>
      <c r="AJ17" s="962">
        <v>14432845</v>
      </c>
      <c r="AK17" s="963"/>
      <c r="AL17" s="964"/>
      <c r="AM17" s="964"/>
      <c r="AN17" s="967"/>
      <c r="AP17" s="966"/>
    </row>
    <row r="18" spans="4:42" ht="18" customHeight="1">
      <c r="D18" s="655" t="s">
        <v>241</v>
      </c>
      <c r="E18" s="572" t="s">
        <v>242</v>
      </c>
      <c r="F18" s="552">
        <f>-F19</f>
        <v>0</v>
      </c>
      <c r="G18" s="552">
        <f>-G19</f>
        <v>4107419</v>
      </c>
      <c r="H18" s="552">
        <f>-H19</f>
        <v>3708694</v>
      </c>
      <c r="I18" s="552">
        <f>-I19</f>
        <v>0</v>
      </c>
      <c r="J18" s="553">
        <f>-J19</f>
        <v>3658730</v>
      </c>
      <c r="K18" s="551">
        <v>0</v>
      </c>
      <c r="L18" s="552">
        <v>31368700</v>
      </c>
      <c r="M18" s="552">
        <v>19248254</v>
      </c>
      <c r="N18" s="553">
        <v>14362828</v>
      </c>
      <c r="O18" s="551">
        <v>12641424</v>
      </c>
      <c r="P18" s="552">
        <v>30876029</v>
      </c>
      <c r="Q18" s="552">
        <v>32247678</v>
      </c>
      <c r="R18" s="667">
        <v>31317467</v>
      </c>
      <c r="S18" s="551">
        <v>29506249</v>
      </c>
      <c r="T18" s="1902">
        <v>26097073</v>
      </c>
      <c r="U18" s="667">
        <v>25152908</v>
      </c>
      <c r="V18" s="1911">
        <f>V14</f>
        <v>24121551</v>
      </c>
      <c r="W18" s="968" t="s">
        <v>1995</v>
      </c>
      <c r="X18" s="519" t="s">
        <v>43</v>
      </c>
      <c r="Y18" s="519" t="s">
        <v>1992</v>
      </c>
      <c r="AA18" s="969" t="s">
        <v>2496</v>
      </c>
      <c r="AB18" s="970" t="s">
        <v>2278</v>
      </c>
      <c r="AC18" s="964">
        <v>34</v>
      </c>
      <c r="AD18" s="964">
        <v>64048</v>
      </c>
      <c r="AE18" s="959">
        <v>1883.7647058823529</v>
      </c>
      <c r="AF18" s="959">
        <v>18630</v>
      </c>
      <c r="AG18" s="959">
        <v>10768</v>
      </c>
      <c r="AH18" s="960">
        <f t="shared" si="0"/>
        <v>0.42200751476113796</v>
      </c>
      <c r="AI18" s="961">
        <v>615623</v>
      </c>
      <c r="AJ18" s="962">
        <v>259798</v>
      </c>
      <c r="AK18" s="963"/>
      <c r="AL18" s="964"/>
      <c r="AM18" s="964"/>
      <c r="AN18" s="971"/>
      <c r="AP18" s="966"/>
    </row>
    <row r="19" spans="4:42" ht="18" customHeight="1">
      <c r="D19" s="656" t="s">
        <v>1793</v>
      </c>
      <c r="E19" s="572" t="s">
        <v>45</v>
      </c>
      <c r="F19" s="552">
        <f>-F14</f>
        <v>0</v>
      </c>
      <c r="G19" s="552">
        <f>-G14</f>
        <v>-4107419</v>
      </c>
      <c r="H19" s="552">
        <f>-H14</f>
        <v>-3708694</v>
      </c>
      <c r="I19" s="552">
        <f>-I14</f>
        <v>0</v>
      </c>
      <c r="J19" s="553">
        <f>-J14</f>
        <v>-3658730</v>
      </c>
      <c r="K19" s="551">
        <v>0</v>
      </c>
      <c r="L19" s="552">
        <v>-31368700</v>
      </c>
      <c r="M19" s="552">
        <v>-19248254</v>
      </c>
      <c r="N19" s="553">
        <v>-14362828</v>
      </c>
      <c r="O19" s="551">
        <v>-12641424</v>
      </c>
      <c r="P19" s="552">
        <v>-30876029</v>
      </c>
      <c r="Q19" s="552">
        <v>-32247678</v>
      </c>
      <c r="R19" s="667">
        <v>-31317467</v>
      </c>
      <c r="S19" s="551">
        <v>-29506249</v>
      </c>
      <c r="T19" s="1902">
        <v>-26097073</v>
      </c>
      <c r="U19" s="667">
        <v>-25152908</v>
      </c>
      <c r="V19" s="1911">
        <f>-V18</f>
        <v>-24121551</v>
      </c>
      <c r="W19" s="968"/>
      <c r="X19" s="519" t="s">
        <v>43</v>
      </c>
      <c r="Y19" s="519" t="s">
        <v>1992</v>
      </c>
      <c r="AA19" s="972" t="s">
        <v>2497</v>
      </c>
      <c r="AB19" s="973" t="s">
        <v>2279</v>
      </c>
      <c r="AC19" s="974">
        <v>2</v>
      </c>
      <c r="AD19" s="974">
        <v>5482</v>
      </c>
      <c r="AE19" s="975">
        <v>2741</v>
      </c>
      <c r="AF19" s="975">
        <v>27108</v>
      </c>
      <c r="AG19" s="975">
        <v>18754</v>
      </c>
      <c r="AH19" s="976">
        <f t="shared" si="0"/>
        <v>0.30817470857311496</v>
      </c>
      <c r="AI19" s="977">
        <v>52692</v>
      </c>
      <c r="AJ19" s="978">
        <v>16238</v>
      </c>
      <c r="AK19" s="979"/>
      <c r="AL19" s="980"/>
      <c r="AM19" s="974"/>
      <c r="AN19" s="981"/>
      <c r="AP19" s="966"/>
    </row>
    <row r="20" spans="4:42" ht="18" customHeight="1">
      <c r="D20" s="676" t="s">
        <v>239</v>
      </c>
      <c r="E20" s="572" t="s">
        <v>1994</v>
      </c>
      <c r="F20" s="552"/>
      <c r="G20" s="552"/>
      <c r="H20" s="552"/>
      <c r="I20" s="552"/>
      <c r="J20" s="553"/>
      <c r="K20" s="551"/>
      <c r="L20" s="552"/>
      <c r="M20" s="552">
        <v>16598510</v>
      </c>
      <c r="N20" s="553">
        <v>17841963</v>
      </c>
      <c r="O20" s="551">
        <v>15382090</v>
      </c>
      <c r="P20" s="552">
        <v>15441678</v>
      </c>
      <c r="Q20" s="552">
        <v>16409819</v>
      </c>
      <c r="R20" s="667">
        <v>21945839</v>
      </c>
      <c r="S20" s="551">
        <v>23127952</v>
      </c>
      <c r="T20" s="1902">
        <v>21201649</v>
      </c>
      <c r="U20" s="667">
        <v>17340354</v>
      </c>
      <c r="V20" s="1911">
        <f>V15</f>
        <v>36263424</v>
      </c>
      <c r="W20" s="968" t="s">
        <v>1996</v>
      </c>
      <c r="X20" s="519" t="s">
        <v>43</v>
      </c>
      <c r="Y20" s="519" t="s">
        <v>1992</v>
      </c>
      <c r="AA20" s="972" t="s">
        <v>2583</v>
      </c>
      <c r="AB20" s="973" t="s">
        <v>2584</v>
      </c>
      <c r="AC20" s="974">
        <v>20083</v>
      </c>
      <c r="AD20" s="974">
        <v>56244018</v>
      </c>
      <c r="AE20" s="975">
        <v>2800.5784992282029</v>
      </c>
      <c r="AF20" s="975">
        <v>27697</v>
      </c>
      <c r="AG20" s="975">
        <v>26622</v>
      </c>
      <c r="AH20" s="976">
        <f t="shared" si="0"/>
        <v>3.8812867819619457E-2</v>
      </c>
      <c r="AI20" s="977">
        <v>540611877</v>
      </c>
      <c r="AJ20" s="978">
        <v>20982697</v>
      </c>
      <c r="AK20" s="979"/>
      <c r="AL20" s="980"/>
      <c r="AM20" s="974"/>
      <c r="AN20" s="981"/>
    </row>
    <row r="21" spans="4:42" ht="18" customHeight="1">
      <c r="D21" s="656" t="s">
        <v>1993</v>
      </c>
      <c r="E21" s="572" t="s">
        <v>1992</v>
      </c>
      <c r="F21" s="552"/>
      <c r="G21" s="552"/>
      <c r="H21" s="552"/>
      <c r="I21" s="552"/>
      <c r="J21" s="553"/>
      <c r="K21" s="551"/>
      <c r="L21" s="552"/>
      <c r="M21" s="552">
        <v>-16598510</v>
      </c>
      <c r="N21" s="553">
        <v>-17841963</v>
      </c>
      <c r="O21" s="551">
        <v>-15382090</v>
      </c>
      <c r="P21" s="552">
        <v>-15441678</v>
      </c>
      <c r="Q21" s="552">
        <v>-16409819</v>
      </c>
      <c r="R21" s="667">
        <v>-21945839</v>
      </c>
      <c r="S21" s="551">
        <v>-23127952</v>
      </c>
      <c r="T21" s="1902">
        <v>-21201649</v>
      </c>
      <c r="U21" s="667">
        <v>-17340354</v>
      </c>
      <c r="V21" s="1911">
        <f>-V20</f>
        <v>-36263424</v>
      </c>
      <c r="W21" s="968"/>
      <c r="X21" s="519" t="s">
        <v>43</v>
      </c>
      <c r="Y21" s="519" t="s">
        <v>1992</v>
      </c>
      <c r="AA21" s="972" t="s">
        <v>2815</v>
      </c>
      <c r="AB21" s="973" t="s">
        <v>2821</v>
      </c>
      <c r="AC21" s="974">
        <v>957</v>
      </c>
      <c r="AD21" s="974">
        <v>2727450</v>
      </c>
      <c r="AE21" s="975">
        <v>2850</v>
      </c>
      <c r="AF21" s="975">
        <v>28186</v>
      </c>
      <c r="AG21" s="975">
        <v>26964.99</v>
      </c>
      <c r="AH21" s="976">
        <f t="shared" si="0"/>
        <v>4.3319733200879812E-2</v>
      </c>
      <c r="AI21" s="977">
        <v>26215977</v>
      </c>
      <c r="AJ21" s="978">
        <v>1135669</v>
      </c>
      <c r="AK21" s="979"/>
      <c r="AL21" s="980"/>
      <c r="AM21" s="974"/>
      <c r="AN21" s="981"/>
    </row>
    <row r="22" spans="4:42" ht="18" customHeight="1">
      <c r="D22" s="655" t="s">
        <v>1354</v>
      </c>
      <c r="E22" s="572" t="s">
        <v>401</v>
      </c>
      <c r="F22" s="552">
        <v>0</v>
      </c>
      <c r="G22" s="552">
        <f>-G23</f>
        <v>0</v>
      </c>
      <c r="H22" s="552">
        <f>-H23</f>
        <v>0</v>
      </c>
      <c r="I22" s="552"/>
      <c r="J22" s="553"/>
      <c r="K22" s="551">
        <v>3658730</v>
      </c>
      <c r="L22" s="552">
        <v>3658730</v>
      </c>
      <c r="M22" s="552">
        <v>3658730</v>
      </c>
      <c r="N22" s="553">
        <v>3658730</v>
      </c>
      <c r="O22" s="551">
        <v>32204791</v>
      </c>
      <c r="P22" s="552">
        <v>32204791</v>
      </c>
      <c r="Q22" s="552">
        <v>32204791</v>
      </c>
      <c r="R22" s="667">
        <v>32204791</v>
      </c>
      <c r="S22" s="551">
        <v>53263306</v>
      </c>
      <c r="T22" s="1902">
        <v>53263306</v>
      </c>
      <c r="U22" s="667">
        <v>53263306</v>
      </c>
      <c r="V22" s="1911">
        <f>R18+R20</f>
        <v>53263306</v>
      </c>
      <c r="W22" s="968" t="s">
        <v>2010</v>
      </c>
      <c r="X22" s="519" t="s">
        <v>43</v>
      </c>
      <c r="Y22" s="519" t="s">
        <v>1992</v>
      </c>
      <c r="AA22" s="972" t="s">
        <v>2816</v>
      </c>
      <c r="AB22" s="973" t="s">
        <v>2822</v>
      </c>
      <c r="AC22" s="974">
        <v>80</v>
      </c>
      <c r="AD22" s="974">
        <v>37600</v>
      </c>
      <c r="AE22" s="975">
        <v>470</v>
      </c>
      <c r="AF22" s="975">
        <v>4648</v>
      </c>
      <c r="AG22" s="975">
        <v>4446.8580000000002</v>
      </c>
      <c r="AH22" s="976">
        <f t="shared" si="0"/>
        <v>4.3274956970740068E-2</v>
      </c>
      <c r="AI22" s="977">
        <v>361407</v>
      </c>
      <c r="AJ22" s="978">
        <v>15640</v>
      </c>
      <c r="AK22" s="979"/>
      <c r="AL22" s="980"/>
      <c r="AM22" s="974"/>
      <c r="AN22" s="981"/>
    </row>
    <row r="23" spans="4:42" s="952" customFormat="1" ht="18" customHeight="1">
      <c r="D23" s="655" t="s">
        <v>241</v>
      </c>
      <c r="E23" s="572" t="s">
        <v>242</v>
      </c>
      <c r="F23" s="552">
        <v>0</v>
      </c>
      <c r="G23" s="552">
        <f>-F18</f>
        <v>0</v>
      </c>
      <c r="H23" s="552">
        <f>-F18</f>
        <v>0</v>
      </c>
      <c r="I23" s="552"/>
      <c r="J23" s="553"/>
      <c r="K23" s="551">
        <v>-3658730</v>
      </c>
      <c r="L23" s="552">
        <v>-3658730</v>
      </c>
      <c r="M23" s="552">
        <v>-3658730</v>
      </c>
      <c r="N23" s="553">
        <v>-3658730</v>
      </c>
      <c r="O23" s="551">
        <v>-32204791</v>
      </c>
      <c r="P23" s="552">
        <v>-32204791</v>
      </c>
      <c r="Q23" s="552">
        <v>-32204791</v>
      </c>
      <c r="R23" s="667">
        <v>-32204791</v>
      </c>
      <c r="S23" s="551">
        <v>-31317467</v>
      </c>
      <c r="T23" s="1902">
        <v>-31317467</v>
      </c>
      <c r="U23" s="667">
        <v>-31317467</v>
      </c>
      <c r="V23" s="1911">
        <f>-R18</f>
        <v>-31317467</v>
      </c>
      <c r="W23" s="968"/>
      <c r="X23" s="519" t="s">
        <v>43</v>
      </c>
      <c r="Y23" s="519" t="s">
        <v>1992</v>
      </c>
      <c r="AA23" s="972" t="s">
        <v>2816</v>
      </c>
      <c r="AB23" s="973" t="s">
        <v>2823</v>
      </c>
      <c r="AC23" s="974">
        <v>198</v>
      </c>
      <c r="AD23" s="974">
        <v>93060</v>
      </c>
      <c r="AE23" s="975">
        <v>470</v>
      </c>
      <c r="AF23" s="975">
        <v>4648</v>
      </c>
      <c r="AG23" s="975">
        <v>4446.8580000000002</v>
      </c>
      <c r="AH23" s="976">
        <f t="shared" si="0"/>
        <v>4.3274956970740068E-2</v>
      </c>
      <c r="AI23" s="977">
        <v>894483</v>
      </c>
      <c r="AJ23" s="978">
        <v>38709</v>
      </c>
      <c r="AK23" s="979"/>
      <c r="AL23" s="980"/>
      <c r="AM23" s="974"/>
      <c r="AN23" s="981"/>
    </row>
    <row r="24" spans="4:42" s="952" customFormat="1" ht="18" customHeight="1">
      <c r="D24" s="676" t="s">
        <v>239</v>
      </c>
      <c r="E24" s="572" t="s">
        <v>1994</v>
      </c>
      <c r="F24" s="552"/>
      <c r="G24" s="552"/>
      <c r="H24" s="552"/>
      <c r="I24" s="552"/>
      <c r="J24" s="553"/>
      <c r="K24" s="551"/>
      <c r="L24" s="552"/>
      <c r="M24" s="552"/>
      <c r="N24" s="553"/>
      <c r="O24" s="551"/>
      <c r="P24" s="552"/>
      <c r="Q24" s="552"/>
      <c r="R24" s="667"/>
      <c r="S24" s="551">
        <v>-21945839</v>
      </c>
      <c r="T24" s="1902">
        <v>-21945839</v>
      </c>
      <c r="U24" s="667">
        <v>-21945839</v>
      </c>
      <c r="V24" s="1911">
        <f>-R20</f>
        <v>-21945839</v>
      </c>
      <c r="W24" s="968"/>
      <c r="X24" s="519" t="s">
        <v>43</v>
      </c>
      <c r="Y24" s="519" t="s">
        <v>1992</v>
      </c>
      <c r="AA24" s="972" t="s">
        <v>2816</v>
      </c>
      <c r="AB24" s="973" t="s">
        <v>2824</v>
      </c>
      <c r="AC24" s="974">
        <v>56</v>
      </c>
      <c r="AD24" s="974">
        <v>26320</v>
      </c>
      <c r="AE24" s="975">
        <v>470</v>
      </c>
      <c r="AF24" s="975">
        <v>4648</v>
      </c>
      <c r="AG24" s="975">
        <v>4446.8580000000002</v>
      </c>
      <c r="AH24" s="976">
        <f t="shared" si="0"/>
        <v>4.3274956970740068E-2</v>
      </c>
      <c r="AI24" s="977">
        <v>252985</v>
      </c>
      <c r="AJ24" s="978">
        <v>10948</v>
      </c>
      <c r="AK24" s="979"/>
      <c r="AL24" s="980"/>
      <c r="AM24" s="974"/>
      <c r="AN24" s="981"/>
    </row>
    <row r="25" spans="4:42" ht="18" customHeight="1" thickBot="1">
      <c r="D25" s="655" t="s">
        <v>1355</v>
      </c>
      <c r="E25" s="572" t="s">
        <v>209</v>
      </c>
      <c r="F25" s="552">
        <v>0</v>
      </c>
      <c r="G25" s="552">
        <f>SUM(G23,G18)</f>
        <v>4107419</v>
      </c>
      <c r="H25" s="552">
        <f>SUM(H23,H18)</f>
        <v>3708694</v>
      </c>
      <c r="I25" s="552">
        <f>SUM(I23,I18)</f>
        <v>0</v>
      </c>
      <c r="J25" s="553">
        <f>SUM(J23,J18)</f>
        <v>3658730</v>
      </c>
      <c r="K25" s="551">
        <v>-3658730</v>
      </c>
      <c r="L25" s="552">
        <v>27709970</v>
      </c>
      <c r="M25" s="552">
        <v>32188034</v>
      </c>
      <c r="N25" s="553">
        <v>28546061</v>
      </c>
      <c r="O25" s="551">
        <v>-4181277</v>
      </c>
      <c r="P25" s="552">
        <v>14112916</v>
      </c>
      <c r="Q25" s="552">
        <v>16452706</v>
      </c>
      <c r="R25" s="667">
        <v>21058515</v>
      </c>
      <c r="S25" s="551">
        <v>-629105</v>
      </c>
      <c r="T25" s="1902">
        <v>-5964584</v>
      </c>
      <c r="U25" s="667">
        <v>-10770044</v>
      </c>
      <c r="V25" s="1911">
        <f>SUM(V23,V18,V24,V20)</f>
        <v>7121669</v>
      </c>
      <c r="W25" s="968"/>
      <c r="X25" s="519" t="s">
        <v>43</v>
      </c>
      <c r="Y25" s="519" t="s">
        <v>1992</v>
      </c>
      <c r="AA25" s="982" t="s">
        <v>2816</v>
      </c>
      <c r="AB25" s="983" t="s">
        <v>2825</v>
      </c>
      <c r="AC25" s="984">
        <v>11</v>
      </c>
      <c r="AD25" s="984">
        <v>5170</v>
      </c>
      <c r="AE25" s="985">
        <v>470</v>
      </c>
      <c r="AF25" s="985">
        <v>4648</v>
      </c>
      <c r="AG25" s="985">
        <v>4446.8580000000002</v>
      </c>
      <c r="AH25" s="986">
        <f t="shared" si="0"/>
        <v>4.3274956970740068E-2</v>
      </c>
      <c r="AI25" s="987">
        <v>49694</v>
      </c>
      <c r="AJ25" s="988">
        <v>2151</v>
      </c>
      <c r="AK25" s="989"/>
      <c r="AL25" s="990"/>
      <c r="AM25" s="984"/>
      <c r="AN25" s="991"/>
    </row>
    <row r="26" spans="4:42" ht="18" customHeight="1">
      <c r="D26" s="655"/>
      <c r="E26" s="572" t="s">
        <v>421</v>
      </c>
      <c r="F26" s="552">
        <v>0</v>
      </c>
      <c r="G26" s="552">
        <f>-G25</f>
        <v>-4107419</v>
      </c>
      <c r="H26" s="552">
        <f>-H25</f>
        <v>-3708694</v>
      </c>
      <c r="I26" s="552">
        <f>-I25</f>
        <v>0</v>
      </c>
      <c r="J26" s="553">
        <f>-J25</f>
        <v>-3658730</v>
      </c>
      <c r="K26" s="551">
        <v>3658730</v>
      </c>
      <c r="L26" s="552">
        <v>-27709970</v>
      </c>
      <c r="M26" s="552">
        <v>-32188034</v>
      </c>
      <c r="N26" s="553">
        <v>-28546061</v>
      </c>
      <c r="O26" s="551">
        <v>4181277</v>
      </c>
      <c r="P26" s="552">
        <v>-14112916</v>
      </c>
      <c r="Q26" s="552">
        <v>-16452706</v>
      </c>
      <c r="R26" s="667">
        <v>-21058515</v>
      </c>
      <c r="S26" s="551">
        <v>629105</v>
      </c>
      <c r="T26" s="1902">
        <v>5964584</v>
      </c>
      <c r="U26" s="667">
        <v>10770044</v>
      </c>
      <c r="V26" s="1911">
        <f>-V25</f>
        <v>-7121669</v>
      </c>
      <c r="W26" s="968"/>
      <c r="AA26" s="935"/>
      <c r="AB26" s="952"/>
      <c r="AK26" s="952"/>
      <c r="AL26" s="952"/>
      <c r="AM26" s="952"/>
      <c r="AN26" s="992"/>
    </row>
    <row r="27" spans="4:42" ht="18" customHeight="1" thickBot="1">
      <c r="D27" s="634" t="s">
        <v>2426</v>
      </c>
      <c r="E27" s="994"/>
      <c r="F27" s="995"/>
      <c r="G27" s="995"/>
      <c r="H27" s="995"/>
      <c r="I27" s="995"/>
      <c r="J27" s="996"/>
      <c r="K27" s="634"/>
      <c r="L27" s="995"/>
      <c r="M27" s="995"/>
      <c r="N27" s="996"/>
      <c r="O27" s="634"/>
      <c r="P27" s="995"/>
      <c r="Q27" s="995"/>
      <c r="R27" s="997"/>
      <c r="S27" s="634"/>
      <c r="T27" s="1903"/>
      <c r="U27" s="639"/>
      <c r="V27" s="1912"/>
      <c r="AA27" s="952" t="s">
        <v>2425</v>
      </c>
      <c r="AN27" s="993"/>
    </row>
    <row r="28" spans="4:42" ht="18" customHeight="1">
      <c r="D28" s="655" t="s">
        <v>255</v>
      </c>
      <c r="E28" s="572" t="s">
        <v>2364</v>
      </c>
      <c r="F28" s="552"/>
      <c r="G28" s="552"/>
      <c r="H28" s="552">
        <v>-1181400000</v>
      </c>
      <c r="I28" s="552">
        <f>H28</f>
        <v>-1181400000</v>
      </c>
      <c r="J28" s="553">
        <f>H28</f>
        <v>-1181400000</v>
      </c>
      <c r="K28" s="551"/>
      <c r="L28" s="552"/>
      <c r="M28" s="552"/>
      <c r="N28" s="553"/>
      <c r="O28" s="551"/>
      <c r="P28" s="552"/>
      <c r="Q28" s="552"/>
      <c r="R28" s="667">
        <v>-252800000</v>
      </c>
      <c r="S28" s="551"/>
      <c r="T28" s="1902"/>
      <c r="U28" s="667"/>
      <c r="V28" s="1911"/>
      <c r="AA28" s="998" t="s">
        <v>2427</v>
      </c>
      <c r="AB28" s="999" t="s">
        <v>2415</v>
      </c>
      <c r="AC28" s="999" t="s">
        <v>2416</v>
      </c>
      <c r="AD28" s="999" t="s">
        <v>2422</v>
      </c>
      <c r="AE28" s="1000" t="s">
        <v>2421</v>
      </c>
      <c r="AF28" s="1001" t="s">
        <v>2417</v>
      </c>
      <c r="AG28" s="1001" t="s">
        <v>2413</v>
      </c>
      <c r="AH28" s="1001" t="s">
        <v>2414</v>
      </c>
      <c r="AI28" s="1002" t="s">
        <v>2423</v>
      </c>
      <c r="AJ28" s="1003" t="s">
        <v>2424</v>
      </c>
      <c r="AK28" s="952"/>
      <c r="AL28" s="952"/>
      <c r="AN28" s="993"/>
    </row>
    <row r="29" spans="4:42" ht="18" customHeight="1">
      <c r="D29" s="655" t="s">
        <v>295</v>
      </c>
      <c r="E29" s="572" t="s">
        <v>296</v>
      </c>
      <c r="F29" s="552"/>
      <c r="G29" s="552"/>
      <c r="H29" s="552">
        <f>-H28</f>
        <v>1181400000</v>
      </c>
      <c r="I29" s="552">
        <f>H29</f>
        <v>1181400000</v>
      </c>
      <c r="J29" s="553">
        <f>H29</f>
        <v>1181400000</v>
      </c>
      <c r="K29" s="551"/>
      <c r="L29" s="552"/>
      <c r="M29" s="552"/>
      <c r="N29" s="553"/>
      <c r="O29" s="551"/>
      <c r="P29" s="552"/>
      <c r="Q29" s="552"/>
      <c r="R29" s="667">
        <v>59688889</v>
      </c>
      <c r="S29" s="551">
        <v>126399999</v>
      </c>
      <c r="T29" s="1902">
        <v>193111111</v>
      </c>
      <c r="U29" s="667">
        <v>193111111</v>
      </c>
      <c r="V29" s="1911">
        <f>AF30+AG30+AH30+AI30+AJ30</f>
        <v>193111111</v>
      </c>
      <c r="AA29" s="1004" t="s">
        <v>2418</v>
      </c>
      <c r="AB29" s="1005">
        <v>94800000</v>
      </c>
      <c r="AC29" s="1005">
        <v>158000000</v>
      </c>
      <c r="AD29" s="1005"/>
      <c r="AE29" s="1006">
        <f>-SUM(AB29:AD29)</f>
        <v>-252800000</v>
      </c>
      <c r="AF29" s="675"/>
      <c r="AG29" s="675"/>
      <c r="AH29" s="675"/>
      <c r="AI29" s="668"/>
      <c r="AJ29" s="574"/>
      <c r="AM29" s="952"/>
      <c r="AN29" s="993"/>
    </row>
    <row r="30" spans="4:42" ht="18" customHeight="1">
      <c r="D30" s="669">
        <v>112511</v>
      </c>
      <c r="E30" s="670" t="s">
        <v>2365</v>
      </c>
      <c r="F30" s="668"/>
      <c r="G30" s="668"/>
      <c r="H30" s="668"/>
      <c r="I30" s="668"/>
      <c r="J30" s="671"/>
      <c r="K30" s="672"/>
      <c r="L30" s="668"/>
      <c r="M30" s="668"/>
      <c r="N30" s="671"/>
      <c r="O30" s="672"/>
      <c r="P30" s="668"/>
      <c r="Q30" s="668"/>
      <c r="R30" s="674">
        <v>193111111</v>
      </c>
      <c r="S30" s="672">
        <v>66711112</v>
      </c>
      <c r="T30" s="876">
        <v>0</v>
      </c>
      <c r="U30" s="674">
        <v>0</v>
      </c>
      <c r="V30" s="1911">
        <f>193111111-V29</f>
        <v>0</v>
      </c>
      <c r="AA30" s="1004" t="s">
        <v>2419</v>
      </c>
      <c r="AB30" s="1005">
        <v>15800000</v>
      </c>
      <c r="AC30" s="1005">
        <v>42133333</v>
      </c>
      <c r="AD30" s="1005">
        <v>1755556</v>
      </c>
      <c r="AE30" s="1006">
        <f>SUM(AB30:AD30)</f>
        <v>59688889</v>
      </c>
      <c r="AF30" s="675">
        <v>42133333</v>
      </c>
      <c r="AG30" s="675">
        <v>42133333</v>
      </c>
      <c r="AH30" s="675">
        <v>42133333</v>
      </c>
      <c r="AI30" s="668">
        <v>42133333</v>
      </c>
      <c r="AJ30" s="574">
        <f>AI31</f>
        <v>24577779</v>
      </c>
      <c r="AM30" s="952"/>
      <c r="AN30" s="993"/>
    </row>
    <row r="31" spans="4:42" ht="18" customHeight="1" thickBot="1">
      <c r="D31" s="2006" t="s">
        <v>1354</v>
      </c>
      <c r="E31" s="2007" t="s">
        <v>401</v>
      </c>
      <c r="F31" s="573"/>
      <c r="G31" s="573"/>
      <c r="H31" s="573"/>
      <c r="I31" s="573"/>
      <c r="J31" s="2008"/>
      <c r="K31" s="2009"/>
      <c r="L31" s="573"/>
      <c r="M31" s="573"/>
      <c r="N31" s="2008"/>
      <c r="O31" s="2009"/>
      <c r="P31" s="573"/>
      <c r="Q31" s="573"/>
      <c r="R31" s="2010"/>
      <c r="S31" s="2009">
        <v>-193111111</v>
      </c>
      <c r="T31" s="2011">
        <v>-193111111</v>
      </c>
      <c r="U31" s="2010">
        <v>-193111111</v>
      </c>
      <c r="V31" s="2012">
        <f>-R30</f>
        <v>-193111111</v>
      </c>
      <c r="AA31" s="1013" t="s">
        <v>2420</v>
      </c>
      <c r="AB31" s="1014"/>
      <c r="AC31" s="1014"/>
      <c r="AD31" s="1014"/>
      <c r="AE31" s="1015">
        <f>-AE30-AE29</f>
        <v>193111111</v>
      </c>
      <c r="AF31" s="1016">
        <f>AE31-AF30</f>
        <v>150977778</v>
      </c>
      <c r="AG31" s="1016">
        <f>AF31-AG30</f>
        <v>108844445</v>
      </c>
      <c r="AH31" s="1016">
        <f>AG31-AH30</f>
        <v>66711112</v>
      </c>
      <c r="AI31" s="1017">
        <f>AH31-AI30</f>
        <v>24577779</v>
      </c>
      <c r="AJ31" s="1018">
        <f>AI31-AJ30</f>
        <v>0</v>
      </c>
      <c r="AN31" s="993"/>
    </row>
    <row r="32" spans="4:42" ht="18" customHeight="1">
      <c r="D32" s="634" t="s">
        <v>2881</v>
      </c>
      <c r="E32" s="994"/>
      <c r="F32" s="995"/>
      <c r="G32" s="995"/>
      <c r="H32" s="995"/>
      <c r="I32" s="995"/>
      <c r="J32" s="996"/>
      <c r="K32" s="634"/>
      <c r="L32" s="995"/>
      <c r="M32" s="995"/>
      <c r="N32" s="996"/>
      <c r="O32" s="634"/>
      <c r="P32" s="995"/>
      <c r="Q32" s="995"/>
      <c r="R32" s="997"/>
      <c r="S32" s="634"/>
      <c r="T32" s="1903"/>
      <c r="U32" s="639"/>
      <c r="V32" s="1912"/>
      <c r="AA32" s="2005"/>
      <c r="AB32" s="1363"/>
      <c r="AC32" s="1363"/>
      <c r="AD32" s="1697"/>
      <c r="AE32" s="1697"/>
      <c r="AF32" s="1697"/>
      <c r="AG32" s="1697"/>
      <c r="AH32" s="1697"/>
      <c r="AI32" s="925"/>
      <c r="AJ32" s="925"/>
      <c r="AN32" s="993"/>
    </row>
    <row r="33" spans="4:40" ht="18" customHeight="1">
      <c r="D33" s="676" t="s">
        <v>368</v>
      </c>
      <c r="E33" s="580" t="s">
        <v>688</v>
      </c>
      <c r="F33" s="552"/>
      <c r="G33" s="552"/>
      <c r="H33" s="552"/>
      <c r="I33" s="552"/>
      <c r="J33" s="553"/>
      <c r="K33" s="551"/>
      <c r="L33" s="552"/>
      <c r="M33" s="552"/>
      <c r="N33" s="553"/>
      <c r="O33" s="551"/>
      <c r="P33" s="552"/>
      <c r="Q33" s="552"/>
      <c r="R33" s="667"/>
      <c r="S33" s="551"/>
      <c r="T33" s="1902"/>
      <c r="U33" s="667">
        <v>-216671</v>
      </c>
      <c r="V33" s="2022">
        <v>-216671</v>
      </c>
      <c r="AA33" s="2005"/>
      <c r="AB33" s="1363"/>
      <c r="AC33" s="1363"/>
      <c r="AD33" s="1697"/>
      <c r="AE33" s="1697"/>
      <c r="AF33" s="1697"/>
      <c r="AG33" s="1697"/>
      <c r="AH33" s="1697"/>
      <c r="AI33" s="925"/>
      <c r="AJ33" s="925"/>
      <c r="AN33" s="993"/>
    </row>
    <row r="34" spans="4:40" ht="18" customHeight="1" thickBot="1">
      <c r="D34" s="676" t="s">
        <v>1546</v>
      </c>
      <c r="E34" s="580" t="s">
        <v>734</v>
      </c>
      <c r="F34" s="552"/>
      <c r="G34" s="552"/>
      <c r="H34" s="552"/>
      <c r="I34" s="552"/>
      <c r="J34" s="553"/>
      <c r="K34" s="551"/>
      <c r="L34" s="552"/>
      <c r="M34" s="552"/>
      <c r="N34" s="553"/>
      <c r="O34" s="551"/>
      <c r="P34" s="552"/>
      <c r="Q34" s="552"/>
      <c r="R34" s="667"/>
      <c r="S34" s="551"/>
      <c r="T34" s="1902"/>
      <c r="U34" s="667">
        <v>216671</v>
      </c>
      <c r="V34" s="2021">
        <f>-V33</f>
        <v>216671</v>
      </c>
      <c r="AA34" s="2005"/>
      <c r="AB34" s="1363"/>
      <c r="AC34" s="1363"/>
      <c r="AD34" s="1697"/>
      <c r="AE34" s="1697"/>
      <c r="AF34" s="1697"/>
      <c r="AG34" s="1697"/>
      <c r="AH34" s="1697"/>
      <c r="AI34" s="925"/>
      <c r="AJ34" s="925"/>
      <c r="AN34" s="993"/>
    </row>
    <row r="35" spans="4:40" s="1012" customFormat="1" ht="18" customHeight="1" outlineLevel="1">
      <c r="D35" s="2013" t="s">
        <v>413</v>
      </c>
      <c r="E35" s="2014"/>
      <c r="F35" s="2015"/>
      <c r="G35" s="2015"/>
      <c r="H35" s="2015"/>
      <c r="I35" s="2015"/>
      <c r="J35" s="2016"/>
      <c r="K35" s="2017"/>
      <c r="L35" s="2015"/>
      <c r="M35" s="2015"/>
      <c r="N35" s="2016"/>
      <c r="O35" s="2017"/>
      <c r="P35" s="2015"/>
      <c r="Q35" s="2015"/>
      <c r="R35" s="2018"/>
      <c r="S35" s="2017"/>
      <c r="T35" s="2019"/>
      <c r="U35" s="2044"/>
      <c r="V35" s="2020"/>
      <c r="W35" s="1011"/>
      <c r="AB35" s="509"/>
      <c r="AC35" s="509"/>
      <c r="AD35" s="509"/>
      <c r="AE35" s="509"/>
      <c r="AF35" s="509"/>
      <c r="AK35" s="509"/>
      <c r="AL35" s="509"/>
      <c r="AM35" s="509"/>
      <c r="AN35" s="993"/>
    </row>
    <row r="36" spans="4:40" s="935" customFormat="1" ht="18" customHeight="1" outlineLevel="1">
      <c r="D36" s="928"/>
      <c r="E36" s="929" t="s">
        <v>415</v>
      </c>
      <c r="F36" s="930"/>
      <c r="G36" s="930"/>
      <c r="H36" s="930"/>
      <c r="I36" s="930"/>
      <c r="J36" s="931"/>
      <c r="K36" s="932"/>
      <c r="L36" s="930"/>
      <c r="M36" s="930"/>
      <c r="N36" s="931"/>
      <c r="O36" s="932"/>
      <c r="P36" s="930"/>
      <c r="Q36" s="930"/>
      <c r="R36" s="933"/>
      <c r="S36" s="932"/>
      <c r="T36" s="1899"/>
      <c r="U36" s="2042"/>
      <c r="V36" s="1908"/>
      <c r="W36" s="934"/>
      <c r="AB36" s="509"/>
      <c r="AC36" s="509"/>
      <c r="AD36" s="509"/>
      <c r="AE36" s="509"/>
      <c r="AF36" s="509"/>
      <c r="AK36" s="509"/>
      <c r="AL36" s="509"/>
      <c r="AM36" s="509"/>
      <c r="AN36" s="509"/>
    </row>
    <row r="37" spans="4:40" ht="18" customHeight="1" outlineLevel="1">
      <c r="D37" s="551"/>
      <c r="E37" s="572" t="s">
        <v>411</v>
      </c>
      <c r="F37" s="937">
        <v>0.47856800541709282</v>
      </c>
      <c r="G37" s="937">
        <v>0.40839243808672687</v>
      </c>
      <c r="H37" s="937">
        <f>H41/H39</f>
        <v>0.40336011563338686</v>
      </c>
      <c r="I37" s="937">
        <v>0.39829237655209598</v>
      </c>
      <c r="J37" s="938">
        <f>H37</f>
        <v>0.40336011563338686</v>
      </c>
      <c r="K37" s="939"/>
      <c r="L37" s="937"/>
      <c r="M37" s="937"/>
      <c r="N37" s="938"/>
      <c r="O37" s="939"/>
      <c r="P37" s="937"/>
      <c r="Q37" s="937"/>
      <c r="R37" s="940"/>
      <c r="S37" s="939"/>
      <c r="T37" s="1900"/>
      <c r="U37" s="940"/>
      <c r="V37" s="1909"/>
      <c r="W37" s="941"/>
    </row>
    <row r="38" spans="4:40" s="952" customFormat="1" ht="18" customHeight="1" outlineLevel="1">
      <c r="D38" s="953"/>
      <c r="E38" s="929" t="s">
        <v>412</v>
      </c>
      <c r="F38" s="954"/>
      <c r="G38" s="954"/>
      <c r="H38" s="954"/>
      <c r="I38" s="954"/>
      <c r="J38" s="955"/>
      <c r="K38" s="953"/>
      <c r="L38" s="954"/>
      <c r="M38" s="954"/>
      <c r="N38" s="955"/>
      <c r="O38" s="953"/>
      <c r="P38" s="954"/>
      <c r="Q38" s="954"/>
      <c r="R38" s="956"/>
      <c r="S38" s="953"/>
      <c r="T38" s="1901"/>
      <c r="U38" s="2043"/>
      <c r="V38" s="1910"/>
      <c r="W38" s="720"/>
      <c r="AB38" s="509"/>
      <c r="AC38" s="509"/>
      <c r="AD38" s="509"/>
      <c r="AE38" s="509"/>
      <c r="AF38" s="509"/>
      <c r="AK38" s="509"/>
      <c r="AL38" s="509"/>
      <c r="AM38" s="509"/>
      <c r="AN38" s="509"/>
    </row>
    <row r="39" spans="4:40" ht="18" customHeight="1" outlineLevel="1">
      <c r="D39" s="551"/>
      <c r="E39" s="572" t="s">
        <v>411</v>
      </c>
      <c r="F39" s="552">
        <v>1155016576</v>
      </c>
      <c r="G39" s="552">
        <v>856422094</v>
      </c>
      <c r="H39" s="552">
        <v>622300548</v>
      </c>
      <c r="I39" s="552">
        <v>813003348</v>
      </c>
      <c r="J39" s="553">
        <f>H39</f>
        <v>622300548</v>
      </c>
      <c r="K39" s="551">
        <v>0</v>
      </c>
      <c r="L39" s="552"/>
      <c r="M39" s="552"/>
      <c r="N39" s="553">
        <v>0</v>
      </c>
      <c r="O39" s="551"/>
      <c r="P39" s="552"/>
      <c r="Q39" s="552"/>
      <c r="R39" s="667"/>
      <c r="S39" s="551"/>
      <c r="T39" s="1902">
        <v>0</v>
      </c>
      <c r="U39" s="667"/>
      <c r="V39" s="1914">
        <v>0</v>
      </c>
    </row>
    <row r="40" spans="4:40" s="952" customFormat="1" ht="18" customHeight="1" outlineLevel="1">
      <c r="D40" s="953"/>
      <c r="E40" s="929" t="s">
        <v>416</v>
      </c>
      <c r="F40" s="954"/>
      <c r="G40" s="954"/>
      <c r="H40" s="954"/>
      <c r="I40" s="954"/>
      <c r="J40" s="955"/>
      <c r="K40" s="953"/>
      <c r="L40" s="954"/>
      <c r="M40" s="954"/>
      <c r="N40" s="955"/>
      <c r="O40" s="953"/>
      <c r="P40" s="954"/>
      <c r="Q40" s="954"/>
      <c r="R40" s="956"/>
      <c r="S40" s="953"/>
      <c r="T40" s="1901"/>
      <c r="U40" s="2043"/>
      <c r="V40" s="1910"/>
      <c r="W40" s="720"/>
      <c r="AE40" s="509"/>
      <c r="AF40" s="509"/>
      <c r="AK40" s="509"/>
      <c r="AL40" s="509"/>
      <c r="AM40" s="509"/>
      <c r="AN40" s="1012"/>
    </row>
    <row r="41" spans="4:40" ht="18" customHeight="1" outlineLevel="1">
      <c r="D41" s="551"/>
      <c r="E41" s="572" t="s">
        <v>411</v>
      </c>
      <c r="F41" s="552">
        <f>ROUND(F37*F39,0)</f>
        <v>552753979</v>
      </c>
      <c r="G41" s="552">
        <f>ROUND(G37*G39,0)</f>
        <v>349756307</v>
      </c>
      <c r="H41" s="552">
        <v>251011221</v>
      </c>
      <c r="I41" s="552"/>
      <c r="J41" s="553"/>
      <c r="K41" s="551"/>
      <c r="L41" s="552"/>
      <c r="M41" s="552"/>
      <c r="N41" s="553"/>
      <c r="O41" s="551"/>
      <c r="P41" s="552"/>
      <c r="Q41" s="552"/>
      <c r="R41" s="667"/>
      <c r="S41" s="551"/>
      <c r="T41" s="1902"/>
      <c r="U41" s="667"/>
      <c r="V41" s="1914"/>
      <c r="AA41" s="952"/>
      <c r="AB41" s="952"/>
      <c r="AC41" s="952"/>
      <c r="AD41" s="952"/>
      <c r="AK41" s="1012"/>
      <c r="AL41" s="1012"/>
      <c r="AM41" s="1012"/>
      <c r="AN41" s="1012"/>
    </row>
    <row r="42" spans="4:40" s="952" customFormat="1" ht="18" customHeight="1" outlineLevel="1">
      <c r="D42" s="953"/>
      <c r="E42" s="929"/>
      <c r="F42" s="954" t="b">
        <f>SUM(F43:F48)=0</f>
        <v>1</v>
      </c>
      <c r="G42" s="954"/>
      <c r="H42" s="954"/>
      <c r="I42" s="954"/>
      <c r="J42" s="955"/>
      <c r="K42" s="953"/>
      <c r="L42" s="954"/>
      <c r="M42" s="954"/>
      <c r="N42" s="955"/>
      <c r="O42" s="953"/>
      <c r="P42" s="954"/>
      <c r="Q42" s="954"/>
      <c r="R42" s="956"/>
      <c r="S42" s="953"/>
      <c r="T42" s="1901"/>
      <c r="U42" s="2043"/>
      <c r="V42" s="1910"/>
      <c r="W42" s="720"/>
      <c r="AE42" s="509"/>
      <c r="AF42" s="509"/>
      <c r="AK42" s="935"/>
      <c r="AL42" s="935"/>
      <c r="AM42" s="935"/>
      <c r="AN42" s="935"/>
    </row>
    <row r="43" spans="4:40" ht="18" customHeight="1" outlineLevel="1">
      <c r="D43" s="656" t="s">
        <v>1793</v>
      </c>
      <c r="E43" s="572" t="s">
        <v>45</v>
      </c>
      <c r="F43" s="552">
        <f t="shared" ref="F43:N43" si="1">-F41</f>
        <v>-552753979</v>
      </c>
      <c r="G43" s="552">
        <f t="shared" si="1"/>
        <v>-349756307</v>
      </c>
      <c r="H43" s="552">
        <f t="shared" si="1"/>
        <v>-251011221</v>
      </c>
      <c r="I43" s="552">
        <f t="shared" si="1"/>
        <v>0</v>
      </c>
      <c r="J43" s="553">
        <f t="shared" si="1"/>
        <v>0</v>
      </c>
      <c r="K43" s="551">
        <v>0</v>
      </c>
      <c r="L43" s="552"/>
      <c r="M43" s="552"/>
      <c r="N43" s="553">
        <f t="shared" si="1"/>
        <v>0</v>
      </c>
      <c r="O43" s="551"/>
      <c r="P43" s="552"/>
      <c r="Q43" s="552"/>
      <c r="R43" s="667"/>
      <c r="S43" s="551"/>
      <c r="T43" s="1902">
        <v>0</v>
      </c>
      <c r="U43" s="667"/>
      <c r="V43" s="1914">
        <f>-V41</f>
        <v>0</v>
      </c>
      <c r="AA43" s="952"/>
      <c r="AB43" s="952"/>
      <c r="AC43" s="952"/>
      <c r="AD43" s="952"/>
    </row>
    <row r="44" spans="4:40" ht="18" customHeight="1" outlineLevel="1">
      <c r="D44" s="655" t="s">
        <v>241</v>
      </c>
      <c r="E44" s="572" t="s">
        <v>242</v>
      </c>
      <c r="F44" s="552">
        <f t="shared" ref="F44:N44" si="2">-F43</f>
        <v>552753979</v>
      </c>
      <c r="G44" s="552">
        <f t="shared" si="2"/>
        <v>349756307</v>
      </c>
      <c r="H44" s="552">
        <f t="shared" si="2"/>
        <v>251011221</v>
      </c>
      <c r="I44" s="552">
        <f t="shared" si="2"/>
        <v>0</v>
      </c>
      <c r="J44" s="553">
        <f t="shared" si="2"/>
        <v>0</v>
      </c>
      <c r="K44" s="551">
        <v>0</v>
      </c>
      <c r="L44" s="552"/>
      <c r="M44" s="552"/>
      <c r="N44" s="553">
        <f t="shared" si="2"/>
        <v>0</v>
      </c>
      <c r="O44" s="551"/>
      <c r="P44" s="552"/>
      <c r="Q44" s="552"/>
      <c r="R44" s="667"/>
      <c r="S44" s="551"/>
      <c r="T44" s="1902">
        <v>0</v>
      </c>
      <c r="U44" s="667"/>
      <c r="V44" s="1914">
        <f>-V43</f>
        <v>0</v>
      </c>
      <c r="AA44" s="952"/>
      <c r="AB44" s="952"/>
      <c r="AC44" s="952"/>
      <c r="AD44" s="952"/>
      <c r="AK44" s="952"/>
      <c r="AL44" s="952"/>
      <c r="AM44" s="952"/>
      <c r="AN44" s="952"/>
    </row>
    <row r="45" spans="4:40" ht="18" customHeight="1" outlineLevel="1">
      <c r="D45" s="655" t="s">
        <v>1354</v>
      </c>
      <c r="E45" s="572" t="s">
        <v>401</v>
      </c>
      <c r="F45" s="552">
        <v>251606202</v>
      </c>
      <c r="G45" s="552">
        <f>-G46</f>
        <v>552753979</v>
      </c>
      <c r="H45" s="552">
        <f>-H46</f>
        <v>552753979</v>
      </c>
      <c r="I45" s="552">
        <f>-I46</f>
        <v>552753979</v>
      </c>
      <c r="J45" s="553">
        <f>-J46</f>
        <v>552753979</v>
      </c>
      <c r="K45" s="551">
        <v>0</v>
      </c>
      <c r="L45" s="552"/>
      <c r="M45" s="552"/>
      <c r="N45" s="553">
        <v>0</v>
      </c>
      <c r="O45" s="551"/>
      <c r="P45" s="552"/>
      <c r="Q45" s="552"/>
      <c r="R45" s="667"/>
      <c r="S45" s="551"/>
      <c r="T45" s="1902">
        <v>0</v>
      </c>
      <c r="U45" s="667"/>
      <c r="V45" s="1914">
        <v>0</v>
      </c>
      <c r="AA45" s="952"/>
      <c r="AB45" s="952"/>
      <c r="AC45" s="952"/>
      <c r="AD45" s="952"/>
    </row>
    <row r="46" spans="4:40" ht="18" customHeight="1" outlineLevel="1">
      <c r="D46" s="655" t="s">
        <v>241</v>
      </c>
      <c r="E46" s="572" t="s">
        <v>242</v>
      </c>
      <c r="F46" s="552">
        <f>-F45</f>
        <v>-251606202</v>
      </c>
      <c r="G46" s="552">
        <f>-F44</f>
        <v>-552753979</v>
      </c>
      <c r="H46" s="552">
        <f>-F44</f>
        <v>-552753979</v>
      </c>
      <c r="I46" s="552">
        <f>-F44</f>
        <v>-552753979</v>
      </c>
      <c r="J46" s="553">
        <f>-F44</f>
        <v>-552753979</v>
      </c>
      <c r="K46" s="551">
        <v>0</v>
      </c>
      <c r="L46" s="552"/>
      <c r="M46" s="552"/>
      <c r="N46" s="553">
        <v>0</v>
      </c>
      <c r="O46" s="551"/>
      <c r="P46" s="552"/>
      <c r="Q46" s="552"/>
      <c r="R46" s="667"/>
      <c r="S46" s="551"/>
      <c r="T46" s="1902">
        <v>0</v>
      </c>
      <c r="U46" s="667"/>
      <c r="V46" s="1914">
        <v>0</v>
      </c>
      <c r="AA46" s="952"/>
      <c r="AB46" s="952"/>
      <c r="AC46" s="952"/>
      <c r="AD46" s="952"/>
      <c r="AK46" s="952"/>
      <c r="AL46" s="952"/>
      <c r="AM46" s="952"/>
      <c r="AN46" s="952"/>
    </row>
    <row r="47" spans="4:40" ht="18" customHeight="1" outlineLevel="1">
      <c r="D47" s="655" t="s">
        <v>1355</v>
      </c>
      <c r="E47" s="572" t="s">
        <v>209</v>
      </c>
      <c r="F47" s="552">
        <f t="shared" ref="F47:N47" si="3">SUM(F46,F44)</f>
        <v>301147777</v>
      </c>
      <c r="G47" s="552">
        <f t="shared" si="3"/>
        <v>-202997672</v>
      </c>
      <c r="H47" s="552">
        <f t="shared" si="3"/>
        <v>-301742758</v>
      </c>
      <c r="I47" s="552">
        <f t="shared" si="3"/>
        <v>-552753979</v>
      </c>
      <c r="J47" s="553">
        <f t="shared" si="3"/>
        <v>-552753979</v>
      </c>
      <c r="K47" s="551">
        <v>0</v>
      </c>
      <c r="L47" s="552"/>
      <c r="M47" s="552"/>
      <c r="N47" s="553">
        <f t="shared" si="3"/>
        <v>0</v>
      </c>
      <c r="O47" s="551"/>
      <c r="P47" s="552"/>
      <c r="Q47" s="552"/>
      <c r="R47" s="667"/>
      <c r="S47" s="551"/>
      <c r="T47" s="1902">
        <v>0</v>
      </c>
      <c r="U47" s="667"/>
      <c r="V47" s="1914">
        <f>SUM(V46,V44)</f>
        <v>0</v>
      </c>
      <c r="AA47" s="952"/>
      <c r="AB47" s="952"/>
      <c r="AC47" s="952"/>
      <c r="AD47" s="952"/>
    </row>
    <row r="48" spans="4:40" ht="18" customHeight="1" outlineLevel="1">
      <c r="D48" s="655"/>
      <c r="E48" s="572" t="s">
        <v>421</v>
      </c>
      <c r="F48" s="552">
        <f t="shared" ref="F48:N48" si="4">-F47</f>
        <v>-301147777</v>
      </c>
      <c r="G48" s="552">
        <f t="shared" si="4"/>
        <v>202997672</v>
      </c>
      <c r="H48" s="552">
        <f t="shared" si="4"/>
        <v>301742758</v>
      </c>
      <c r="I48" s="552">
        <f t="shared" si="4"/>
        <v>552753979</v>
      </c>
      <c r="J48" s="553">
        <f t="shared" si="4"/>
        <v>552753979</v>
      </c>
      <c r="K48" s="551">
        <v>0</v>
      </c>
      <c r="L48" s="552"/>
      <c r="M48" s="552"/>
      <c r="N48" s="553">
        <f t="shared" si="4"/>
        <v>0</v>
      </c>
      <c r="O48" s="551"/>
      <c r="P48" s="552"/>
      <c r="Q48" s="552"/>
      <c r="R48" s="667"/>
      <c r="S48" s="551"/>
      <c r="T48" s="1902">
        <v>0</v>
      </c>
      <c r="U48" s="667"/>
      <c r="V48" s="1914">
        <f>-V47</f>
        <v>0</v>
      </c>
      <c r="AA48" s="952"/>
      <c r="AB48" s="952"/>
      <c r="AC48" s="952"/>
      <c r="AD48" s="952"/>
      <c r="AK48" s="952"/>
      <c r="AL48" s="952"/>
      <c r="AM48" s="952"/>
      <c r="AN48" s="952"/>
    </row>
    <row r="49" spans="4:40" s="1012" customFormat="1" ht="18" customHeight="1" outlineLevel="1">
      <c r="D49" s="634" t="s">
        <v>417</v>
      </c>
      <c r="E49" s="994"/>
      <c r="F49" s="1007"/>
      <c r="G49" s="1007"/>
      <c r="H49" s="1007"/>
      <c r="I49" s="1007"/>
      <c r="J49" s="1008"/>
      <c r="K49" s="1009"/>
      <c r="L49" s="1007"/>
      <c r="M49" s="1007"/>
      <c r="N49" s="1008"/>
      <c r="O49" s="1009"/>
      <c r="P49" s="1007"/>
      <c r="Q49" s="1007"/>
      <c r="R49" s="1010"/>
      <c r="S49" s="1009"/>
      <c r="T49" s="1904"/>
      <c r="U49" s="2045"/>
      <c r="V49" s="1913"/>
      <c r="W49" s="1019"/>
      <c r="AA49" s="952"/>
      <c r="AB49" s="952"/>
      <c r="AC49" s="952"/>
      <c r="AD49" s="952"/>
      <c r="AE49" s="509"/>
      <c r="AF49" s="509"/>
      <c r="AK49" s="509"/>
      <c r="AL49" s="509"/>
      <c r="AM49" s="509"/>
      <c r="AN49" s="509"/>
    </row>
    <row r="50" spans="4:40" s="935" customFormat="1" ht="18" customHeight="1" outlineLevel="1">
      <c r="D50" s="928"/>
      <c r="E50" s="929" t="s">
        <v>415</v>
      </c>
      <c r="F50" s="930"/>
      <c r="G50" s="930"/>
      <c r="H50" s="930"/>
      <c r="I50" s="930"/>
      <c r="J50" s="931"/>
      <c r="K50" s="932"/>
      <c r="L50" s="930"/>
      <c r="M50" s="930"/>
      <c r="N50" s="931"/>
      <c r="O50" s="932"/>
      <c r="P50" s="930"/>
      <c r="Q50" s="930"/>
      <c r="R50" s="933"/>
      <c r="S50" s="932"/>
      <c r="T50" s="1899"/>
      <c r="U50" s="2042"/>
      <c r="V50" s="1908"/>
      <c r="W50" s="934"/>
      <c r="AA50" s="952"/>
      <c r="AB50" s="952"/>
      <c r="AC50" s="952"/>
      <c r="AD50" s="952"/>
      <c r="AE50" s="509"/>
      <c r="AF50" s="509"/>
      <c r="AK50" s="509"/>
      <c r="AL50" s="509"/>
      <c r="AM50" s="509"/>
      <c r="AN50" s="509"/>
    </row>
    <row r="51" spans="4:40" ht="18" customHeight="1" outlineLevel="1">
      <c r="D51" s="551"/>
      <c r="E51" s="572" t="s">
        <v>419</v>
      </c>
      <c r="F51" s="937">
        <v>0.42930000000000001</v>
      </c>
      <c r="G51" s="937"/>
      <c r="H51" s="937"/>
      <c r="I51" s="552"/>
      <c r="J51" s="553"/>
      <c r="K51" s="551"/>
      <c r="L51" s="552"/>
      <c r="M51" s="552"/>
      <c r="N51" s="553"/>
      <c r="O51" s="551"/>
      <c r="P51" s="552"/>
      <c r="Q51" s="552"/>
      <c r="R51" s="667"/>
      <c r="S51" s="551"/>
      <c r="T51" s="1902"/>
      <c r="U51" s="667"/>
      <c r="V51" s="1914"/>
      <c r="AA51" s="952"/>
      <c r="AB51" s="952"/>
      <c r="AC51" s="952"/>
      <c r="AD51" s="952"/>
    </row>
    <row r="52" spans="4:40" ht="18" customHeight="1" outlineLevel="1">
      <c r="D52" s="551"/>
      <c r="E52" s="572" t="s">
        <v>418</v>
      </c>
      <c r="F52" s="937">
        <v>0.19480178114206378</v>
      </c>
      <c r="G52" s="937">
        <v>0.1948017679530924</v>
      </c>
      <c r="H52" s="937">
        <v>0.1948017679530924</v>
      </c>
      <c r="I52" s="937">
        <v>0.1948017679530924</v>
      </c>
      <c r="J52" s="938"/>
      <c r="K52" s="939"/>
      <c r="L52" s="937"/>
      <c r="M52" s="937"/>
      <c r="N52" s="553"/>
      <c r="O52" s="551"/>
      <c r="P52" s="552"/>
      <c r="Q52" s="552"/>
      <c r="R52" s="667"/>
      <c r="S52" s="551"/>
      <c r="T52" s="1902"/>
      <c r="U52" s="667"/>
      <c r="V52" s="1914"/>
    </row>
    <row r="53" spans="4:40" ht="18" customHeight="1" outlineLevel="1">
      <c r="D53" s="551"/>
      <c r="E53" s="572" t="s">
        <v>420</v>
      </c>
      <c r="F53" s="937">
        <v>0.1925390640009832</v>
      </c>
      <c r="G53" s="937">
        <v>0</v>
      </c>
      <c r="H53" s="937">
        <v>0</v>
      </c>
      <c r="I53" s="937">
        <v>0</v>
      </c>
      <c r="J53" s="938"/>
      <c r="K53" s="939"/>
      <c r="L53" s="937"/>
      <c r="M53" s="937"/>
      <c r="N53" s="553"/>
      <c r="O53" s="551"/>
      <c r="P53" s="552"/>
      <c r="Q53" s="552"/>
      <c r="R53" s="667"/>
      <c r="S53" s="551"/>
      <c r="T53" s="1902"/>
      <c r="U53" s="667"/>
      <c r="V53" s="1914"/>
    </row>
    <row r="54" spans="4:40" s="952" customFormat="1" ht="18" customHeight="1" outlineLevel="1">
      <c r="D54" s="953"/>
      <c r="E54" s="929" t="s">
        <v>412</v>
      </c>
      <c r="F54" s="954"/>
      <c r="G54" s="954"/>
      <c r="H54" s="954"/>
      <c r="I54" s="954"/>
      <c r="J54" s="955"/>
      <c r="K54" s="953"/>
      <c r="L54" s="954"/>
      <c r="M54" s="954"/>
      <c r="N54" s="955"/>
      <c r="O54" s="953"/>
      <c r="P54" s="954"/>
      <c r="Q54" s="954"/>
      <c r="R54" s="956"/>
      <c r="S54" s="953"/>
      <c r="T54" s="1901"/>
      <c r="U54" s="2043"/>
      <c r="V54" s="1910"/>
      <c r="W54" s="720"/>
      <c r="AB54" s="509"/>
      <c r="AC54" s="509"/>
      <c r="AD54" s="509"/>
      <c r="AE54" s="509"/>
      <c r="AF54" s="509"/>
      <c r="AK54" s="509"/>
      <c r="AL54" s="509"/>
      <c r="AM54" s="509"/>
      <c r="AN54" s="509"/>
    </row>
    <row r="55" spans="4:40" ht="18" customHeight="1" outlineLevel="1">
      <c r="D55" s="551"/>
      <c r="E55" s="572" t="s">
        <v>419</v>
      </c>
      <c r="F55" s="552"/>
      <c r="G55" s="552"/>
      <c r="H55" s="552"/>
      <c r="I55" s="552"/>
      <c r="J55" s="553"/>
      <c r="K55" s="551"/>
      <c r="L55" s="552"/>
      <c r="M55" s="552"/>
      <c r="N55" s="553"/>
      <c r="O55" s="551"/>
      <c r="P55" s="552"/>
      <c r="Q55" s="552"/>
      <c r="R55" s="667"/>
      <c r="S55" s="551"/>
      <c r="T55" s="1902"/>
      <c r="U55" s="667"/>
      <c r="V55" s="1914"/>
      <c r="AK55" s="1012"/>
      <c r="AL55" s="1012"/>
      <c r="AM55" s="1012"/>
      <c r="AN55" s="1012"/>
    </row>
    <row r="56" spans="4:40" ht="18" customHeight="1" outlineLevel="1">
      <c r="D56" s="551"/>
      <c r="E56" s="572" t="s">
        <v>418</v>
      </c>
      <c r="F56" s="552">
        <v>37853398</v>
      </c>
      <c r="G56" s="552">
        <v>34919026</v>
      </c>
      <c r="H56" s="552">
        <v>0</v>
      </c>
      <c r="I56" s="552"/>
      <c r="J56" s="553"/>
      <c r="K56" s="551"/>
      <c r="L56" s="552"/>
      <c r="M56" s="552"/>
      <c r="N56" s="553"/>
      <c r="O56" s="551"/>
      <c r="P56" s="552"/>
      <c r="Q56" s="552"/>
      <c r="R56" s="667"/>
      <c r="S56" s="551"/>
      <c r="T56" s="1902"/>
      <c r="U56" s="667"/>
      <c r="V56" s="1914"/>
      <c r="AK56" s="935"/>
      <c r="AL56" s="935"/>
      <c r="AM56" s="935"/>
      <c r="AN56" s="935"/>
    </row>
    <row r="57" spans="4:40" ht="18" customHeight="1" outlineLevel="1">
      <c r="D57" s="551"/>
      <c r="E57" s="572" t="s">
        <v>420</v>
      </c>
      <c r="F57" s="552"/>
      <c r="G57" s="552"/>
      <c r="H57" s="552"/>
      <c r="I57" s="552"/>
      <c r="J57" s="553"/>
      <c r="K57" s="551"/>
      <c r="L57" s="552"/>
      <c r="M57" s="552"/>
      <c r="N57" s="553"/>
      <c r="O57" s="551"/>
      <c r="P57" s="552"/>
      <c r="Q57" s="552"/>
      <c r="R57" s="667"/>
      <c r="S57" s="551"/>
      <c r="T57" s="1902"/>
      <c r="U57" s="667"/>
      <c r="V57" s="1914"/>
    </row>
    <row r="58" spans="4:40" s="952" customFormat="1" ht="18" customHeight="1" outlineLevel="1">
      <c r="D58" s="953"/>
      <c r="E58" s="929" t="s">
        <v>416</v>
      </c>
      <c r="F58" s="954"/>
      <c r="G58" s="954"/>
      <c r="H58" s="954"/>
      <c r="I58" s="954"/>
      <c r="J58" s="955"/>
      <c r="K58" s="953"/>
      <c r="L58" s="954"/>
      <c r="M58" s="954"/>
      <c r="N58" s="955"/>
      <c r="O58" s="953"/>
      <c r="P58" s="954"/>
      <c r="Q58" s="954"/>
      <c r="R58" s="956"/>
      <c r="S58" s="953"/>
      <c r="T58" s="1901"/>
      <c r="U58" s="2043"/>
      <c r="V58" s="1910"/>
      <c r="W58" s="720"/>
      <c r="AB58" s="509"/>
      <c r="AC58" s="509"/>
      <c r="AD58" s="509"/>
      <c r="AE58" s="509"/>
      <c r="AF58" s="509"/>
      <c r="AK58" s="509"/>
      <c r="AL58" s="509"/>
      <c r="AM58" s="509"/>
      <c r="AN58" s="509"/>
    </row>
    <row r="59" spans="4:40" ht="18" customHeight="1" outlineLevel="1">
      <c r="D59" s="551"/>
      <c r="E59" s="572" t="s">
        <v>419</v>
      </c>
      <c r="F59" s="552">
        <f t="shared" ref="F59:G61" si="5">ROUND(F51*F55,0)</f>
        <v>0</v>
      </c>
      <c r="G59" s="552">
        <f t="shared" si="5"/>
        <v>0</v>
      </c>
      <c r="H59" s="552">
        <f>ROUND(H51*H55,0)</f>
        <v>0</v>
      </c>
      <c r="I59" s="552"/>
      <c r="J59" s="553"/>
      <c r="K59" s="551"/>
      <c r="L59" s="552"/>
      <c r="M59" s="552"/>
      <c r="N59" s="553"/>
      <c r="O59" s="551"/>
      <c r="P59" s="552"/>
      <c r="Q59" s="552"/>
      <c r="R59" s="667"/>
      <c r="S59" s="551"/>
      <c r="T59" s="1902"/>
      <c r="U59" s="667"/>
      <c r="V59" s="1914"/>
    </row>
    <row r="60" spans="4:40" ht="18" customHeight="1" outlineLevel="1">
      <c r="D60" s="551"/>
      <c r="E60" s="572" t="s">
        <v>418</v>
      </c>
      <c r="F60" s="552">
        <f t="shared" si="5"/>
        <v>7373909</v>
      </c>
      <c r="G60" s="552">
        <f t="shared" si="5"/>
        <v>6802288</v>
      </c>
      <c r="H60" s="552">
        <f>ROUND(H52*H56,0)</f>
        <v>0</v>
      </c>
      <c r="I60" s="552"/>
      <c r="J60" s="553"/>
      <c r="K60" s="551"/>
      <c r="L60" s="552"/>
      <c r="M60" s="552"/>
      <c r="N60" s="553"/>
      <c r="O60" s="551"/>
      <c r="P60" s="552"/>
      <c r="Q60" s="552"/>
      <c r="R60" s="667"/>
      <c r="S60" s="551"/>
      <c r="T60" s="1902"/>
      <c r="U60" s="667"/>
      <c r="V60" s="1914"/>
      <c r="AK60" s="952"/>
      <c r="AL60" s="952"/>
      <c r="AM60" s="952"/>
      <c r="AN60" s="952"/>
    </row>
    <row r="61" spans="4:40" ht="18" customHeight="1" outlineLevel="1">
      <c r="D61" s="551"/>
      <c r="E61" s="572" t="s">
        <v>420</v>
      </c>
      <c r="F61" s="552">
        <f t="shared" si="5"/>
        <v>0</v>
      </c>
      <c r="G61" s="552">
        <f t="shared" si="5"/>
        <v>0</v>
      </c>
      <c r="H61" s="552">
        <f>ROUND(H53*H57,0)</f>
        <v>0</v>
      </c>
      <c r="I61" s="552"/>
      <c r="J61" s="553"/>
      <c r="K61" s="551"/>
      <c r="L61" s="552"/>
      <c r="M61" s="552"/>
      <c r="N61" s="553"/>
      <c r="O61" s="551"/>
      <c r="P61" s="552"/>
      <c r="Q61" s="552"/>
      <c r="R61" s="667"/>
      <c r="S61" s="551"/>
      <c r="T61" s="1902"/>
      <c r="U61" s="667"/>
      <c r="V61" s="1914"/>
    </row>
    <row r="62" spans="4:40" s="952" customFormat="1" ht="18" customHeight="1" outlineLevel="1">
      <c r="D62" s="953"/>
      <c r="E62" s="929"/>
      <c r="F62" s="954" t="b">
        <f>SUM(F63:F68)=0</f>
        <v>1</v>
      </c>
      <c r="G62" s="954"/>
      <c r="H62" s="954"/>
      <c r="I62" s="954"/>
      <c r="J62" s="955"/>
      <c r="K62" s="953"/>
      <c r="L62" s="954"/>
      <c r="M62" s="954"/>
      <c r="N62" s="955"/>
      <c r="O62" s="953"/>
      <c r="P62" s="954"/>
      <c r="Q62" s="954"/>
      <c r="R62" s="956"/>
      <c r="S62" s="953"/>
      <c r="T62" s="1901"/>
      <c r="U62" s="2043"/>
      <c r="V62" s="1910"/>
      <c r="W62" s="720"/>
      <c r="AB62" s="509"/>
      <c r="AC62" s="509"/>
      <c r="AD62" s="509"/>
      <c r="AE62" s="509"/>
      <c r="AF62" s="509"/>
      <c r="AK62" s="509"/>
      <c r="AL62" s="509"/>
      <c r="AM62" s="509"/>
      <c r="AN62" s="509"/>
    </row>
    <row r="63" spans="4:40" ht="18" customHeight="1" outlineLevel="1">
      <c r="D63" s="656" t="s">
        <v>1793</v>
      </c>
      <c r="E63" s="572" t="s">
        <v>45</v>
      </c>
      <c r="F63" s="552">
        <f>-F60</f>
        <v>-7373909</v>
      </c>
      <c r="G63" s="552">
        <f>-G60</f>
        <v>-6802288</v>
      </c>
      <c r="H63" s="552">
        <f>-H60</f>
        <v>0</v>
      </c>
      <c r="I63" s="552"/>
      <c r="J63" s="553"/>
      <c r="K63" s="551"/>
      <c r="L63" s="552"/>
      <c r="M63" s="552"/>
      <c r="N63" s="553"/>
      <c r="O63" s="551"/>
      <c r="P63" s="552"/>
      <c r="Q63" s="552"/>
      <c r="R63" s="667"/>
      <c r="S63" s="551"/>
      <c r="T63" s="1902"/>
      <c r="U63" s="667"/>
      <c r="V63" s="1914"/>
      <c r="AA63" s="952"/>
      <c r="AG63" s="952"/>
      <c r="AH63" s="952"/>
      <c r="AI63" s="952"/>
      <c r="AJ63" s="952"/>
    </row>
    <row r="64" spans="4:40" ht="18" customHeight="1" outlineLevel="1">
      <c r="D64" s="655" t="s">
        <v>241</v>
      </c>
      <c r="E64" s="572" t="s">
        <v>242</v>
      </c>
      <c r="F64" s="552">
        <f>-F63</f>
        <v>7373909</v>
      </c>
      <c r="G64" s="552">
        <f>-G63</f>
        <v>6802288</v>
      </c>
      <c r="H64" s="552">
        <f>-H63</f>
        <v>0</v>
      </c>
      <c r="I64" s="552"/>
      <c r="J64" s="553"/>
      <c r="K64" s="551"/>
      <c r="L64" s="552"/>
      <c r="M64" s="552"/>
      <c r="N64" s="553"/>
      <c r="O64" s="551"/>
      <c r="P64" s="552"/>
      <c r="Q64" s="552"/>
      <c r="R64" s="667"/>
      <c r="S64" s="551"/>
      <c r="T64" s="1902"/>
      <c r="U64" s="667"/>
      <c r="V64" s="1914"/>
      <c r="AA64" s="952"/>
      <c r="AG64" s="952"/>
      <c r="AH64" s="952"/>
      <c r="AI64" s="952"/>
      <c r="AJ64" s="952"/>
      <c r="AK64" s="952"/>
      <c r="AL64" s="952"/>
      <c r="AM64" s="952"/>
      <c r="AN64" s="952"/>
    </row>
    <row r="65" spans="4:40" ht="18" customHeight="1" outlineLevel="1">
      <c r="D65" s="655" t="s">
        <v>1354</v>
      </c>
      <c r="E65" s="572" t="s">
        <v>401</v>
      </c>
      <c r="F65" s="552">
        <v>25808411</v>
      </c>
      <c r="G65" s="552">
        <f>-G66</f>
        <v>7373909</v>
      </c>
      <c r="H65" s="552">
        <f>-H66</f>
        <v>7373909</v>
      </c>
      <c r="I65" s="552">
        <f>-I66</f>
        <v>7373909</v>
      </c>
      <c r="J65" s="553">
        <f>-J66</f>
        <v>7373909</v>
      </c>
      <c r="K65" s="551"/>
      <c r="L65" s="552"/>
      <c r="M65" s="552"/>
      <c r="N65" s="553"/>
      <c r="O65" s="551"/>
      <c r="P65" s="552"/>
      <c r="Q65" s="552"/>
      <c r="R65" s="667"/>
      <c r="S65" s="551"/>
      <c r="T65" s="1902"/>
      <c r="U65" s="667"/>
      <c r="V65" s="1914"/>
      <c r="AA65" s="952"/>
      <c r="AG65" s="952"/>
      <c r="AH65" s="952"/>
      <c r="AI65" s="952"/>
      <c r="AJ65" s="952"/>
    </row>
    <row r="66" spans="4:40" ht="18" customHeight="1" outlineLevel="1">
      <c r="D66" s="655" t="s">
        <v>241</v>
      </c>
      <c r="E66" s="572" t="s">
        <v>242</v>
      </c>
      <c r="F66" s="552">
        <f>-F65</f>
        <v>-25808411</v>
      </c>
      <c r="G66" s="552">
        <f>-F64</f>
        <v>-7373909</v>
      </c>
      <c r="H66" s="552">
        <f>-F64</f>
        <v>-7373909</v>
      </c>
      <c r="I66" s="552">
        <f>-F64</f>
        <v>-7373909</v>
      </c>
      <c r="J66" s="553">
        <f>-F64</f>
        <v>-7373909</v>
      </c>
      <c r="K66" s="551"/>
      <c r="L66" s="552"/>
      <c r="M66" s="552"/>
      <c r="N66" s="553"/>
      <c r="O66" s="551"/>
      <c r="P66" s="552"/>
      <c r="Q66" s="552"/>
      <c r="R66" s="667"/>
      <c r="S66" s="551"/>
      <c r="T66" s="1902"/>
      <c r="U66" s="667"/>
      <c r="V66" s="1914"/>
      <c r="AA66" s="952"/>
      <c r="AG66" s="952"/>
      <c r="AH66" s="952"/>
      <c r="AI66" s="952"/>
      <c r="AJ66" s="952"/>
    </row>
    <row r="67" spans="4:40" ht="18" customHeight="1" outlineLevel="1">
      <c r="D67" s="655" t="s">
        <v>1355</v>
      </c>
      <c r="E67" s="572" t="s">
        <v>209</v>
      </c>
      <c r="F67" s="552">
        <f>SUM(F66,F64)</f>
        <v>-18434502</v>
      </c>
      <c r="G67" s="552">
        <f>SUM(G66,G64)</f>
        <v>-571621</v>
      </c>
      <c r="H67" s="552">
        <f>SUM(H66,H64)</f>
        <v>-7373909</v>
      </c>
      <c r="I67" s="552">
        <f>SUM(I66,I64)</f>
        <v>-7373909</v>
      </c>
      <c r="J67" s="553">
        <f>SUM(J66,J64)</f>
        <v>-7373909</v>
      </c>
      <c r="K67" s="551"/>
      <c r="L67" s="552"/>
      <c r="M67" s="552"/>
      <c r="N67" s="553"/>
      <c r="O67" s="551"/>
      <c r="P67" s="552"/>
      <c r="Q67" s="552"/>
      <c r="R67" s="667"/>
      <c r="S67" s="551"/>
      <c r="T67" s="1902"/>
      <c r="U67" s="667"/>
      <c r="V67" s="1914"/>
      <c r="AA67" s="952"/>
      <c r="AG67" s="952"/>
      <c r="AH67" s="952"/>
      <c r="AI67" s="952"/>
      <c r="AJ67" s="952"/>
    </row>
    <row r="68" spans="4:40" ht="18" customHeight="1" outlineLevel="1">
      <c r="D68" s="655"/>
      <c r="E68" s="572" t="s">
        <v>421</v>
      </c>
      <c r="F68" s="552">
        <f>-F67</f>
        <v>18434502</v>
      </c>
      <c r="G68" s="552">
        <f>-G67</f>
        <v>571621</v>
      </c>
      <c r="H68" s="552">
        <f>-H67</f>
        <v>7373909</v>
      </c>
      <c r="I68" s="552">
        <f>-I67</f>
        <v>7373909</v>
      </c>
      <c r="J68" s="553">
        <f>-J67</f>
        <v>7373909</v>
      </c>
      <c r="K68" s="551"/>
      <c r="L68" s="552"/>
      <c r="M68" s="552"/>
      <c r="N68" s="553"/>
      <c r="O68" s="551"/>
      <c r="P68" s="552"/>
      <c r="Q68" s="552"/>
      <c r="R68" s="667"/>
      <c r="S68" s="551"/>
      <c r="T68" s="1902"/>
      <c r="U68" s="667"/>
      <c r="V68" s="1914"/>
      <c r="AA68" s="952"/>
      <c r="AG68" s="952"/>
      <c r="AH68" s="952"/>
      <c r="AI68" s="952"/>
      <c r="AJ68" s="952"/>
      <c r="AK68" s="952"/>
      <c r="AL68" s="952"/>
      <c r="AM68" s="952"/>
      <c r="AN68" s="952"/>
    </row>
    <row r="69" spans="4:40" ht="18" customHeight="1" outlineLevel="1">
      <c r="D69" s="634" t="s">
        <v>422</v>
      </c>
      <c r="E69" s="994"/>
      <c r="F69" s="995"/>
      <c r="G69" s="995"/>
      <c r="H69" s="995"/>
      <c r="I69" s="995"/>
      <c r="J69" s="996"/>
      <c r="K69" s="634"/>
      <c r="L69" s="995"/>
      <c r="M69" s="995"/>
      <c r="N69" s="996"/>
      <c r="O69" s="634"/>
      <c r="P69" s="995"/>
      <c r="Q69" s="995"/>
      <c r="R69" s="997"/>
      <c r="S69" s="634"/>
      <c r="T69" s="1903"/>
      <c r="U69" s="639"/>
      <c r="V69" s="1912"/>
      <c r="W69" s="720"/>
      <c r="AK69" s="952"/>
      <c r="AL69" s="952"/>
    </row>
    <row r="70" spans="4:40" s="952" customFormat="1" ht="18" customHeight="1" outlineLevel="1">
      <c r="D70" s="655" t="s">
        <v>423</v>
      </c>
      <c r="E70" s="572" t="s">
        <v>426</v>
      </c>
      <c r="F70" s="552"/>
      <c r="G70" s="552"/>
      <c r="H70" s="552"/>
      <c r="I70" s="552">
        <v>0</v>
      </c>
      <c r="J70" s="553">
        <v>0</v>
      </c>
      <c r="K70" s="551">
        <v>0</v>
      </c>
      <c r="L70" s="552"/>
      <c r="M70" s="552"/>
      <c r="N70" s="553">
        <v>0</v>
      </c>
      <c r="O70" s="551"/>
      <c r="P70" s="552"/>
      <c r="Q70" s="552"/>
      <c r="R70" s="667"/>
      <c r="S70" s="551"/>
      <c r="T70" s="1902">
        <v>0</v>
      </c>
      <c r="U70" s="667"/>
      <c r="V70" s="1914">
        <v>0</v>
      </c>
      <c r="W70" s="710"/>
      <c r="AA70" s="509"/>
      <c r="AB70" s="509"/>
      <c r="AC70" s="509"/>
      <c r="AD70" s="509"/>
      <c r="AE70" s="509"/>
      <c r="AF70" s="509"/>
      <c r="AG70" s="509"/>
      <c r="AH70" s="509"/>
      <c r="AI70" s="509"/>
      <c r="AJ70" s="509"/>
      <c r="AM70" s="509"/>
      <c r="AN70" s="509"/>
    </row>
    <row r="71" spans="4:40" s="952" customFormat="1" ht="18" customHeight="1" outlineLevel="1">
      <c r="D71" s="655" t="s">
        <v>424</v>
      </c>
      <c r="E71" s="572" t="s">
        <v>426</v>
      </c>
      <c r="F71" s="552">
        <v>2590571062</v>
      </c>
      <c r="G71" s="552">
        <v>3980039925</v>
      </c>
      <c r="H71" s="552">
        <v>4302288016</v>
      </c>
      <c r="I71" s="552">
        <v>0</v>
      </c>
      <c r="J71" s="553">
        <v>0</v>
      </c>
      <c r="K71" s="551">
        <v>0</v>
      </c>
      <c r="L71" s="552"/>
      <c r="M71" s="552"/>
      <c r="N71" s="553">
        <v>0</v>
      </c>
      <c r="O71" s="551"/>
      <c r="P71" s="552"/>
      <c r="Q71" s="552"/>
      <c r="R71" s="667"/>
      <c r="S71" s="551"/>
      <c r="T71" s="1902">
        <v>0</v>
      </c>
      <c r="U71" s="667"/>
      <c r="V71" s="1914">
        <v>0</v>
      </c>
      <c r="W71" s="710"/>
      <c r="AA71" s="509"/>
      <c r="AB71" s="509"/>
      <c r="AC71" s="509"/>
      <c r="AD71" s="509"/>
      <c r="AE71" s="509"/>
      <c r="AF71" s="509"/>
      <c r="AG71" s="509"/>
      <c r="AH71" s="509"/>
      <c r="AI71" s="509"/>
      <c r="AJ71" s="509"/>
      <c r="AM71" s="509"/>
      <c r="AN71" s="509"/>
    </row>
    <row r="72" spans="4:40" ht="18" customHeight="1" outlineLevel="1">
      <c r="D72" s="655" t="s">
        <v>425</v>
      </c>
      <c r="E72" s="572" t="s">
        <v>426</v>
      </c>
      <c r="F72" s="552"/>
      <c r="G72" s="552"/>
      <c r="H72" s="552"/>
      <c r="I72" s="552">
        <v>0</v>
      </c>
      <c r="J72" s="553">
        <v>0</v>
      </c>
      <c r="K72" s="551">
        <v>0</v>
      </c>
      <c r="L72" s="552"/>
      <c r="M72" s="552"/>
      <c r="N72" s="553">
        <v>0</v>
      </c>
      <c r="O72" s="551"/>
      <c r="P72" s="552"/>
      <c r="Q72" s="552"/>
      <c r="R72" s="667"/>
      <c r="S72" s="551"/>
      <c r="T72" s="1902">
        <v>0</v>
      </c>
      <c r="U72" s="667"/>
      <c r="V72" s="1914">
        <v>0</v>
      </c>
      <c r="AA72" s="952"/>
      <c r="AG72" s="952"/>
      <c r="AH72" s="952"/>
      <c r="AI72" s="952"/>
      <c r="AJ72" s="952"/>
      <c r="AK72" s="952"/>
      <c r="AL72" s="952"/>
    </row>
    <row r="73" spans="4:40" ht="18" customHeight="1" outlineLevel="1">
      <c r="D73" s="1020"/>
      <c r="E73" s="1021" t="s">
        <v>427</v>
      </c>
      <c r="F73" s="943">
        <f>SUM(F70:F72)</f>
        <v>2590571062</v>
      </c>
      <c r="G73" s="943">
        <f>SUM(G70:G72)</f>
        <v>3980039925</v>
      </c>
      <c r="H73" s="943">
        <f>SUM(H70:H72)</f>
        <v>4302288016</v>
      </c>
      <c r="I73" s="943">
        <v>0</v>
      </c>
      <c r="J73" s="944">
        <v>0</v>
      </c>
      <c r="K73" s="942">
        <v>0</v>
      </c>
      <c r="L73" s="943"/>
      <c r="M73" s="943"/>
      <c r="N73" s="944">
        <v>0</v>
      </c>
      <c r="O73" s="942"/>
      <c r="P73" s="943"/>
      <c r="Q73" s="943"/>
      <c r="R73" s="1022"/>
      <c r="S73" s="942"/>
      <c r="T73" s="1905">
        <v>0</v>
      </c>
      <c r="U73" s="667"/>
      <c r="V73" s="1915">
        <v>0</v>
      </c>
      <c r="W73" s="720"/>
      <c r="AK73" s="952"/>
      <c r="AL73" s="952"/>
    </row>
    <row r="74" spans="4:40" ht="18" customHeight="1" outlineLevel="1">
      <c r="D74" s="932"/>
      <c r="E74" s="929"/>
      <c r="F74" s="954" t="b">
        <f>SUM(F75:F79)=0</f>
        <v>1</v>
      </c>
      <c r="G74" s="954"/>
      <c r="H74" s="954"/>
      <c r="I74" s="954"/>
      <c r="J74" s="955"/>
      <c r="K74" s="953"/>
      <c r="L74" s="954"/>
      <c r="M74" s="954"/>
      <c r="N74" s="955"/>
      <c r="O74" s="953"/>
      <c r="P74" s="954"/>
      <c r="Q74" s="954"/>
      <c r="R74" s="956"/>
      <c r="S74" s="953"/>
      <c r="T74" s="1901"/>
      <c r="U74" s="2043"/>
      <c r="V74" s="1910"/>
      <c r="W74" s="720"/>
      <c r="AK74" s="952"/>
      <c r="AL74" s="952"/>
    </row>
    <row r="75" spans="4:40" ht="18" customHeight="1" outlineLevel="1">
      <c r="D75" s="655" t="s">
        <v>301</v>
      </c>
      <c r="E75" s="572" t="s">
        <v>302</v>
      </c>
      <c r="F75" s="552">
        <f>-SUM(F76:F77)</f>
        <v>-187821115</v>
      </c>
      <c r="G75" s="552">
        <f>-SUM(G76:G77)</f>
        <v>-1389468863</v>
      </c>
      <c r="H75" s="552">
        <f>-SUM(H76:H77)</f>
        <v>-1711716954</v>
      </c>
      <c r="I75" s="552">
        <v>0</v>
      </c>
      <c r="J75" s="553">
        <v>0</v>
      </c>
      <c r="K75" s="551">
        <v>0</v>
      </c>
      <c r="L75" s="552"/>
      <c r="M75" s="552"/>
      <c r="N75" s="553">
        <v>0</v>
      </c>
      <c r="O75" s="551"/>
      <c r="P75" s="552"/>
      <c r="Q75" s="552"/>
      <c r="R75" s="667"/>
      <c r="S75" s="551"/>
      <c r="T75" s="1902">
        <v>0</v>
      </c>
      <c r="U75" s="667"/>
      <c r="V75" s="1914">
        <v>0</v>
      </c>
      <c r="AN75" s="993"/>
    </row>
    <row r="76" spans="4:40" ht="18" customHeight="1" outlineLevel="1">
      <c r="D76" s="655" t="s">
        <v>1354</v>
      </c>
      <c r="E76" s="572" t="s">
        <v>401</v>
      </c>
      <c r="F76" s="552">
        <v>-2402749947</v>
      </c>
      <c r="G76" s="552">
        <f>-F77</f>
        <v>-2590571062</v>
      </c>
      <c r="H76" s="552">
        <f>-F77</f>
        <v>-2590571062</v>
      </c>
      <c r="I76" s="552">
        <v>0</v>
      </c>
      <c r="J76" s="553">
        <v>0</v>
      </c>
      <c r="K76" s="551">
        <v>0</v>
      </c>
      <c r="L76" s="552"/>
      <c r="M76" s="552"/>
      <c r="N76" s="553">
        <v>0</v>
      </c>
      <c r="O76" s="551"/>
      <c r="P76" s="552"/>
      <c r="Q76" s="552"/>
      <c r="R76" s="667"/>
      <c r="S76" s="551"/>
      <c r="T76" s="1902">
        <v>0</v>
      </c>
      <c r="U76" s="667"/>
      <c r="V76" s="1914">
        <v>0</v>
      </c>
      <c r="AA76" s="952"/>
      <c r="AG76" s="952"/>
      <c r="AH76" s="952"/>
      <c r="AI76" s="952"/>
      <c r="AJ76" s="952"/>
      <c r="AM76" s="952"/>
      <c r="AN76" s="952"/>
    </row>
    <row r="77" spans="4:40" s="952" customFormat="1" ht="18" customHeight="1" outlineLevel="1">
      <c r="D77" s="655">
        <v>111732</v>
      </c>
      <c r="E77" s="572" t="s">
        <v>27</v>
      </c>
      <c r="F77" s="552">
        <f>F73</f>
        <v>2590571062</v>
      </c>
      <c r="G77" s="552">
        <f>G73</f>
        <v>3980039925</v>
      </c>
      <c r="H77" s="552">
        <f>H73</f>
        <v>4302288016</v>
      </c>
      <c r="I77" s="552">
        <v>0</v>
      </c>
      <c r="J77" s="553">
        <v>0</v>
      </c>
      <c r="K77" s="551">
        <v>0</v>
      </c>
      <c r="L77" s="552"/>
      <c r="M77" s="552"/>
      <c r="N77" s="553">
        <v>0</v>
      </c>
      <c r="O77" s="551"/>
      <c r="P77" s="552"/>
      <c r="Q77" s="552"/>
      <c r="R77" s="667"/>
      <c r="S77" s="551"/>
      <c r="T77" s="1902">
        <v>0</v>
      </c>
      <c r="U77" s="667"/>
      <c r="V77" s="1914">
        <v>0</v>
      </c>
      <c r="W77" s="710"/>
      <c r="AB77" s="509"/>
      <c r="AC77" s="509"/>
      <c r="AD77" s="509"/>
      <c r="AE77" s="509"/>
      <c r="AF77" s="509"/>
      <c r="AK77" s="509"/>
      <c r="AL77" s="509"/>
    </row>
    <row r="78" spans="4:40" ht="18" customHeight="1" outlineLevel="1">
      <c r="D78" s="655" t="s">
        <v>1355</v>
      </c>
      <c r="E78" s="572" t="s">
        <v>209</v>
      </c>
      <c r="F78" s="552">
        <f>F75</f>
        <v>-187821115</v>
      </c>
      <c r="G78" s="552">
        <f>G75</f>
        <v>-1389468863</v>
      </c>
      <c r="H78" s="552">
        <f>H75</f>
        <v>-1711716954</v>
      </c>
      <c r="I78" s="552">
        <v>0</v>
      </c>
      <c r="J78" s="553">
        <v>0</v>
      </c>
      <c r="K78" s="551">
        <v>0</v>
      </c>
      <c r="L78" s="552"/>
      <c r="M78" s="552"/>
      <c r="N78" s="553">
        <v>0</v>
      </c>
      <c r="O78" s="551"/>
      <c r="P78" s="552"/>
      <c r="Q78" s="552"/>
      <c r="R78" s="667"/>
      <c r="S78" s="551"/>
      <c r="T78" s="1902">
        <v>0</v>
      </c>
      <c r="U78" s="667"/>
      <c r="V78" s="1914">
        <v>0</v>
      </c>
      <c r="AK78" s="952"/>
      <c r="AL78" s="952"/>
    </row>
    <row r="79" spans="4:40" ht="18" customHeight="1" outlineLevel="1">
      <c r="D79" s="655"/>
      <c r="E79" s="572" t="s">
        <v>421</v>
      </c>
      <c r="F79" s="552">
        <f>-F78</f>
        <v>187821115</v>
      </c>
      <c r="G79" s="552">
        <f>-G78</f>
        <v>1389468863</v>
      </c>
      <c r="H79" s="552">
        <f>-H78</f>
        <v>1711716954</v>
      </c>
      <c r="I79" s="552">
        <v>0</v>
      </c>
      <c r="J79" s="553">
        <v>0</v>
      </c>
      <c r="K79" s="551">
        <v>0</v>
      </c>
      <c r="L79" s="552"/>
      <c r="M79" s="552"/>
      <c r="N79" s="553">
        <v>0</v>
      </c>
      <c r="O79" s="551"/>
      <c r="P79" s="552"/>
      <c r="Q79" s="552"/>
      <c r="R79" s="667"/>
      <c r="S79" s="551"/>
      <c r="T79" s="1902">
        <v>0</v>
      </c>
      <c r="U79" s="667"/>
      <c r="V79" s="1914">
        <v>0</v>
      </c>
    </row>
    <row r="80" spans="4:40" ht="18" customHeight="1" outlineLevel="1">
      <c r="D80" s="634" t="s">
        <v>1599</v>
      </c>
      <c r="E80" s="994"/>
      <c r="F80" s="995"/>
      <c r="G80" s="995"/>
      <c r="H80" s="995"/>
      <c r="I80" s="995"/>
      <c r="J80" s="996"/>
      <c r="K80" s="634"/>
      <c r="L80" s="995"/>
      <c r="M80" s="995"/>
      <c r="N80" s="996"/>
      <c r="O80" s="634"/>
      <c r="P80" s="995"/>
      <c r="Q80" s="995"/>
      <c r="R80" s="997"/>
      <c r="S80" s="634"/>
      <c r="T80" s="1903"/>
      <c r="U80" s="639"/>
      <c r="V80" s="1912"/>
      <c r="W80" s="720"/>
    </row>
    <row r="81" spans="4:40" ht="18" customHeight="1" outlineLevel="1">
      <c r="D81" s="655" t="s">
        <v>295</v>
      </c>
      <c r="E81" s="572" t="s">
        <v>296</v>
      </c>
      <c r="F81" s="552"/>
      <c r="G81" s="552"/>
      <c r="H81" s="552">
        <v>-1181400000</v>
      </c>
      <c r="I81" s="552">
        <f>H81</f>
        <v>-1181400000</v>
      </c>
      <c r="J81" s="553">
        <f>H81</f>
        <v>-1181400000</v>
      </c>
      <c r="K81" s="551"/>
      <c r="L81" s="552"/>
      <c r="M81" s="552"/>
      <c r="N81" s="553"/>
      <c r="O81" s="551"/>
      <c r="P81" s="552"/>
      <c r="Q81" s="552"/>
      <c r="R81" s="667"/>
      <c r="S81" s="551"/>
      <c r="T81" s="1902"/>
      <c r="U81" s="667"/>
      <c r="V81" s="1914"/>
    </row>
    <row r="82" spans="4:40" ht="18" customHeight="1" outlineLevel="1">
      <c r="D82" s="655" t="s">
        <v>1354</v>
      </c>
      <c r="E82" s="572" t="s">
        <v>401</v>
      </c>
      <c r="F82" s="552"/>
      <c r="G82" s="552"/>
      <c r="H82" s="552">
        <f>-H81</f>
        <v>1181400000</v>
      </c>
      <c r="I82" s="552">
        <f>H82</f>
        <v>1181400000</v>
      </c>
      <c r="J82" s="553">
        <f>H82</f>
        <v>1181400000</v>
      </c>
      <c r="K82" s="551"/>
      <c r="L82" s="552"/>
      <c r="M82" s="552"/>
      <c r="N82" s="553"/>
      <c r="O82" s="551"/>
      <c r="P82" s="552"/>
      <c r="Q82" s="552"/>
      <c r="R82" s="667"/>
      <c r="S82" s="551"/>
      <c r="T82" s="1902"/>
      <c r="U82" s="667"/>
      <c r="V82" s="1914"/>
      <c r="AK82" s="952"/>
      <c r="AL82" s="952"/>
    </row>
    <row r="83" spans="4:40" ht="18" customHeight="1" outlineLevel="1">
      <c r="D83" s="655" t="s">
        <v>1355</v>
      </c>
      <c r="E83" s="572" t="s">
        <v>209</v>
      </c>
      <c r="F83" s="552"/>
      <c r="G83" s="552"/>
      <c r="H83" s="552">
        <f>H81</f>
        <v>-1181400000</v>
      </c>
      <c r="I83" s="552">
        <f>H83</f>
        <v>-1181400000</v>
      </c>
      <c r="J83" s="553">
        <f>H83</f>
        <v>-1181400000</v>
      </c>
      <c r="K83" s="551"/>
      <c r="L83" s="552"/>
      <c r="M83" s="552"/>
      <c r="N83" s="553"/>
      <c r="O83" s="551"/>
      <c r="P83" s="552"/>
      <c r="Q83" s="552"/>
      <c r="R83" s="667"/>
      <c r="S83" s="551"/>
      <c r="T83" s="1902"/>
      <c r="U83" s="667"/>
      <c r="V83" s="1914"/>
      <c r="AA83" s="952"/>
      <c r="AG83" s="952"/>
      <c r="AH83" s="952"/>
      <c r="AI83" s="952"/>
      <c r="AJ83" s="952"/>
      <c r="AK83" s="952"/>
      <c r="AL83" s="952"/>
      <c r="AM83" s="952"/>
      <c r="AN83" s="952"/>
    </row>
    <row r="84" spans="4:40" ht="18" customHeight="1" outlineLevel="1" thickBot="1">
      <c r="D84" s="685"/>
      <c r="E84" s="686" t="s">
        <v>421</v>
      </c>
      <c r="F84" s="687"/>
      <c r="G84" s="687"/>
      <c r="H84" s="687">
        <f>-H83</f>
        <v>1181400000</v>
      </c>
      <c r="I84" s="687">
        <f>H84</f>
        <v>1181400000</v>
      </c>
      <c r="J84" s="688">
        <f>H84</f>
        <v>1181400000</v>
      </c>
      <c r="K84" s="689"/>
      <c r="L84" s="687"/>
      <c r="M84" s="687"/>
      <c r="N84" s="688"/>
      <c r="O84" s="689"/>
      <c r="P84" s="687"/>
      <c r="Q84" s="687"/>
      <c r="R84" s="691"/>
      <c r="S84" s="689"/>
      <c r="T84" s="1906"/>
      <c r="U84" s="691"/>
      <c r="V84" s="1916"/>
    </row>
    <row r="89" spans="4:40" ht="18" customHeight="1">
      <c r="AK89" s="952"/>
      <c r="AL89" s="952"/>
    </row>
  </sheetData>
  <phoneticPr fontId="21" type="noConversion"/>
  <pageMargins left="0.7" right="0.7" top="0.75" bottom="0.75" header="0.3" footer="0.3"/>
  <pageSetup paperSize="9" orientation="portrait" r:id="rId1"/>
  <ignoredErrors>
    <ignoredError sqref="D82:F83 D25:F26 D28:E30 D6:F23 D24 D31 D69:F81 D63:K68 G69:K81 D38:E47 D33:D34" numberStoredAsText="1"/>
    <ignoredError sqref="V20" formula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FF00"/>
  </sheetPr>
  <dimension ref="D3:AB35"/>
  <sheetViews>
    <sheetView showGridLines="0" zoomScale="85" zoomScaleNormal="85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ColWidth="8.75" defaultRowHeight="18" customHeight="1" outlineLevelCol="1"/>
  <cols>
    <col min="1" max="3" width="2.375" style="509" customWidth="1"/>
    <col min="4" max="4" width="15.625" style="509" customWidth="1"/>
    <col min="5" max="5" width="28.75" style="509" customWidth="1"/>
    <col min="6" max="10" width="18.625" style="509" hidden="1" customWidth="1" outlineLevel="1"/>
    <col min="11" max="14" width="17.625" style="509" hidden="1" customWidth="1" outlineLevel="1"/>
    <col min="15" max="15" width="16.625" style="509" customWidth="1" collapsed="1"/>
    <col min="16" max="22" width="16.625" style="509" customWidth="1"/>
    <col min="23" max="23" width="4.125" style="509" customWidth="1"/>
    <col min="24" max="24" width="16.625" style="509" customWidth="1"/>
    <col min="25" max="28" width="20.375" style="509" customWidth="1"/>
    <col min="29" max="16384" width="8.75" style="509"/>
  </cols>
  <sheetData>
    <row r="3" spans="4:24" ht="18" customHeight="1">
      <c r="D3" s="838"/>
      <c r="N3" s="838"/>
      <c r="O3" s="838"/>
      <c r="P3" s="838"/>
      <c r="Q3" s="838"/>
      <c r="R3" s="838"/>
      <c r="S3" s="838"/>
      <c r="T3" s="838"/>
      <c r="U3" s="838"/>
      <c r="V3" s="839" t="s">
        <v>2002</v>
      </c>
    </row>
    <row r="4" spans="4:24" s="840" customFormat="1" ht="18" customHeight="1" thickBot="1">
      <c r="F4" s="840" t="b">
        <f>SUM(F6:F46)=0</f>
        <v>1</v>
      </c>
      <c r="G4" s="840" t="b">
        <f t="shared" ref="G4:Q4" si="0">SUM(G6:G46)=0</f>
        <v>1</v>
      </c>
      <c r="H4" s="840" t="b">
        <f t="shared" si="0"/>
        <v>1</v>
      </c>
      <c r="I4" s="840" t="b">
        <f t="shared" si="0"/>
        <v>1</v>
      </c>
      <c r="J4" s="840" t="b">
        <f>SUM(J6:J46)=0</f>
        <v>1</v>
      </c>
      <c r="K4" s="840" t="b">
        <f>SUM(K6:K46)=0</f>
        <v>1</v>
      </c>
      <c r="L4" s="840" t="b">
        <f>SUM(L6:L46)=0</f>
        <v>1</v>
      </c>
      <c r="M4" s="840" t="b">
        <f>SUM(M6:M46)=0</f>
        <v>1</v>
      </c>
      <c r="N4" s="840" t="b">
        <f t="shared" si="0"/>
        <v>1</v>
      </c>
      <c r="O4" s="840" t="b">
        <f t="shared" si="0"/>
        <v>1</v>
      </c>
      <c r="P4" s="840" t="b">
        <f t="shared" si="0"/>
        <v>1</v>
      </c>
      <c r="Q4" s="840" t="b">
        <f t="shared" si="0"/>
        <v>1</v>
      </c>
      <c r="R4" s="840" t="b">
        <f>SUM(R6:R46)=0</f>
        <v>1</v>
      </c>
      <c r="S4" s="840" t="b">
        <f t="shared" ref="S4:U4" si="1">SUM(S6:S46)=0</f>
        <v>1</v>
      </c>
      <c r="T4" s="840" t="b">
        <f t="shared" si="1"/>
        <v>1</v>
      </c>
      <c r="U4" s="840" t="b">
        <f t="shared" si="1"/>
        <v>1</v>
      </c>
      <c r="V4" s="840" t="b">
        <f>SUM(V6:V46)=0</f>
        <v>1</v>
      </c>
      <c r="X4" s="839" t="s">
        <v>2006</v>
      </c>
    </row>
    <row r="5" spans="4:24" s="952" customFormat="1" ht="18" customHeight="1">
      <c r="D5" s="595" t="s">
        <v>16</v>
      </c>
      <c r="E5" s="596" t="s">
        <v>19</v>
      </c>
      <c r="F5" s="596" t="s">
        <v>2346</v>
      </c>
      <c r="G5" s="596" t="s">
        <v>2349</v>
      </c>
      <c r="H5" s="596" t="s">
        <v>2350</v>
      </c>
      <c r="I5" s="596" t="s">
        <v>2353</v>
      </c>
      <c r="J5" s="841" t="s">
        <v>2355</v>
      </c>
      <c r="K5" s="842" t="s">
        <v>2464</v>
      </c>
      <c r="L5" s="841" t="s">
        <v>2465</v>
      </c>
      <c r="M5" s="843" t="s">
        <v>2460</v>
      </c>
      <c r="N5" s="604" t="s">
        <v>2466</v>
      </c>
      <c r="O5" s="605" t="s">
        <v>2456</v>
      </c>
      <c r="P5" s="843" t="s">
        <v>2467</v>
      </c>
      <c r="Q5" s="843" t="s">
        <v>2449</v>
      </c>
      <c r="R5" s="844" t="s">
        <v>2468</v>
      </c>
      <c r="S5" s="605" t="s">
        <v>2580</v>
      </c>
      <c r="T5" s="598" t="s">
        <v>2814</v>
      </c>
      <c r="U5" s="599" t="s">
        <v>2905</v>
      </c>
      <c r="V5" s="845" t="str">
        <f>'4.0'!V5</f>
        <v>FY2022.Q4</v>
      </c>
      <c r="X5" s="2046"/>
    </row>
    <row r="6" spans="4:24" s="710" customFormat="1" ht="18" customHeight="1">
      <c r="D6" s="846" t="s">
        <v>457</v>
      </c>
      <c r="E6" s="659"/>
      <c r="F6" s="642"/>
      <c r="G6" s="642"/>
      <c r="H6" s="642"/>
      <c r="I6" s="642"/>
      <c r="J6" s="847"/>
      <c r="K6" s="641"/>
      <c r="L6" s="847"/>
      <c r="M6" s="848"/>
      <c r="N6" s="849"/>
      <c r="O6" s="850"/>
      <c r="P6" s="848"/>
      <c r="Q6" s="848"/>
      <c r="R6" s="849"/>
      <c r="S6" s="850"/>
      <c r="T6" s="1918"/>
      <c r="U6" s="2047"/>
      <c r="V6" s="851"/>
      <c r="X6" s="852"/>
    </row>
    <row r="7" spans="4:24" s="710" customFormat="1" ht="18" customHeight="1">
      <c r="D7" s="651" t="s">
        <v>486</v>
      </c>
      <c r="E7" s="652" t="s">
        <v>1904</v>
      </c>
      <c r="F7" s="853">
        <f>'5.1'!L23</f>
        <v>5731508601</v>
      </c>
      <c r="G7" s="853">
        <f>'5.1'!M23</f>
        <v>5648912780</v>
      </c>
      <c r="H7" s="653">
        <f>'5.1'!N23</f>
        <v>5721586093</v>
      </c>
      <c r="I7" s="653">
        <f>'5.1'!O23</f>
        <v>5753390119</v>
      </c>
      <c r="J7" s="854">
        <v>5321843161</v>
      </c>
      <c r="K7" s="855">
        <f>'5.1'!Q23</f>
        <v>5474397504</v>
      </c>
      <c r="L7" s="854">
        <v>7284737363</v>
      </c>
      <c r="M7" s="856">
        <v>7258693635</v>
      </c>
      <c r="N7" s="857">
        <f>'5.1'!T19</f>
        <v>6881418585</v>
      </c>
      <c r="O7" s="858">
        <v>6705639743</v>
      </c>
      <c r="P7" s="856">
        <v>6705639743</v>
      </c>
      <c r="Q7" s="856">
        <v>6881418585</v>
      </c>
      <c r="R7" s="857">
        <v>6881418585</v>
      </c>
      <c r="S7" s="858">
        <v>6881418585</v>
      </c>
      <c r="T7" s="1919">
        <v>6881418585</v>
      </c>
      <c r="U7" s="2048">
        <v>6881418585</v>
      </c>
      <c r="V7" s="859">
        <f>'5.1'!AB19</f>
        <v>6881418585</v>
      </c>
      <c r="X7" s="852"/>
    </row>
    <row r="8" spans="4:24" s="710" customFormat="1" ht="18" customHeight="1">
      <c r="D8" s="651" t="s">
        <v>1907</v>
      </c>
      <c r="E8" s="652" t="s">
        <v>1908</v>
      </c>
      <c r="F8" s="853"/>
      <c r="G8" s="853"/>
      <c r="H8" s="653"/>
      <c r="I8" s="653"/>
      <c r="J8" s="854"/>
      <c r="K8" s="855"/>
      <c r="L8" s="854">
        <v>-2064008920</v>
      </c>
      <c r="M8" s="856">
        <v>-2238097204</v>
      </c>
      <c r="N8" s="857">
        <f>'5.1'!T20</f>
        <v>-2293806195</v>
      </c>
      <c r="O8" s="858">
        <v>-2235213248</v>
      </c>
      <c r="P8" s="856">
        <v>-2235213248</v>
      </c>
      <c r="Q8" s="856">
        <v>-2293806195</v>
      </c>
      <c r="R8" s="857">
        <v>-2293806195</v>
      </c>
      <c r="S8" s="858">
        <v>-2293806195</v>
      </c>
      <c r="T8" s="1919">
        <v>-2293806195</v>
      </c>
      <c r="U8" s="2048">
        <v>-2293806195</v>
      </c>
      <c r="V8" s="859">
        <f>'5.1'!AB20</f>
        <v>-2293806195</v>
      </c>
      <c r="X8" s="852"/>
    </row>
    <row r="9" spans="4:24" s="710" customFormat="1" ht="18" customHeight="1">
      <c r="D9" s="651" t="s">
        <v>390</v>
      </c>
      <c r="E9" s="652" t="s">
        <v>450</v>
      </c>
      <c r="F9" s="853">
        <f>SUM('5.1'!I24:L24)</f>
        <v>647780609</v>
      </c>
      <c r="G9" s="853">
        <f>'5.1'!M24</f>
        <v>166769606</v>
      </c>
      <c r="H9" s="653">
        <f>SUM('5.1'!M24:N24)</f>
        <v>336747355</v>
      </c>
      <c r="I9" s="653">
        <f>SUM('5.1'!$M24:O24)</f>
        <v>510659404</v>
      </c>
      <c r="J9" s="854">
        <f>SUM('5.1'!$M24:P24)</f>
        <v>685224178</v>
      </c>
      <c r="K9" s="855">
        <f>+'5.1'!Q24</f>
        <v>178889077</v>
      </c>
      <c r="L9" s="854">
        <v>363998624</v>
      </c>
      <c r="M9" s="856">
        <v>546683297</v>
      </c>
      <c r="N9" s="857">
        <f>SUM('5.1'!Q24:T24)</f>
        <v>719869189</v>
      </c>
      <c r="O9" s="858">
        <v>0</v>
      </c>
      <c r="P9" s="856">
        <v>0</v>
      </c>
      <c r="Q9" s="856">
        <v>0</v>
      </c>
      <c r="R9" s="857">
        <v>0</v>
      </c>
      <c r="S9" s="858">
        <v>0</v>
      </c>
      <c r="T9" s="1919">
        <v>0</v>
      </c>
      <c r="U9" s="2048">
        <v>0</v>
      </c>
      <c r="V9" s="859">
        <f>'5.1'!AB24</f>
        <v>0</v>
      </c>
      <c r="X9" s="852"/>
    </row>
    <row r="10" spans="4:24" s="710" customFormat="1" ht="18" customHeight="1">
      <c r="D10" s="651" t="s">
        <v>381</v>
      </c>
      <c r="E10" s="652" t="s">
        <v>451</v>
      </c>
      <c r="F10" s="853">
        <f>-SUM('5.1'!I25:L25)</f>
        <v>-225492417</v>
      </c>
      <c r="G10" s="853">
        <f>-'5.1'!M25</f>
        <v>-58052497</v>
      </c>
      <c r="H10" s="653">
        <f>-SUM('5.1'!M25:N25)</f>
        <v>-117221748</v>
      </c>
      <c r="I10" s="653">
        <f>-SUM('5.1'!$M25:O25)</f>
        <v>-177760529</v>
      </c>
      <c r="J10" s="854">
        <f>-SUM('5.1'!$M25:P25)</f>
        <v>-238526523</v>
      </c>
      <c r="K10" s="855">
        <f>-'5.1'!Q25</f>
        <v>-62271284</v>
      </c>
      <c r="L10" s="854">
        <v>-126707914</v>
      </c>
      <c r="M10" s="856">
        <v>-190300445</v>
      </c>
      <c r="N10" s="857">
        <f>-SUM('5.1'!Q25:T25)</f>
        <v>-1924499179</v>
      </c>
      <c r="O10" s="858">
        <v>0</v>
      </c>
      <c r="P10" s="856">
        <v>0</v>
      </c>
      <c r="Q10" s="856">
        <v>0</v>
      </c>
      <c r="R10" s="857">
        <v>0</v>
      </c>
      <c r="S10" s="858">
        <v>0</v>
      </c>
      <c r="T10" s="1919">
        <v>0</v>
      </c>
      <c r="U10" s="2048">
        <v>0</v>
      </c>
      <c r="V10" s="859">
        <f>'5.1'!AB25</f>
        <v>0</v>
      </c>
      <c r="X10" s="852"/>
    </row>
    <row r="11" spans="4:24" s="710" customFormat="1" ht="18" customHeight="1">
      <c r="D11" s="651" t="s">
        <v>1346</v>
      </c>
      <c r="E11" s="652" t="s">
        <v>452</v>
      </c>
      <c r="F11" s="853">
        <f>-'5.1'!L26</f>
        <v>-1995138159</v>
      </c>
      <c r="G11" s="853">
        <f>-'5.1'!M26</f>
        <v>-1966386557</v>
      </c>
      <c r="H11" s="653">
        <f>-'5.1'!N26</f>
        <v>-1991684142</v>
      </c>
      <c r="I11" s="653">
        <f>-'5.1'!O26</f>
        <v>-2002755127</v>
      </c>
      <c r="J11" s="854">
        <f>-'5.1'!P26</f>
        <v>-1852533634</v>
      </c>
      <c r="K11" s="855">
        <f>-'5.1'!Q26</f>
        <v>-1905637806</v>
      </c>
      <c r="L11" s="854">
        <v>-1817335609</v>
      </c>
      <c r="M11" s="856">
        <v>-1747669659</v>
      </c>
      <c r="N11" s="857">
        <f>-'5.1'!T26</f>
        <v>0</v>
      </c>
      <c r="O11" s="858">
        <v>0</v>
      </c>
      <c r="P11" s="856">
        <v>0</v>
      </c>
      <c r="Q11" s="856">
        <v>0</v>
      </c>
      <c r="R11" s="857">
        <v>0</v>
      </c>
      <c r="S11" s="858">
        <v>0</v>
      </c>
      <c r="T11" s="1919">
        <v>0</v>
      </c>
      <c r="U11" s="2048">
        <v>0</v>
      </c>
      <c r="V11" s="859">
        <f>-'5.1'!AB26</f>
        <v>0</v>
      </c>
      <c r="X11" s="852"/>
    </row>
    <row r="12" spans="4:24" s="710" customFormat="1" ht="18" customHeight="1">
      <c r="D12" s="651" t="s">
        <v>1352</v>
      </c>
      <c r="E12" s="652" t="s">
        <v>204</v>
      </c>
      <c r="F12" s="853">
        <f>-SUM('5.1'!H27:L27)</f>
        <v>53559836</v>
      </c>
      <c r="G12" s="853">
        <f>-'5.1'!M27</f>
        <v>-54872890</v>
      </c>
      <c r="H12" s="653">
        <f>-SUM('5.1'!H27:N27)</f>
        <v>-159497280</v>
      </c>
      <c r="I12" s="653">
        <f>-SUM('5.1'!$H$27:O27)</f>
        <v>-293603589</v>
      </c>
      <c r="J12" s="854">
        <f>-SUM('5.1'!$H$27:P27)</f>
        <v>-126076904</v>
      </c>
      <c r="K12" s="855">
        <f>-SUM('5.1'!$H$27:Q27)</f>
        <v>-342144868</v>
      </c>
      <c r="L12" s="854">
        <v>-297450921</v>
      </c>
      <c r="M12" s="856">
        <v>-286077001</v>
      </c>
      <c r="N12" s="857">
        <f>-SUM('5.1'!H27:T27)</f>
        <v>-260849492</v>
      </c>
      <c r="O12" s="858">
        <v>-260849492</v>
      </c>
      <c r="P12" s="856">
        <v>-260849492</v>
      </c>
      <c r="Q12" s="856">
        <v>-260849492</v>
      </c>
      <c r="R12" s="857">
        <v>-260849492</v>
      </c>
      <c r="S12" s="858">
        <v>-260849492</v>
      </c>
      <c r="T12" s="1919">
        <v>-260849492</v>
      </c>
      <c r="U12" s="2048">
        <v>-260849492</v>
      </c>
      <c r="V12" s="859">
        <f>-SUM('5.1'!H27:W27)</f>
        <v>-260849492</v>
      </c>
      <c r="X12" s="852">
        <f>V12-SUM(N12:N13)</f>
        <v>0</v>
      </c>
    </row>
    <row r="13" spans="4:24" s="710" customFormat="1" ht="18" customHeight="1">
      <c r="D13" s="651" t="s">
        <v>1352</v>
      </c>
      <c r="E13" s="652" t="s">
        <v>204</v>
      </c>
      <c r="F13" s="853">
        <v>-4582761</v>
      </c>
      <c r="G13" s="853"/>
      <c r="H13" s="653"/>
      <c r="I13" s="653"/>
      <c r="J13" s="854"/>
      <c r="K13" s="855"/>
      <c r="L13" s="854"/>
      <c r="M13" s="856"/>
      <c r="N13" s="857"/>
      <c r="O13" s="858"/>
      <c r="P13" s="856"/>
      <c r="Q13" s="856"/>
      <c r="R13" s="857"/>
      <c r="S13" s="858"/>
      <c r="T13" s="1919"/>
      <c r="U13" s="2048"/>
      <c r="V13" s="859"/>
      <c r="X13" s="852"/>
    </row>
    <row r="14" spans="4:24" s="710" customFormat="1" ht="18" customHeight="1">
      <c r="D14" s="651" t="s">
        <v>1354</v>
      </c>
      <c r="E14" s="652" t="s">
        <v>207</v>
      </c>
      <c r="F14" s="853">
        <f>-SUM(F7:F13,F15:F16)</f>
        <v>-4207635709</v>
      </c>
      <c r="G14" s="853">
        <f>-SUM(F7,F11)</f>
        <v>-3736370442</v>
      </c>
      <c r="H14" s="653">
        <f>-SUM(H7:H12,H15:H16)</f>
        <v>-3789930278</v>
      </c>
      <c r="I14" s="653">
        <f>-SUM(I7:I12,I15:I16)</f>
        <v>-3789930278</v>
      </c>
      <c r="J14" s="854">
        <f>-SUM(J7:J12,J15:J16)</f>
        <v>-3789930278</v>
      </c>
      <c r="K14" s="855">
        <f>-SUM(K7:K12,K15:K16)</f>
        <v>-3343232623</v>
      </c>
      <c r="L14" s="854">
        <v>-3343232623</v>
      </c>
      <c r="M14" s="856">
        <v>-3343232623</v>
      </c>
      <c r="N14" s="857">
        <f>-SUM(N7:N12,N15:N16,N18:N19)</f>
        <v>-3343232623</v>
      </c>
      <c r="O14" s="858">
        <v>260849492</v>
      </c>
      <c r="P14" s="856">
        <v>260849492</v>
      </c>
      <c r="Q14" s="856">
        <v>260849492</v>
      </c>
      <c r="R14" s="857">
        <v>260849492</v>
      </c>
      <c r="S14" s="858">
        <v>260849492</v>
      </c>
      <c r="T14" s="1919">
        <v>260849492</v>
      </c>
      <c r="U14" s="2048">
        <v>260849492</v>
      </c>
      <c r="V14" s="859">
        <f>-SUM(V7:V12,V15:V19)</f>
        <v>260849492</v>
      </c>
      <c r="X14" s="852"/>
    </row>
    <row r="15" spans="4:24" s="710" customFormat="1" ht="18" customHeight="1">
      <c r="D15" s="651" t="s">
        <v>1355</v>
      </c>
      <c r="E15" s="652" t="s">
        <v>209</v>
      </c>
      <c r="F15" s="853">
        <f>SUM(F9:F10)</f>
        <v>422288192</v>
      </c>
      <c r="G15" s="853">
        <f>SUM(G9:G10)</f>
        <v>108717109</v>
      </c>
      <c r="H15" s="653">
        <f>SUM(H9:H10)</f>
        <v>219525607</v>
      </c>
      <c r="I15" s="653">
        <f>SUM(I9:I10)</f>
        <v>332898875</v>
      </c>
      <c r="J15" s="854">
        <v>446697655</v>
      </c>
      <c r="K15" s="855">
        <f>SUM(K9:K10)</f>
        <v>116617793</v>
      </c>
      <c r="L15" s="854">
        <v>237290710</v>
      </c>
      <c r="M15" s="856">
        <v>356382852</v>
      </c>
      <c r="N15" s="857">
        <f t="array" ref="N15">SUM(N9:N10+N19)</f>
        <v>8412794220</v>
      </c>
      <c r="O15" s="858">
        <v>0</v>
      </c>
      <c r="P15" s="856">
        <v>0</v>
      </c>
      <c r="Q15" s="856">
        <v>0</v>
      </c>
      <c r="R15" s="857">
        <v>0</v>
      </c>
      <c r="S15" s="858">
        <v>0</v>
      </c>
      <c r="T15" s="1919">
        <v>0</v>
      </c>
      <c r="U15" s="2048">
        <v>0</v>
      </c>
      <c r="V15" s="859">
        <f>SUM(V9:V10)</f>
        <v>0</v>
      </c>
      <c r="X15" s="852"/>
    </row>
    <row r="16" spans="4:24" s="710" customFormat="1" ht="18" customHeight="1">
      <c r="D16" s="651" t="s">
        <v>478</v>
      </c>
      <c r="E16" s="652" t="s">
        <v>421</v>
      </c>
      <c r="F16" s="853">
        <f>-F15</f>
        <v>-422288192</v>
      </c>
      <c r="G16" s="853">
        <f>-G15</f>
        <v>-108717109</v>
      </c>
      <c r="H16" s="653">
        <f>-H15</f>
        <v>-219525607</v>
      </c>
      <c r="I16" s="653">
        <f>-I15</f>
        <v>-332898875</v>
      </c>
      <c r="J16" s="854">
        <v>-446697655</v>
      </c>
      <c r="K16" s="855">
        <f>-K15</f>
        <v>-116617793</v>
      </c>
      <c r="L16" s="854">
        <v>-237290710</v>
      </c>
      <c r="M16" s="856">
        <v>-356382852</v>
      </c>
      <c r="N16" s="857">
        <f>-N15</f>
        <v>-8412794220</v>
      </c>
      <c r="O16" s="858">
        <v>0</v>
      </c>
      <c r="P16" s="856">
        <v>0</v>
      </c>
      <c r="Q16" s="856">
        <v>0</v>
      </c>
      <c r="R16" s="857">
        <v>0</v>
      </c>
      <c r="S16" s="858">
        <v>0</v>
      </c>
      <c r="T16" s="1919">
        <v>0</v>
      </c>
      <c r="U16" s="2048">
        <v>0</v>
      </c>
      <c r="V16" s="859">
        <f>-V15</f>
        <v>0</v>
      </c>
      <c r="X16" s="852"/>
    </row>
    <row r="17" spans="4:28" s="710" customFormat="1" ht="18" customHeight="1">
      <c r="D17" s="860"/>
      <c r="E17" s="861"/>
      <c r="F17" s="862"/>
      <c r="G17" s="862"/>
      <c r="H17" s="863"/>
      <c r="I17" s="863"/>
      <c r="J17" s="864"/>
      <c r="K17" s="865"/>
      <c r="L17" s="864"/>
      <c r="M17" s="866"/>
      <c r="N17" s="867"/>
      <c r="O17" s="868"/>
      <c r="P17" s="866"/>
      <c r="Q17" s="866"/>
      <c r="R17" s="867"/>
      <c r="S17" s="868"/>
      <c r="T17" s="1920"/>
      <c r="U17" s="2049"/>
      <c r="V17" s="869"/>
      <c r="X17" s="852"/>
    </row>
    <row r="18" spans="4:28" s="710" customFormat="1" ht="18" customHeight="1">
      <c r="D18" s="870" t="s">
        <v>2035</v>
      </c>
      <c r="E18" s="871" t="s">
        <v>2034</v>
      </c>
      <c r="F18" s="872"/>
      <c r="G18" s="872"/>
      <c r="H18" s="873"/>
      <c r="I18" s="873"/>
      <c r="J18" s="874"/>
      <c r="K18" s="875"/>
      <c r="L18" s="874"/>
      <c r="M18" s="668"/>
      <c r="N18" s="876">
        <f>'5.1'!T21</f>
        <v>-4587612390</v>
      </c>
      <c r="O18" s="672">
        <v>-4470426495</v>
      </c>
      <c r="P18" s="668">
        <v>-4470426495</v>
      </c>
      <c r="Q18" s="668">
        <v>-4587612390</v>
      </c>
      <c r="R18" s="876">
        <v>-4587612390</v>
      </c>
      <c r="S18" s="672">
        <v>-4587612390</v>
      </c>
      <c r="T18" s="1921">
        <v>-4587612390</v>
      </c>
      <c r="U18" s="2050">
        <v>-4587612390</v>
      </c>
      <c r="V18" s="877">
        <f>'5.1'!AB21</f>
        <v>-4587612390</v>
      </c>
      <c r="X18" s="852"/>
    </row>
    <row r="19" spans="4:28" s="710" customFormat="1" ht="18" customHeight="1">
      <c r="D19" s="878" t="s">
        <v>362</v>
      </c>
      <c r="E19" s="879" t="s">
        <v>1845</v>
      </c>
      <c r="F19" s="872"/>
      <c r="G19" s="872"/>
      <c r="H19" s="873"/>
      <c r="I19" s="873"/>
      <c r="J19" s="874"/>
      <c r="K19" s="875"/>
      <c r="L19" s="874"/>
      <c r="M19" s="668"/>
      <c r="N19" s="876">
        <f>'5.1'!T22</f>
        <v>4808712105</v>
      </c>
      <c r="O19" s="672">
        <v>0</v>
      </c>
      <c r="P19" s="668">
        <v>0</v>
      </c>
      <c r="Q19" s="668">
        <v>0</v>
      </c>
      <c r="R19" s="876">
        <v>0</v>
      </c>
      <c r="S19" s="672">
        <v>0</v>
      </c>
      <c r="T19" s="1921">
        <v>0</v>
      </c>
      <c r="U19" s="2050">
        <v>0</v>
      </c>
      <c r="V19" s="877">
        <f>'5.1'!AB22</f>
        <v>0</v>
      </c>
      <c r="X19" s="852"/>
    </row>
    <row r="20" spans="4:28" s="710" customFormat="1" ht="18" customHeight="1">
      <c r="D20" s="880"/>
      <c r="E20" s="881"/>
      <c r="F20" s="882"/>
      <c r="G20" s="882"/>
      <c r="H20" s="883"/>
      <c r="I20" s="883"/>
      <c r="J20" s="884"/>
      <c r="K20" s="885"/>
      <c r="L20" s="884"/>
      <c r="M20" s="886"/>
      <c r="N20" s="887"/>
      <c r="O20" s="888"/>
      <c r="P20" s="886"/>
      <c r="Q20" s="886"/>
      <c r="R20" s="887"/>
      <c r="S20" s="888"/>
      <c r="T20" s="1922"/>
      <c r="U20" s="2051"/>
      <c r="V20" s="889"/>
      <c r="X20" s="852"/>
      <c r="AB20" s="890"/>
    </row>
    <row r="21" spans="4:28" s="720" customFormat="1" ht="18" customHeight="1">
      <c r="D21" s="891" t="s">
        <v>129</v>
      </c>
      <c r="E21" s="892"/>
      <c r="F21" s="893"/>
      <c r="G21" s="893"/>
      <c r="H21" s="893"/>
      <c r="I21" s="893"/>
      <c r="J21" s="894"/>
      <c r="K21" s="846"/>
      <c r="L21" s="894"/>
      <c r="M21" s="895"/>
      <c r="N21" s="896"/>
      <c r="O21" s="897"/>
      <c r="P21" s="895"/>
      <c r="Q21" s="895"/>
      <c r="R21" s="896"/>
      <c r="S21" s="897"/>
      <c r="T21" s="1923"/>
      <c r="U21" s="2052"/>
      <c r="V21" s="898"/>
      <c r="X21" s="899"/>
      <c r="AB21" s="900"/>
    </row>
    <row r="22" spans="4:28" s="710" customFormat="1" ht="18" customHeight="1">
      <c r="D22" s="651" t="s">
        <v>128</v>
      </c>
      <c r="E22" s="652" t="s">
        <v>129</v>
      </c>
      <c r="F22" s="853">
        <v>25657490389</v>
      </c>
      <c r="G22" s="853">
        <v>21880679425</v>
      </c>
      <c r="H22" s="653">
        <v>22839737952</v>
      </c>
      <c r="I22" s="653">
        <v>23691218644</v>
      </c>
      <c r="J22" s="854">
        <v>2035997533</v>
      </c>
      <c r="K22" s="855">
        <v>2163700414</v>
      </c>
      <c r="L22" s="854">
        <v>2135680096</v>
      </c>
      <c r="M22" s="901">
        <v>23959832946</v>
      </c>
      <c r="N22" s="902">
        <f>'5.2'!CP20+'5.2'!CP21+'5.2'!CP22</f>
        <v>22730979412</v>
      </c>
      <c r="O22" s="903">
        <v>22158435716</v>
      </c>
      <c r="P22" s="901">
        <v>22047668815</v>
      </c>
      <c r="Q22" s="901">
        <v>22814320344</v>
      </c>
      <c r="R22" s="902">
        <v>22220303602</v>
      </c>
      <c r="S22" s="903">
        <v>21423037036</v>
      </c>
      <c r="T22" s="1924">
        <v>20438891187</v>
      </c>
      <c r="U22" s="2053">
        <v>21433879861</v>
      </c>
      <c r="V22" s="904">
        <f>'5.2'!DR20+'5.2'!DR21+'5.2'!DR22</f>
        <v>20752270099</v>
      </c>
      <c r="X22" s="852"/>
      <c r="AB22" s="890"/>
    </row>
    <row r="23" spans="4:28" s="710" customFormat="1" ht="18" customHeight="1">
      <c r="D23" s="607" t="s">
        <v>130</v>
      </c>
      <c r="E23" s="683" t="s">
        <v>131</v>
      </c>
      <c r="F23" s="853"/>
      <c r="G23" s="853"/>
      <c r="H23" s="653"/>
      <c r="I23" s="653"/>
      <c r="J23" s="854"/>
      <c r="K23" s="855"/>
      <c r="L23" s="854"/>
      <c r="M23" s="901">
        <v>-21831717197</v>
      </c>
      <c r="N23" s="902">
        <f>'5.2'!CR20+'5.2'!CR21+'5.2'!CR22</f>
        <v>-20712442443</v>
      </c>
      <c r="O23" s="903">
        <v>-20190953357</v>
      </c>
      <c r="P23" s="901">
        <v>-20090063712</v>
      </c>
      <c r="Q23" s="901">
        <v>-20788351734</v>
      </c>
      <c r="R23" s="902">
        <v>-20247304387</v>
      </c>
      <c r="S23" s="903">
        <v>-19521131320</v>
      </c>
      <c r="T23" s="1924">
        <v>-18624743285</v>
      </c>
      <c r="U23" s="2053">
        <v>-19531007273</v>
      </c>
      <c r="V23" s="904">
        <f>'5.2'!DS20+'5.2'!DS21+'5.2'!DS22</f>
        <v>-18910177712</v>
      </c>
      <c r="X23" s="852"/>
      <c r="AB23" s="890"/>
    </row>
    <row r="24" spans="4:28" s="710" customFormat="1" ht="18" customHeight="1">
      <c r="D24" s="651" t="s">
        <v>1354</v>
      </c>
      <c r="E24" s="652" t="s">
        <v>207</v>
      </c>
      <c r="F24" s="853">
        <f>-F22-F28</f>
        <v>-25864992300</v>
      </c>
      <c r="G24" s="853">
        <f>-G22</f>
        <v>-21880679425</v>
      </c>
      <c r="H24" s="653">
        <v>-21767999083</v>
      </c>
      <c r="I24" s="609">
        <f>-SUM(I22,I28)</f>
        <v>-21767999083</v>
      </c>
      <c r="J24" s="905">
        <f>-SUM(J22,J28)</f>
        <v>-1174311828</v>
      </c>
      <c r="K24" s="906">
        <v>-1174311828</v>
      </c>
      <c r="L24" s="905">
        <v>-1174311828</v>
      </c>
      <c r="M24" s="907">
        <v>-1174311828</v>
      </c>
      <c r="N24" s="617">
        <f>-SUM(N22,N28,N23)</f>
        <v>-1174311828</v>
      </c>
      <c r="O24" s="618">
        <v>-1174311828</v>
      </c>
      <c r="P24" s="907">
        <v>-1174311828</v>
      </c>
      <c r="Q24" s="907">
        <v>-1174311828</v>
      </c>
      <c r="R24" s="617">
        <v>-1174311828</v>
      </c>
      <c r="S24" s="618">
        <v>-1174311828</v>
      </c>
      <c r="T24" s="611">
        <v>-1174311828</v>
      </c>
      <c r="U24" s="612">
        <v>-1174311828</v>
      </c>
      <c r="V24" s="908">
        <f>-SUM(V22,V28,V23)</f>
        <v>-1174311828</v>
      </c>
      <c r="X24" s="852"/>
      <c r="AB24" s="890"/>
    </row>
    <row r="25" spans="4:28" s="710" customFormat="1" ht="18" customHeight="1">
      <c r="D25" s="651" t="s">
        <v>362</v>
      </c>
      <c r="E25" s="652" t="s">
        <v>485</v>
      </c>
      <c r="F25" s="853"/>
      <c r="G25" s="853"/>
      <c r="H25" s="653"/>
      <c r="I25" s="609"/>
      <c r="J25" s="905"/>
      <c r="K25" s="906"/>
      <c r="L25" s="905"/>
      <c r="M25" s="907"/>
      <c r="N25" s="617"/>
      <c r="O25" s="618"/>
      <c r="P25" s="907"/>
      <c r="Q25" s="907"/>
      <c r="R25" s="617"/>
      <c r="S25" s="618"/>
      <c r="T25" s="611"/>
      <c r="U25" s="612"/>
      <c r="V25" s="908"/>
      <c r="X25" s="852"/>
      <c r="AB25" s="890"/>
    </row>
    <row r="26" spans="4:28" s="710" customFormat="1" ht="18" customHeight="1">
      <c r="D26" s="651" t="s">
        <v>128</v>
      </c>
      <c r="E26" s="652" t="s">
        <v>129</v>
      </c>
      <c r="F26" s="853">
        <f>-'1.0'!F7</f>
        <v>-19842800</v>
      </c>
      <c r="G26" s="853">
        <f>-'1.0'!G7</f>
        <v>-19842800</v>
      </c>
      <c r="H26" s="653">
        <v>-19842800</v>
      </c>
      <c r="I26" s="653">
        <v>-19842800</v>
      </c>
      <c r="J26" s="854">
        <v>-19842800</v>
      </c>
      <c r="K26" s="855">
        <v>-19842800</v>
      </c>
      <c r="L26" s="854">
        <v>-19842800</v>
      </c>
      <c r="M26" s="901">
        <v>-19842800</v>
      </c>
      <c r="N26" s="902">
        <v>-19842800</v>
      </c>
      <c r="O26" s="903">
        <v>-19842800</v>
      </c>
      <c r="P26" s="901">
        <v>-19842800</v>
      </c>
      <c r="Q26" s="901">
        <v>-19842800</v>
      </c>
      <c r="R26" s="902">
        <v>-19842800</v>
      </c>
      <c r="S26" s="903">
        <v>-19842800</v>
      </c>
      <c r="T26" s="1924">
        <v>-19842800</v>
      </c>
      <c r="U26" s="2053">
        <v>-19842800</v>
      </c>
      <c r="V26" s="904">
        <v>-19842800</v>
      </c>
      <c r="X26" s="852"/>
    </row>
    <row r="27" spans="4:28" s="710" customFormat="1" ht="18" customHeight="1">
      <c r="D27" s="651" t="s">
        <v>1354</v>
      </c>
      <c r="E27" s="652" t="s">
        <v>207</v>
      </c>
      <c r="F27" s="853">
        <f>-F26</f>
        <v>19842800</v>
      </c>
      <c r="G27" s="853">
        <f>-G26</f>
        <v>19842800</v>
      </c>
      <c r="H27" s="653">
        <v>19842800</v>
      </c>
      <c r="I27" s="653">
        <v>19842800</v>
      </c>
      <c r="J27" s="854">
        <v>19842800</v>
      </c>
      <c r="K27" s="855">
        <v>19842800</v>
      </c>
      <c r="L27" s="854">
        <v>19842800</v>
      </c>
      <c r="M27" s="901">
        <v>19842800</v>
      </c>
      <c r="N27" s="902">
        <v>19842800</v>
      </c>
      <c r="O27" s="903">
        <v>19842800</v>
      </c>
      <c r="P27" s="901">
        <v>19842800</v>
      </c>
      <c r="Q27" s="901">
        <v>19842800</v>
      </c>
      <c r="R27" s="902">
        <v>19842800</v>
      </c>
      <c r="S27" s="903">
        <v>19842800</v>
      </c>
      <c r="T27" s="1924">
        <v>19842800</v>
      </c>
      <c r="U27" s="2053">
        <v>19842800</v>
      </c>
      <c r="V27" s="904">
        <v>19842800</v>
      </c>
      <c r="X27" s="852"/>
    </row>
    <row r="28" spans="4:28" s="710" customFormat="1" ht="18" customHeight="1">
      <c r="D28" s="651" t="s">
        <v>1352</v>
      </c>
      <c r="E28" s="652" t="s">
        <v>204</v>
      </c>
      <c r="F28" s="853">
        <v>207501911</v>
      </c>
      <c r="G28" s="853"/>
      <c r="H28" s="653">
        <v>-1071738869</v>
      </c>
      <c r="I28" s="653">
        <v>-1923219561</v>
      </c>
      <c r="J28" s="854">
        <v>-861685705</v>
      </c>
      <c r="K28" s="855">
        <v>-989388586</v>
      </c>
      <c r="L28" s="909">
        <v>-961368268</v>
      </c>
      <c r="M28" s="856">
        <v>-953803921</v>
      </c>
      <c r="N28" s="857">
        <f>-('5.2'!CO20+'5.2'!AS20+'5.2'!L20)</f>
        <v>-844225141</v>
      </c>
      <c r="O28" s="858">
        <v>-793170531</v>
      </c>
      <c r="P28" s="856">
        <v>-783293275</v>
      </c>
      <c r="Q28" s="856">
        <v>-851656782</v>
      </c>
      <c r="R28" s="857">
        <v>-798687387</v>
      </c>
      <c r="S28" s="858">
        <v>-727593888</v>
      </c>
      <c r="T28" s="1919">
        <v>-639836074</v>
      </c>
      <c r="U28" s="2048">
        <v>-728560760</v>
      </c>
      <c r="V28" s="859">
        <f>-('5.2'!CO20+'5.2'!AS20+'5.2'!L20+'5.2'!DC27+'5.2'!DQ20)</f>
        <v>-667780559</v>
      </c>
      <c r="X28" s="852">
        <f>V28-R28-R29</f>
        <v>130906828</v>
      </c>
    </row>
    <row r="29" spans="4:28" s="710" customFormat="1" ht="18" customHeight="1">
      <c r="D29" s="651" t="s">
        <v>1352</v>
      </c>
      <c r="E29" s="652" t="s">
        <v>204</v>
      </c>
      <c r="F29" s="853"/>
      <c r="G29" s="853"/>
      <c r="H29" s="653"/>
      <c r="I29" s="653"/>
      <c r="J29" s="854"/>
      <c r="K29" s="855"/>
      <c r="L29" s="909"/>
      <c r="M29" s="856"/>
      <c r="N29" s="857"/>
      <c r="O29" s="858"/>
      <c r="P29" s="856"/>
      <c r="Q29" s="856"/>
      <c r="R29" s="857"/>
      <c r="S29" s="858"/>
      <c r="T29" s="1919"/>
      <c r="U29" s="2048"/>
      <c r="V29" s="859"/>
      <c r="X29" s="852"/>
    </row>
    <row r="30" spans="4:28" s="710" customFormat="1" ht="18" customHeight="1">
      <c r="D30" s="651" t="s">
        <v>362</v>
      </c>
      <c r="E30" s="652" t="s">
        <v>485</v>
      </c>
      <c r="F30" s="853">
        <v>294995310</v>
      </c>
      <c r="G30" s="853"/>
      <c r="H30" s="653"/>
      <c r="I30" s="653"/>
      <c r="J30" s="854">
        <v>20593687255</v>
      </c>
      <c r="K30" s="855"/>
      <c r="L30" s="909"/>
      <c r="M30" s="856"/>
      <c r="N30" s="857"/>
      <c r="O30" s="858"/>
      <c r="P30" s="856"/>
      <c r="Q30" s="856"/>
      <c r="R30" s="857"/>
      <c r="S30" s="858"/>
      <c r="T30" s="1919"/>
      <c r="U30" s="2048"/>
      <c r="V30" s="859"/>
      <c r="X30" s="852"/>
    </row>
    <row r="31" spans="4:28" s="710" customFormat="1" ht="18" customHeight="1">
      <c r="D31" s="651" t="s">
        <v>1354</v>
      </c>
      <c r="E31" s="652" t="s">
        <v>207</v>
      </c>
      <c r="F31" s="853">
        <v>-294995310</v>
      </c>
      <c r="G31" s="853"/>
      <c r="H31" s="653"/>
      <c r="I31" s="653"/>
      <c r="J31" s="854">
        <v>-20593687255</v>
      </c>
      <c r="K31" s="855"/>
      <c r="L31" s="909"/>
      <c r="M31" s="856"/>
      <c r="N31" s="857"/>
      <c r="O31" s="858"/>
      <c r="P31" s="856"/>
      <c r="Q31" s="856"/>
      <c r="R31" s="857"/>
      <c r="S31" s="858"/>
      <c r="T31" s="1919"/>
      <c r="U31" s="2048"/>
      <c r="V31" s="859"/>
      <c r="X31" s="852"/>
    </row>
    <row r="32" spans="4:28" s="710" customFormat="1" ht="18" customHeight="1">
      <c r="D32" s="651" t="s">
        <v>1355</v>
      </c>
      <c r="E32" s="652" t="s">
        <v>209</v>
      </c>
      <c r="F32" s="853">
        <v>294995310</v>
      </c>
      <c r="G32" s="853"/>
      <c r="H32" s="653"/>
      <c r="I32" s="653"/>
      <c r="J32" s="854">
        <v>20593687255</v>
      </c>
      <c r="K32" s="855"/>
      <c r="L32" s="909"/>
      <c r="M32" s="856"/>
      <c r="N32" s="857"/>
      <c r="O32" s="858"/>
      <c r="P32" s="856"/>
      <c r="Q32" s="856"/>
      <c r="R32" s="857"/>
      <c r="S32" s="858"/>
      <c r="T32" s="1919"/>
      <c r="U32" s="2048"/>
      <c r="V32" s="859"/>
      <c r="X32" s="852"/>
    </row>
    <row r="33" spans="4:24" s="710" customFormat="1" ht="18" customHeight="1" thickBot="1">
      <c r="D33" s="910" t="s">
        <v>478</v>
      </c>
      <c r="E33" s="911" t="s">
        <v>421</v>
      </c>
      <c r="F33" s="912">
        <v>-294995310</v>
      </c>
      <c r="G33" s="912"/>
      <c r="H33" s="913"/>
      <c r="I33" s="913"/>
      <c r="J33" s="914">
        <v>-20593687255</v>
      </c>
      <c r="K33" s="915"/>
      <c r="L33" s="916"/>
      <c r="M33" s="917"/>
      <c r="N33" s="918"/>
      <c r="O33" s="919"/>
      <c r="P33" s="917"/>
      <c r="Q33" s="917"/>
      <c r="R33" s="918"/>
      <c r="S33" s="919"/>
      <c r="T33" s="1925"/>
      <c r="U33" s="2054"/>
      <c r="V33" s="920"/>
      <c r="X33" s="921"/>
    </row>
    <row r="34" spans="4:24" ht="18" customHeight="1">
      <c r="D34" s="562"/>
    </row>
    <row r="35" spans="4:24" ht="18" customHeight="1">
      <c r="D35" s="562"/>
    </row>
  </sheetData>
  <autoFilter ref="D5:N16"/>
  <phoneticPr fontId="21" type="noConversion"/>
  <pageMargins left="0.7" right="0.7" top="0.75" bottom="0.75" header="0.3" footer="0.3"/>
  <pageSetup paperSize="9" orientation="portrait" r:id="rId1"/>
  <ignoredErrors>
    <ignoredError sqref="D9:E33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D4:X29"/>
  <sheetViews>
    <sheetView workbookViewId="0">
      <pane xSplit="5" ySplit="8" topLeftCell="F9" activePane="bottomRight" state="frozen"/>
      <selection pane="topRight" activeCell="F1" sqref="F1"/>
      <selection pane="bottomLeft" activeCell="A7" sqref="A7"/>
      <selection pane="bottomRight" activeCell="H28" sqref="H28"/>
    </sheetView>
  </sheetViews>
  <sheetFormatPr defaultColWidth="8.75" defaultRowHeight="18" customHeight="1"/>
  <cols>
    <col min="1" max="3" width="2.375" style="3" customWidth="1"/>
    <col min="4" max="4" width="20.375" style="3" customWidth="1"/>
    <col min="5" max="5" width="26.375" style="3" bestFit="1" customWidth="1"/>
    <col min="6" max="6" width="20.375" style="5" customWidth="1"/>
    <col min="7" max="14" width="13.125" style="5" customWidth="1"/>
    <col min="15" max="24" width="13.125" style="3" customWidth="1"/>
    <col min="25" max="16384" width="8.75" style="3"/>
  </cols>
  <sheetData>
    <row r="4" spans="4:24" s="2" customFormat="1" ht="18" customHeight="1">
      <c r="D4" s="2" t="s">
        <v>428</v>
      </c>
      <c r="E4" s="2" t="s">
        <v>429</v>
      </c>
      <c r="F4" s="4"/>
      <c r="G4" s="4"/>
      <c r="H4" s="4"/>
      <c r="I4" s="4"/>
      <c r="J4" s="5"/>
      <c r="K4" s="4"/>
      <c r="L4" s="4"/>
      <c r="M4" s="4"/>
      <c r="N4" s="4"/>
    </row>
    <row r="5" spans="4:24" s="2" customFormat="1" ht="18" customHeight="1">
      <c r="D5" s="2" t="s">
        <v>1601</v>
      </c>
      <c r="F5" s="4"/>
      <c r="G5" s="4"/>
      <c r="H5" s="4"/>
      <c r="I5" s="4"/>
      <c r="J5" s="5"/>
      <c r="K5" s="4"/>
      <c r="L5" s="4"/>
      <c r="M5" s="4"/>
      <c r="N5" s="4"/>
    </row>
    <row r="6" spans="4:24" s="2" customFormat="1" ht="18" customHeight="1">
      <c r="F6" s="4"/>
      <c r="G6" s="4"/>
      <c r="H6" s="4"/>
      <c r="I6" s="4"/>
      <c r="J6" s="5"/>
      <c r="K6" s="4"/>
      <c r="L6" s="4"/>
      <c r="M6" s="4"/>
      <c r="N6" s="4"/>
    </row>
    <row r="7" spans="4:24" s="2" customFormat="1" ht="18" customHeight="1" thickBot="1">
      <c r="D7" s="2" t="s">
        <v>453</v>
      </c>
      <c r="F7" s="4"/>
      <c r="G7" s="4"/>
      <c r="H7" s="4"/>
      <c r="I7" s="4"/>
      <c r="J7" s="5"/>
      <c r="K7" s="4"/>
      <c r="L7" s="4"/>
      <c r="M7" s="4"/>
      <c r="N7" s="4"/>
    </row>
    <row r="8" spans="4:24" s="1" customFormat="1" ht="18" customHeight="1">
      <c r="D8" s="50" t="s">
        <v>393</v>
      </c>
      <c r="E8" s="51" t="s">
        <v>19</v>
      </c>
      <c r="F8" s="51" t="s">
        <v>430</v>
      </c>
      <c r="G8" s="51" t="s">
        <v>431</v>
      </c>
      <c r="H8" s="51" t="s">
        <v>432</v>
      </c>
      <c r="I8" s="51" t="s">
        <v>433</v>
      </c>
      <c r="J8" s="51" t="s">
        <v>434</v>
      </c>
      <c r="K8" s="51" t="s">
        <v>435</v>
      </c>
      <c r="L8" s="51" t="s">
        <v>436</v>
      </c>
      <c r="M8" s="51" t="s">
        <v>437</v>
      </c>
      <c r="N8" s="51" t="s">
        <v>438</v>
      </c>
      <c r="O8" s="51" t="s">
        <v>439</v>
      </c>
      <c r="P8" s="51" t="s">
        <v>440</v>
      </c>
      <c r="Q8" s="51" t="s">
        <v>441</v>
      </c>
      <c r="R8" s="51" t="s">
        <v>442</v>
      </c>
      <c r="S8" s="51" t="s">
        <v>443</v>
      </c>
      <c r="T8" s="51" t="s">
        <v>444</v>
      </c>
      <c r="U8" s="51" t="s">
        <v>445</v>
      </c>
      <c r="V8" s="51" t="s">
        <v>446</v>
      </c>
      <c r="W8" s="51" t="s">
        <v>447</v>
      </c>
      <c r="X8" s="52" t="s">
        <v>448</v>
      </c>
    </row>
    <row r="9" spans="4:24" ht="18" customHeight="1">
      <c r="D9" s="53"/>
      <c r="E9" s="54" t="s">
        <v>449</v>
      </c>
      <c r="F9" s="39">
        <v>652725000</v>
      </c>
      <c r="G9" s="39"/>
      <c r="H9" s="39">
        <f>$F$9-H10</f>
        <v>630967500</v>
      </c>
      <c r="I9" s="39">
        <f>$H$9-I10</f>
        <v>614649375</v>
      </c>
      <c r="J9" s="39">
        <f>$H$9-J10-I10</f>
        <v>598331250</v>
      </c>
      <c r="K9" s="39">
        <f>$H$9-K10-I10-J10</f>
        <v>582013125</v>
      </c>
      <c r="L9" s="39">
        <f>$H$9-L10-SUM(I10:K10)</f>
        <v>565695000</v>
      </c>
      <c r="M9" s="39">
        <f>$L$9-M10</f>
        <v>549376875</v>
      </c>
      <c r="N9" s="39">
        <f>$L$9-N10-M10</f>
        <v>533058750</v>
      </c>
      <c r="O9" s="39">
        <f>$L$9-O10-N10-M10</f>
        <v>516740625</v>
      </c>
      <c r="P9" s="39">
        <f>$L$9-P10-M10-N10-O10</f>
        <v>500422500</v>
      </c>
      <c r="Q9" s="54"/>
      <c r="R9" s="54"/>
      <c r="S9" s="54"/>
      <c r="T9" s="54"/>
      <c r="U9" s="54"/>
      <c r="V9" s="54"/>
      <c r="W9" s="54"/>
      <c r="X9" s="55"/>
    </row>
    <row r="10" spans="4:24" ht="18" customHeight="1">
      <c r="D10" s="53"/>
      <c r="E10" s="54" t="s">
        <v>450</v>
      </c>
      <c r="F10" s="40"/>
      <c r="G10" s="39">
        <v>120</v>
      </c>
      <c r="H10" s="39">
        <v>21757500</v>
      </c>
      <c r="I10" s="39">
        <f>ROUND($F$9/$G$10*3,0)</f>
        <v>16318125</v>
      </c>
      <c r="J10" s="39">
        <f t="shared" ref="J10:L11" si="0">I10</f>
        <v>16318125</v>
      </c>
      <c r="K10" s="39">
        <f t="shared" si="0"/>
        <v>16318125</v>
      </c>
      <c r="L10" s="39">
        <f t="shared" si="0"/>
        <v>16318125</v>
      </c>
      <c r="M10" s="39">
        <f>I10</f>
        <v>16318125</v>
      </c>
      <c r="N10" s="39">
        <f t="shared" ref="N10:P11" si="1">J10</f>
        <v>16318125</v>
      </c>
      <c r="O10" s="39">
        <f t="shared" si="1"/>
        <v>16318125</v>
      </c>
      <c r="P10" s="39">
        <f t="shared" si="1"/>
        <v>16318125</v>
      </c>
      <c r="Q10" s="39"/>
      <c r="R10" s="39"/>
      <c r="S10" s="39"/>
      <c r="T10" s="39"/>
      <c r="U10" s="39"/>
      <c r="V10" s="39"/>
      <c r="W10" s="39"/>
      <c r="X10" s="56"/>
    </row>
    <row r="11" spans="4:24" ht="18" customHeight="1">
      <c r="D11" s="53"/>
      <c r="E11" s="54" t="s">
        <v>451</v>
      </c>
      <c r="F11" s="40">
        <v>0.34810000000000002</v>
      </c>
      <c r="G11" s="39"/>
      <c r="H11" s="39">
        <v>7573786</v>
      </c>
      <c r="I11" s="39">
        <f>ROUND($F$12/$G$10*3,0)</f>
        <v>5680339</v>
      </c>
      <c r="J11" s="39">
        <f t="shared" si="0"/>
        <v>5680339</v>
      </c>
      <c r="K11" s="39">
        <f t="shared" si="0"/>
        <v>5680339</v>
      </c>
      <c r="L11" s="39">
        <f t="shared" si="0"/>
        <v>5680339</v>
      </c>
      <c r="M11" s="39">
        <f>I11</f>
        <v>5680339</v>
      </c>
      <c r="N11" s="39">
        <f t="shared" si="1"/>
        <v>5680339</v>
      </c>
      <c r="O11" s="39">
        <f t="shared" si="1"/>
        <v>5680339</v>
      </c>
      <c r="P11" s="39">
        <f t="shared" si="1"/>
        <v>5680339</v>
      </c>
      <c r="Q11" s="39"/>
      <c r="R11" s="39"/>
      <c r="S11" s="39"/>
      <c r="T11" s="39"/>
      <c r="U11" s="39"/>
      <c r="V11" s="39"/>
      <c r="W11" s="39"/>
      <c r="X11" s="56"/>
    </row>
    <row r="12" spans="4:24" ht="18" customHeight="1" thickBot="1">
      <c r="D12" s="57"/>
      <c r="E12" s="58" t="s">
        <v>452</v>
      </c>
      <c r="F12" s="59">
        <f>ROUND(F9*F11,0)</f>
        <v>227213573</v>
      </c>
      <c r="G12" s="59"/>
      <c r="H12" s="59">
        <f>$F$12-H11</f>
        <v>219639787</v>
      </c>
      <c r="I12" s="59">
        <f>H12-I11</f>
        <v>213959448</v>
      </c>
      <c r="J12" s="59">
        <f>H12-J11-I11</f>
        <v>208279109</v>
      </c>
      <c r="K12" s="59">
        <f>$H$12-K11-J11-I11</f>
        <v>202598770</v>
      </c>
      <c r="L12" s="59">
        <f>$H$12-L11-K11-J11-I11</f>
        <v>196918431</v>
      </c>
      <c r="M12" s="59">
        <f>L12-M11</f>
        <v>191238092</v>
      </c>
      <c r="N12" s="59">
        <f>L12-N11-M11</f>
        <v>185557753</v>
      </c>
      <c r="O12" s="59">
        <f>L12-O11-M11-N11</f>
        <v>179877414</v>
      </c>
      <c r="P12" s="59">
        <f>L12-P11-SUM(M11:O11)</f>
        <v>174197075</v>
      </c>
      <c r="Q12" s="59"/>
      <c r="R12" s="59"/>
      <c r="S12" s="59"/>
      <c r="T12" s="59"/>
      <c r="U12" s="59"/>
      <c r="V12" s="59"/>
      <c r="W12" s="59"/>
      <c r="X12" s="60"/>
    </row>
    <row r="13" spans="4:24" ht="18" customHeight="1">
      <c r="H13" s="95"/>
    </row>
    <row r="14" spans="4:24" s="2" customFormat="1" ht="18" customHeight="1" thickBot="1">
      <c r="D14" s="2" t="s">
        <v>454</v>
      </c>
      <c r="F14" s="4"/>
      <c r="G14" s="4"/>
      <c r="H14" s="4"/>
      <c r="I14" s="4"/>
      <c r="J14" s="5"/>
      <c r="K14" s="4"/>
      <c r="L14" s="4"/>
      <c r="M14" s="4" t="s">
        <v>1600</v>
      </c>
      <c r="N14" s="4"/>
    </row>
    <row r="15" spans="4:24" s="1" customFormat="1" ht="18" customHeight="1">
      <c r="D15" s="61" t="s">
        <v>393</v>
      </c>
      <c r="E15" s="2109" t="s">
        <v>19</v>
      </c>
      <c r="F15" s="2109" t="s">
        <v>430</v>
      </c>
      <c r="G15" s="2109" t="s">
        <v>431</v>
      </c>
      <c r="H15" s="62" t="s">
        <v>432</v>
      </c>
      <c r="I15" s="62" t="s">
        <v>433</v>
      </c>
      <c r="J15" s="62" t="s">
        <v>434</v>
      </c>
      <c r="K15" s="62" t="s">
        <v>435</v>
      </c>
      <c r="L15" s="62" t="s">
        <v>436</v>
      </c>
      <c r="M15" s="62" t="s">
        <v>437</v>
      </c>
      <c r="N15" s="62" t="s">
        <v>438</v>
      </c>
      <c r="O15" s="62" t="s">
        <v>439</v>
      </c>
      <c r="P15" s="62" t="s">
        <v>440</v>
      </c>
      <c r="Q15" s="62" t="s">
        <v>441</v>
      </c>
      <c r="R15" s="62" t="s">
        <v>442</v>
      </c>
      <c r="S15" s="62" t="s">
        <v>443</v>
      </c>
      <c r="T15" s="62" t="s">
        <v>444</v>
      </c>
      <c r="U15" s="62" t="s">
        <v>445</v>
      </c>
      <c r="V15" s="62" t="s">
        <v>446</v>
      </c>
      <c r="W15" s="62" t="s">
        <v>447</v>
      </c>
      <c r="X15" s="63" t="s">
        <v>448</v>
      </c>
    </row>
    <row r="16" spans="4:24" s="1" customFormat="1" ht="18" customHeight="1">
      <c r="D16" s="64" t="s">
        <v>455</v>
      </c>
      <c r="E16" s="2110"/>
      <c r="F16" s="2110"/>
      <c r="G16" s="2110"/>
      <c r="H16" s="65">
        <v>9.4910999999999994</v>
      </c>
      <c r="I16" s="65">
        <v>10.0146</v>
      </c>
      <c r="J16" s="65">
        <v>10.1479</v>
      </c>
      <c r="K16" s="65">
        <v>9.8117000000000001</v>
      </c>
      <c r="L16" s="65">
        <v>10.1318</v>
      </c>
      <c r="M16" s="65">
        <v>10.282400000000001</v>
      </c>
      <c r="N16" s="65">
        <v>10.733499999999999</v>
      </c>
      <c r="O16" s="66"/>
      <c r="P16" s="66"/>
      <c r="Q16" s="66"/>
      <c r="R16" s="66"/>
      <c r="S16" s="66"/>
      <c r="T16" s="66"/>
      <c r="U16" s="66"/>
      <c r="V16" s="66"/>
      <c r="W16" s="66"/>
      <c r="X16" s="67"/>
    </row>
    <row r="17" spans="4:24" s="1" customFormat="1" ht="18" customHeight="1">
      <c r="D17" s="64" t="s">
        <v>456</v>
      </c>
      <c r="E17" s="2111"/>
      <c r="F17" s="2111"/>
      <c r="G17" s="2111"/>
      <c r="H17" s="65">
        <v>9.9062999999999999</v>
      </c>
      <c r="I17" s="65">
        <v>9.8903999999999996</v>
      </c>
      <c r="J17" s="65">
        <v>9.8918999999999997</v>
      </c>
      <c r="K17" s="65">
        <v>9.952</v>
      </c>
      <c r="L17" s="65">
        <v>9.9626999999999999</v>
      </c>
      <c r="M17" s="65">
        <v>10.219900000000001</v>
      </c>
      <c r="N17" s="65">
        <v>10.416499999999999</v>
      </c>
      <c r="O17" s="66"/>
      <c r="P17" s="66"/>
      <c r="Q17" s="66"/>
      <c r="R17" s="66"/>
      <c r="S17" s="66"/>
      <c r="T17" s="66"/>
      <c r="U17" s="66"/>
      <c r="V17" s="66"/>
      <c r="W17" s="66"/>
      <c r="X17" s="67"/>
    </row>
    <row r="18" spans="4:24" ht="18" customHeight="1">
      <c r="D18" s="68">
        <v>10020617</v>
      </c>
      <c r="E18" s="69" t="s">
        <v>449</v>
      </c>
      <c r="F18" s="34">
        <v>6676985115</v>
      </c>
      <c r="G18" s="34"/>
      <c r="H18" s="34">
        <f>ROUND(H9*H16,0)</f>
        <v>5988575639</v>
      </c>
      <c r="I18" s="34">
        <f t="shared" ref="I18:L19" si="2">ROUND(I9*I16,0)</f>
        <v>6155467631</v>
      </c>
      <c r="J18" s="34">
        <f t="shared" si="2"/>
        <v>6071805692</v>
      </c>
      <c r="K18" s="34">
        <f t="shared" si="2"/>
        <v>5710538179</v>
      </c>
      <c r="L18" s="34">
        <f>ROUND(L9*L16,0)</f>
        <v>5731508601</v>
      </c>
      <c r="M18" s="34">
        <f>L18-M19</f>
        <v>5566176622.125</v>
      </c>
      <c r="N18" s="34">
        <f>M18-N19</f>
        <v>5400844643.25</v>
      </c>
      <c r="O18" s="34">
        <f>N18-O19</f>
        <v>5235512664.375</v>
      </c>
      <c r="P18" s="34">
        <f>O18-P19</f>
        <v>5070180685.5</v>
      </c>
      <c r="Q18" s="69"/>
      <c r="R18" s="69"/>
      <c r="S18" s="69"/>
      <c r="T18" s="69"/>
      <c r="U18" s="69"/>
      <c r="V18" s="69"/>
      <c r="W18" s="69"/>
      <c r="X18" s="70"/>
    </row>
    <row r="19" spans="4:24" ht="18" customHeight="1">
      <c r="D19" s="68">
        <v>40040114</v>
      </c>
      <c r="E19" s="69" t="s">
        <v>450</v>
      </c>
      <c r="F19" s="71"/>
      <c r="G19" s="34">
        <v>120</v>
      </c>
      <c r="H19" s="34">
        <f>ROUND(H10*H17,0)</f>
        <v>215536322</v>
      </c>
      <c r="I19" s="34">
        <f t="shared" si="2"/>
        <v>161392784</v>
      </c>
      <c r="J19" s="34">
        <f t="shared" si="2"/>
        <v>161417261</v>
      </c>
      <c r="K19" s="34">
        <f t="shared" si="2"/>
        <v>162397980</v>
      </c>
      <c r="L19" s="34">
        <f t="shared" si="2"/>
        <v>162572584</v>
      </c>
      <c r="M19" s="34">
        <f>L18/104*3</f>
        <v>165331978.875</v>
      </c>
      <c r="N19" s="34">
        <f t="shared" ref="N19:P20" si="3">M19</f>
        <v>165331978.875</v>
      </c>
      <c r="O19" s="34">
        <f t="shared" si="3"/>
        <v>165331978.875</v>
      </c>
      <c r="P19" s="34">
        <f t="shared" si="3"/>
        <v>165331978.875</v>
      </c>
      <c r="Q19" s="34"/>
      <c r="R19" s="34"/>
      <c r="S19" s="34"/>
      <c r="T19" s="34"/>
      <c r="U19" s="34"/>
      <c r="V19" s="34"/>
      <c r="W19" s="34"/>
      <c r="X19" s="35"/>
    </row>
    <row r="20" spans="4:24" ht="18" customHeight="1">
      <c r="D20" s="68">
        <v>40080101</v>
      </c>
      <c r="E20" s="69" t="s">
        <v>451</v>
      </c>
      <c r="F20" s="71">
        <v>0.34810000000000002</v>
      </c>
      <c r="G20" s="34"/>
      <c r="H20" s="34">
        <f>ROUND(H11*H17,0)</f>
        <v>75028196</v>
      </c>
      <c r="I20" s="34">
        <f>ROUND(I11*I17,0)</f>
        <v>56180825</v>
      </c>
      <c r="J20" s="34">
        <f>ROUND(J11*J17,0)</f>
        <v>56189345</v>
      </c>
      <c r="K20" s="34">
        <f>ROUND(K11*K17,0)</f>
        <v>56530734</v>
      </c>
      <c r="L20" s="34">
        <f>ROUND(L11*L17,0)</f>
        <v>56591513</v>
      </c>
      <c r="M20" s="34">
        <f>L21/104*3</f>
        <v>57552062.278846152</v>
      </c>
      <c r="N20" s="34">
        <f t="shared" si="3"/>
        <v>57552062.278846152</v>
      </c>
      <c r="O20" s="34">
        <f t="shared" si="3"/>
        <v>57552062.278846152</v>
      </c>
      <c r="P20" s="34">
        <f t="shared" si="3"/>
        <v>57552062.278846152</v>
      </c>
      <c r="Q20" s="34"/>
      <c r="R20" s="34"/>
      <c r="S20" s="34"/>
      <c r="T20" s="34"/>
      <c r="U20" s="34"/>
      <c r="V20" s="34"/>
      <c r="W20" s="34"/>
      <c r="X20" s="35"/>
    </row>
    <row r="21" spans="4:24" ht="18" customHeight="1">
      <c r="D21" s="68">
        <v>20020501</v>
      </c>
      <c r="E21" s="69" t="s">
        <v>452</v>
      </c>
      <c r="F21" s="34">
        <v>2324258519</v>
      </c>
      <c r="G21" s="34"/>
      <c r="H21" s="34">
        <f>ROUND(H12*H16,0)</f>
        <v>2084623182</v>
      </c>
      <c r="I21" s="34">
        <f>ROUND(I12*I16,0)</f>
        <v>2142718288</v>
      </c>
      <c r="J21" s="34">
        <f>ROUND(J12*J16,0)</f>
        <v>2113595570</v>
      </c>
      <c r="K21" s="34">
        <f>ROUND(K12*K16,0)</f>
        <v>1987838352</v>
      </c>
      <c r="L21" s="34">
        <f>ROUND(L12*L16,0)</f>
        <v>1995138159</v>
      </c>
      <c r="M21" s="34">
        <f>L21-M20</f>
        <v>1937586096.7211537</v>
      </c>
      <c r="N21" s="34">
        <f>M21-N20</f>
        <v>1880034034.4423075</v>
      </c>
      <c r="O21" s="34">
        <f>N21-O20</f>
        <v>1822481972.1634612</v>
      </c>
      <c r="P21" s="34">
        <f>O21-P20</f>
        <v>1764929909.8846149</v>
      </c>
      <c r="Q21" s="34"/>
      <c r="R21" s="34"/>
      <c r="S21" s="34"/>
      <c r="T21" s="34"/>
      <c r="U21" s="34"/>
      <c r="V21" s="34"/>
      <c r="W21" s="34"/>
      <c r="X21" s="35"/>
    </row>
    <row r="22" spans="4:24" ht="18" customHeight="1" thickBot="1">
      <c r="D22" s="72" t="s">
        <v>203</v>
      </c>
      <c r="E22" s="73" t="s">
        <v>204</v>
      </c>
      <c r="F22" s="37"/>
      <c r="G22" s="37"/>
      <c r="H22" s="37">
        <f>SUM(H18:H19)-F18+F21-H21-H20</f>
        <v>-308266013</v>
      </c>
      <c r="I22" s="37">
        <f t="shared" ref="I22:N22" si="4">SUM(I18:I19)-H18+H21-I21-I20</f>
        <v>214008845</v>
      </c>
      <c r="J22" s="37">
        <f t="shared" si="4"/>
        <v>50688695</v>
      </c>
      <c r="K22" s="37">
        <f t="shared" si="4"/>
        <v>-129643049</v>
      </c>
      <c r="L22" s="37">
        <f t="shared" si="4"/>
        <v>119651686</v>
      </c>
      <c r="M22" s="37">
        <f t="shared" si="4"/>
        <v>1.1175870895385742E-7</v>
      </c>
      <c r="N22" s="37">
        <f t="shared" si="4"/>
        <v>1.1175870895385742E-7</v>
      </c>
      <c r="O22" s="73"/>
      <c r="P22" s="73"/>
      <c r="Q22" s="73"/>
      <c r="R22" s="73"/>
      <c r="S22" s="73"/>
      <c r="T22" s="73"/>
      <c r="U22" s="73"/>
      <c r="V22" s="73"/>
      <c r="W22" s="73"/>
      <c r="X22" s="74"/>
    </row>
    <row r="23" spans="4:24" ht="18" customHeight="1">
      <c r="D23" s="23"/>
      <c r="H23" s="95"/>
    </row>
    <row r="24" spans="4:24" ht="18" customHeight="1">
      <c r="D24" s="23"/>
    </row>
    <row r="25" spans="4:24" ht="18" customHeight="1">
      <c r="D25" s="23"/>
    </row>
    <row r="26" spans="4:24" ht="18" customHeight="1">
      <c r="D26" s="23"/>
    </row>
    <row r="27" spans="4:24" ht="18" customHeight="1">
      <c r="D27" s="23"/>
    </row>
    <row r="28" spans="4:24" ht="18" customHeight="1">
      <c r="D28" s="23"/>
    </row>
    <row r="29" spans="4:24" ht="18" customHeight="1">
      <c r="D29" s="23"/>
    </row>
  </sheetData>
  <mergeCells count="3">
    <mergeCell ref="E15:E17"/>
    <mergeCell ref="F15:F17"/>
    <mergeCell ref="G15:G17"/>
  </mergeCells>
  <phoneticPr fontId="2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>
    <tabColor rgb="FFFFFF00"/>
  </sheetPr>
  <dimension ref="D2:AE40"/>
  <sheetViews>
    <sheetView showGridLines="0" zoomScale="80" zoomScaleNormal="8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ColWidth="8.75" defaultRowHeight="18" customHeight="1" outlineLevelCol="1"/>
  <cols>
    <col min="1" max="3" width="2.375" style="770" customWidth="1"/>
    <col min="4" max="4" width="20.375" style="770" customWidth="1"/>
    <col min="5" max="5" width="27.625" style="770" customWidth="1"/>
    <col min="6" max="6" width="20.375" style="498" customWidth="1"/>
    <col min="7" max="7" width="13.625" style="498" customWidth="1"/>
    <col min="8" max="14" width="13.625" style="498" hidden="1" customWidth="1" outlineLevel="1"/>
    <col min="15" max="16" width="13.625" style="770" hidden="1" customWidth="1" outlineLevel="1"/>
    <col min="17" max="20" width="15.625" style="770" hidden="1" customWidth="1" outlineLevel="1"/>
    <col min="21" max="21" width="15.625" style="770" customWidth="1" collapsed="1"/>
    <col min="22" max="28" width="15.625" style="770" customWidth="1"/>
    <col min="29" max="29" width="10.125" style="770" bestFit="1" customWidth="1"/>
    <col min="30" max="30" width="8.75" style="770"/>
    <col min="31" max="31" width="12.125" style="770" bestFit="1" customWidth="1"/>
    <col min="32" max="16384" width="8.75" style="770"/>
  </cols>
  <sheetData>
    <row r="2" spans="4:29" ht="18" customHeight="1">
      <c r="E2" s="771" t="s">
        <v>2017</v>
      </c>
    </row>
    <row r="3" spans="4:29" s="772" customFormat="1" ht="18" customHeight="1">
      <c r="D3" s="772" t="s">
        <v>428</v>
      </c>
      <c r="E3" s="772" t="s">
        <v>429</v>
      </c>
      <c r="F3" s="494"/>
      <c r="G3" s="494"/>
      <c r="H3" s="494"/>
      <c r="I3" s="494"/>
      <c r="J3" s="498"/>
      <c r="K3" s="494"/>
      <c r="L3" s="494"/>
      <c r="M3" s="494"/>
      <c r="N3" s="494"/>
    </row>
    <row r="4" spans="4:29" s="772" customFormat="1" ht="18" customHeight="1" thickBot="1">
      <c r="D4" s="772" t="s">
        <v>453</v>
      </c>
      <c r="F4" s="494"/>
      <c r="G4" s="494"/>
      <c r="H4" s="494"/>
      <c r="I4" s="494"/>
      <c r="J4" s="498"/>
      <c r="K4" s="494"/>
      <c r="L4" s="494"/>
      <c r="M4" s="494"/>
      <c r="N4" s="494"/>
    </row>
    <row r="5" spans="4:29" s="778" customFormat="1" ht="18" customHeight="1">
      <c r="D5" s="773" t="s">
        <v>393</v>
      </c>
      <c r="E5" s="774" t="s">
        <v>19</v>
      </c>
      <c r="F5" s="775" t="s">
        <v>430</v>
      </c>
      <c r="G5" s="775" t="s">
        <v>431</v>
      </c>
      <c r="H5" s="775" t="s">
        <v>2343</v>
      </c>
      <c r="I5" s="775" t="s">
        <v>2348</v>
      </c>
      <c r="J5" s="775" t="s">
        <v>2344</v>
      </c>
      <c r="K5" s="775" t="s">
        <v>2345</v>
      </c>
      <c r="L5" s="775" t="s">
        <v>2347</v>
      </c>
      <c r="M5" s="775" t="s">
        <v>2351</v>
      </c>
      <c r="N5" s="775" t="s">
        <v>2352</v>
      </c>
      <c r="O5" s="775" t="s">
        <v>2354</v>
      </c>
      <c r="P5" s="775" t="s">
        <v>2356</v>
      </c>
      <c r="Q5" s="775" t="s">
        <v>2469</v>
      </c>
      <c r="R5" s="775" t="s">
        <v>2470</v>
      </c>
      <c r="S5" s="775" t="s">
        <v>2471</v>
      </c>
      <c r="T5" s="775" t="s">
        <v>2472</v>
      </c>
      <c r="U5" s="775" t="s">
        <v>2473</v>
      </c>
      <c r="V5" s="775" t="s">
        <v>2474</v>
      </c>
      <c r="W5" s="775" t="s">
        <v>2475</v>
      </c>
      <c r="X5" s="775" t="s">
        <v>2468</v>
      </c>
      <c r="Y5" s="776" t="s">
        <v>2576</v>
      </c>
      <c r="Z5" s="776" t="s">
        <v>2814</v>
      </c>
      <c r="AA5" s="776" t="s">
        <v>2906</v>
      </c>
      <c r="AB5" s="777" t="str">
        <f>'5.0'!V5</f>
        <v>FY2022.Q4</v>
      </c>
    </row>
    <row r="6" spans="4:29" s="778" customFormat="1" ht="18" customHeight="1">
      <c r="D6" s="779"/>
      <c r="E6" s="780" t="s">
        <v>1904</v>
      </c>
      <c r="F6" s="781"/>
      <c r="G6" s="781"/>
      <c r="H6" s="781"/>
      <c r="I6" s="781"/>
      <c r="J6" s="781"/>
      <c r="K6" s="781"/>
      <c r="L6" s="781"/>
      <c r="M6" s="781"/>
      <c r="N6" s="781"/>
      <c r="O6" s="781"/>
      <c r="P6" s="781"/>
      <c r="Q6" s="781"/>
      <c r="R6" s="781"/>
      <c r="S6" s="781"/>
      <c r="T6" s="782">
        <f>F10</f>
        <v>652725000</v>
      </c>
      <c r="U6" s="783">
        <f>T6</f>
        <v>652725000</v>
      </c>
      <c r="V6" s="782">
        <v>652725000</v>
      </c>
      <c r="W6" s="782">
        <v>652725000</v>
      </c>
      <c r="X6" s="784">
        <v>652725000</v>
      </c>
      <c r="Y6" s="784">
        <v>652725000</v>
      </c>
      <c r="Z6" s="784">
        <v>652725000</v>
      </c>
      <c r="AA6" s="784">
        <v>652725000</v>
      </c>
      <c r="AB6" s="785">
        <v>652725000</v>
      </c>
    </row>
    <row r="7" spans="4:29" s="778" customFormat="1" ht="18" customHeight="1">
      <c r="D7" s="779"/>
      <c r="E7" s="780" t="s">
        <v>1908</v>
      </c>
      <c r="F7" s="781"/>
      <c r="G7" s="781"/>
      <c r="H7" s="781"/>
      <c r="I7" s="781"/>
      <c r="J7" s="781"/>
      <c r="K7" s="781"/>
      <c r="L7" s="781"/>
      <c r="M7" s="781"/>
      <c r="N7" s="781"/>
      <c r="O7" s="781"/>
      <c r="P7" s="781"/>
      <c r="Q7" s="781"/>
      <c r="R7" s="781"/>
      <c r="S7" s="781"/>
      <c r="T7" s="786">
        <f>-SUM(H11:T11)</f>
        <v>-217575000</v>
      </c>
      <c r="U7" s="787">
        <f>T7-U11</f>
        <v>-217575000</v>
      </c>
      <c r="V7" s="786">
        <v>-217575000</v>
      </c>
      <c r="W7" s="786">
        <v>-217575000</v>
      </c>
      <c r="X7" s="788">
        <v>-217575000</v>
      </c>
      <c r="Y7" s="788">
        <v>-217575000</v>
      </c>
      <c r="Z7" s="788">
        <v>-217575000</v>
      </c>
      <c r="AA7" s="788">
        <v>-217575000</v>
      </c>
      <c r="AB7" s="785">
        <v>-217575000</v>
      </c>
    </row>
    <row r="8" spans="4:29" s="778" customFormat="1" ht="18" customHeight="1">
      <c r="D8" s="779"/>
      <c r="E8" s="780" t="s">
        <v>2034</v>
      </c>
      <c r="F8" s="781"/>
      <c r="G8" s="781"/>
      <c r="H8" s="781"/>
      <c r="I8" s="781"/>
      <c r="J8" s="781"/>
      <c r="K8" s="781"/>
      <c r="L8" s="781"/>
      <c r="M8" s="781"/>
      <c r="N8" s="781"/>
      <c r="O8" s="781"/>
      <c r="P8" s="781"/>
      <c r="Q8" s="781"/>
      <c r="R8" s="781"/>
      <c r="S8" s="781"/>
      <c r="T8" s="786">
        <f>-T6-T7</f>
        <v>-435150000</v>
      </c>
      <c r="U8" s="787">
        <f>T8</f>
        <v>-435150000</v>
      </c>
      <c r="V8" s="786">
        <v>-435150000</v>
      </c>
      <c r="W8" s="786">
        <v>-435150000</v>
      </c>
      <c r="X8" s="788">
        <v>-435150000</v>
      </c>
      <c r="Y8" s="788">
        <v>-435150000</v>
      </c>
      <c r="Z8" s="788">
        <v>-435150000</v>
      </c>
      <c r="AA8" s="788">
        <v>-435150000</v>
      </c>
      <c r="AB8" s="785">
        <v>-435150000</v>
      </c>
    </row>
    <row r="9" spans="4:29" s="778" customFormat="1" ht="18" customHeight="1">
      <c r="D9" s="779"/>
      <c r="E9" s="789" t="s">
        <v>2036</v>
      </c>
      <c r="F9" s="781"/>
      <c r="G9" s="781"/>
      <c r="H9" s="781"/>
      <c r="I9" s="781"/>
      <c r="J9" s="781"/>
      <c r="K9" s="781"/>
      <c r="L9" s="781"/>
      <c r="M9" s="781"/>
      <c r="N9" s="781"/>
      <c r="O9" s="781"/>
      <c r="P9" s="781"/>
      <c r="Q9" s="781"/>
      <c r="R9" s="781"/>
      <c r="S9" s="781"/>
      <c r="T9" s="782">
        <f>T6+T7+T8</f>
        <v>0</v>
      </c>
      <c r="U9" s="782">
        <f>U6+U7+U8</f>
        <v>0</v>
      </c>
      <c r="V9" s="782">
        <v>0</v>
      </c>
      <c r="W9" s="790"/>
      <c r="X9" s="791"/>
      <c r="Y9" s="791"/>
      <c r="Z9" s="791"/>
      <c r="AA9" s="791"/>
      <c r="AB9" s="785"/>
    </row>
    <row r="10" spans="4:29" ht="18" customHeight="1">
      <c r="D10" s="792"/>
      <c r="E10" s="793" t="s">
        <v>449</v>
      </c>
      <c r="F10" s="794">
        <v>652725000</v>
      </c>
      <c r="G10" s="794"/>
      <c r="H10" s="794">
        <f>$F$10-H11</f>
        <v>630967500</v>
      </c>
      <c r="I10" s="794">
        <f>$H$10-I11</f>
        <v>614649375</v>
      </c>
      <c r="J10" s="794">
        <f>$H$10-J11-I11</f>
        <v>598331250</v>
      </c>
      <c r="K10" s="794">
        <f>$H$10-K11-I11-J11</f>
        <v>582013125</v>
      </c>
      <c r="L10" s="794">
        <f>$H$10-L11-SUM(I11:K11)</f>
        <v>565695000</v>
      </c>
      <c r="M10" s="794">
        <f>$L$10-M11</f>
        <v>549376875</v>
      </c>
      <c r="N10" s="794">
        <f>$L$10-N11-M11</f>
        <v>533058750</v>
      </c>
      <c r="O10" s="794">
        <f>$L$10-O11-N11-M11</f>
        <v>516740625</v>
      </c>
      <c r="P10" s="794">
        <f>$L$10-P11-M11-N11-O11</f>
        <v>500422500</v>
      </c>
      <c r="Q10" s="794">
        <f>$P$10-Q11</f>
        <v>484104375</v>
      </c>
      <c r="R10" s="794">
        <f>$Q$10-R11</f>
        <v>467786250</v>
      </c>
      <c r="S10" s="794">
        <f>$R$10-S11</f>
        <v>451468125</v>
      </c>
      <c r="T10" s="794">
        <f>$S$10-T11</f>
        <v>435150000</v>
      </c>
      <c r="U10" s="795"/>
      <c r="V10" s="795"/>
      <c r="W10" s="795"/>
      <c r="X10" s="796"/>
      <c r="Y10" s="796"/>
      <c r="Z10" s="796"/>
      <c r="AA10" s="796"/>
      <c r="AB10" s="797"/>
      <c r="AC10" s="498"/>
    </row>
    <row r="11" spans="4:29" ht="18" customHeight="1">
      <c r="D11" s="792"/>
      <c r="E11" s="793" t="s">
        <v>450</v>
      </c>
      <c r="F11" s="798"/>
      <c r="G11" s="794">
        <v>120</v>
      </c>
      <c r="H11" s="794">
        <v>21757500</v>
      </c>
      <c r="I11" s="794">
        <f>ROUND($F$10/$G$11*3,0)</f>
        <v>16318125</v>
      </c>
      <c r="J11" s="794">
        <f t="shared" ref="J11:L12" si="0">I11</f>
        <v>16318125</v>
      </c>
      <c r="K11" s="794">
        <f t="shared" si="0"/>
        <v>16318125</v>
      </c>
      <c r="L11" s="794">
        <f t="shared" si="0"/>
        <v>16318125</v>
      </c>
      <c r="M11" s="794">
        <f>I11</f>
        <v>16318125</v>
      </c>
      <c r="N11" s="794">
        <f t="shared" ref="N11:P12" si="1">J11</f>
        <v>16318125</v>
      </c>
      <c r="O11" s="794">
        <f t="shared" si="1"/>
        <v>16318125</v>
      </c>
      <c r="P11" s="794">
        <f t="shared" si="1"/>
        <v>16318125</v>
      </c>
      <c r="Q11" s="794">
        <f>ROUND(+P11/3*3,)</f>
        <v>16318125</v>
      </c>
      <c r="R11" s="794">
        <f>+ROUND(Q11,)</f>
        <v>16318125</v>
      </c>
      <c r="S11" s="794">
        <f>R11</f>
        <v>16318125</v>
      </c>
      <c r="T11" s="794">
        <f>S11</f>
        <v>16318125</v>
      </c>
      <c r="U11" s="794"/>
      <c r="V11" s="794"/>
      <c r="W11" s="794"/>
      <c r="X11" s="799"/>
      <c r="Y11" s="799"/>
      <c r="Z11" s="799"/>
      <c r="AA11" s="799"/>
      <c r="AB11" s="797"/>
    </row>
    <row r="12" spans="4:29" ht="18" customHeight="1">
      <c r="D12" s="792"/>
      <c r="E12" s="793" t="s">
        <v>451</v>
      </c>
      <c r="F12" s="798">
        <v>0.34810000000000002</v>
      </c>
      <c r="G12" s="794"/>
      <c r="H12" s="794">
        <v>7573786</v>
      </c>
      <c r="I12" s="794">
        <f>ROUND($F$13/$G$11*3,0)</f>
        <v>5680339</v>
      </c>
      <c r="J12" s="794">
        <f t="shared" si="0"/>
        <v>5680339</v>
      </c>
      <c r="K12" s="794">
        <f t="shared" si="0"/>
        <v>5680339</v>
      </c>
      <c r="L12" s="794">
        <f t="shared" si="0"/>
        <v>5680339</v>
      </c>
      <c r="M12" s="794">
        <f>I12</f>
        <v>5680339</v>
      </c>
      <c r="N12" s="794">
        <f t="shared" si="1"/>
        <v>5680339</v>
      </c>
      <c r="O12" s="794">
        <f t="shared" si="1"/>
        <v>5680339</v>
      </c>
      <c r="P12" s="794">
        <f t="shared" si="1"/>
        <v>5680339</v>
      </c>
      <c r="Q12" s="794">
        <f>ROUND(+P12/3*3,)</f>
        <v>5680339</v>
      </c>
      <c r="R12" s="794">
        <f>+ROUND(Q12,)</f>
        <v>5680339</v>
      </c>
      <c r="S12" s="794">
        <f>R12</f>
        <v>5680339</v>
      </c>
      <c r="T12" s="794">
        <f>S13</f>
        <v>157156058</v>
      </c>
      <c r="U12" s="794"/>
      <c r="V12" s="794"/>
      <c r="W12" s="794"/>
      <c r="X12" s="799"/>
      <c r="Y12" s="799"/>
      <c r="Z12" s="799"/>
      <c r="AA12" s="799"/>
      <c r="AB12" s="797"/>
    </row>
    <row r="13" spans="4:29" ht="18" customHeight="1" thickBot="1">
      <c r="D13" s="800"/>
      <c r="E13" s="801" t="s">
        <v>452</v>
      </c>
      <c r="F13" s="802">
        <f>ROUND(F10*F12,0)</f>
        <v>227213573</v>
      </c>
      <c r="G13" s="802"/>
      <c r="H13" s="802">
        <f>$F$13-H12</f>
        <v>219639787</v>
      </c>
      <c r="I13" s="802">
        <f>H13-I12</f>
        <v>213959448</v>
      </c>
      <c r="J13" s="802">
        <f>H13-J12-I12</f>
        <v>208279109</v>
      </c>
      <c r="K13" s="802">
        <f>$H$13-K12-J12-I12</f>
        <v>202598770</v>
      </c>
      <c r="L13" s="802">
        <f>$H$13-L12-K12-J12-I12</f>
        <v>196918431</v>
      </c>
      <c r="M13" s="802">
        <f>L13-M12</f>
        <v>191238092</v>
      </c>
      <c r="N13" s="802">
        <f>L13-N12-M12</f>
        <v>185557753</v>
      </c>
      <c r="O13" s="802">
        <f>L13-O12-M12-N12</f>
        <v>179877414</v>
      </c>
      <c r="P13" s="802">
        <f>L13-SUM(M12:P12)</f>
        <v>174197075</v>
      </c>
      <c r="Q13" s="802">
        <f>P13-Q12</f>
        <v>168516736</v>
      </c>
      <c r="R13" s="802">
        <f>Q13-R12</f>
        <v>162836397</v>
      </c>
      <c r="S13" s="802">
        <f>R13-S12</f>
        <v>157156058</v>
      </c>
      <c r="T13" s="802">
        <f>S13-T12</f>
        <v>0</v>
      </c>
      <c r="U13" s="802"/>
      <c r="V13" s="802"/>
      <c r="W13" s="802"/>
      <c r="X13" s="803"/>
      <c r="Y13" s="803"/>
      <c r="Z13" s="803"/>
      <c r="AA13" s="803"/>
      <c r="AB13" s="804"/>
    </row>
    <row r="15" spans="4:29" s="772" customFormat="1" ht="18" customHeight="1" thickBot="1">
      <c r="D15" s="772" t="s">
        <v>454</v>
      </c>
      <c r="F15" s="494"/>
      <c r="G15" s="494"/>
      <c r="H15" s="494"/>
      <c r="I15" s="494"/>
      <c r="J15" s="498"/>
      <c r="K15" s="494"/>
      <c r="L15" s="494"/>
      <c r="M15" s="494"/>
      <c r="N15" s="494"/>
    </row>
    <row r="16" spans="4:29" s="778" customFormat="1" ht="18" customHeight="1">
      <c r="D16" s="805" t="s">
        <v>393</v>
      </c>
      <c r="E16" s="2112" t="s">
        <v>19</v>
      </c>
      <c r="F16" s="2112" t="s">
        <v>430</v>
      </c>
      <c r="G16" s="2112" t="s">
        <v>431</v>
      </c>
      <c r="H16" s="806" t="str">
        <f>H5</f>
        <v xml:space="preserve">FY2017. Q4 </v>
      </c>
      <c r="I16" s="806" t="str">
        <f t="shared" ref="I16:AB16" si="2">I5</f>
        <v>FY2018.Q1</v>
      </c>
      <c r="J16" s="806" t="str">
        <f t="shared" si="2"/>
        <v>FY2018.Q2</v>
      </c>
      <c r="K16" s="806" t="str">
        <f t="shared" si="2"/>
        <v>FY2018.Q3</v>
      </c>
      <c r="L16" s="806" t="str">
        <f t="shared" si="2"/>
        <v>FY2018.Q4</v>
      </c>
      <c r="M16" s="806" t="str">
        <f t="shared" si="2"/>
        <v>FY2019.Q1</v>
      </c>
      <c r="N16" s="806" t="str">
        <f t="shared" si="2"/>
        <v>FY2019.Q2</v>
      </c>
      <c r="O16" s="806" t="str">
        <f t="shared" si="2"/>
        <v>FY2019.Q3</v>
      </c>
      <c r="P16" s="806" t="str">
        <f t="shared" si="2"/>
        <v>FY2019.Q4</v>
      </c>
      <c r="Q16" s="806" t="str">
        <f t="shared" si="2"/>
        <v>FY2020.Q1</v>
      </c>
      <c r="R16" s="806" t="str">
        <f t="shared" si="2"/>
        <v>FY2020.Q2</v>
      </c>
      <c r="S16" s="806" t="str">
        <f t="shared" si="2"/>
        <v>FY2020.Q3</v>
      </c>
      <c r="T16" s="806" t="str">
        <f t="shared" si="2"/>
        <v>FY2020.Q4</v>
      </c>
      <c r="U16" s="806" t="str">
        <f t="shared" si="2"/>
        <v>FY2021.Q1</v>
      </c>
      <c r="V16" s="806" t="str">
        <f t="shared" si="2"/>
        <v>FY2021.Q2</v>
      </c>
      <c r="W16" s="806" t="str">
        <f t="shared" si="2"/>
        <v>FY2021.Q3</v>
      </c>
      <c r="X16" s="806" t="str">
        <f t="shared" si="2"/>
        <v>FY2021.Q4</v>
      </c>
      <c r="Y16" s="807" t="s">
        <v>2576</v>
      </c>
      <c r="Z16" s="807" t="s">
        <v>2814</v>
      </c>
      <c r="AA16" s="807" t="s">
        <v>2907</v>
      </c>
      <c r="AB16" s="808" t="str">
        <f t="shared" si="2"/>
        <v>FY2022.Q4</v>
      </c>
    </row>
    <row r="17" spans="4:31" s="778" customFormat="1" ht="18" customHeight="1">
      <c r="D17" s="809" t="s">
        <v>455</v>
      </c>
      <c r="E17" s="2113"/>
      <c r="F17" s="2113"/>
      <c r="G17" s="2113"/>
      <c r="H17" s="810">
        <v>9.4910999999999994</v>
      </c>
      <c r="I17" s="810">
        <v>10.0146</v>
      </c>
      <c r="J17" s="810">
        <v>10.1479</v>
      </c>
      <c r="K17" s="810">
        <v>9.8117000000000001</v>
      </c>
      <c r="L17" s="810">
        <v>10.1318</v>
      </c>
      <c r="M17" s="810">
        <v>10.282400000000001</v>
      </c>
      <c r="N17" s="810">
        <v>10.733499999999999</v>
      </c>
      <c r="O17" s="810">
        <v>11.134</v>
      </c>
      <c r="P17" s="810">
        <v>10.6347</v>
      </c>
      <c r="Q17" s="810">
        <v>11.308299999999999</v>
      </c>
      <c r="R17" s="810">
        <v>11.160500000000001</v>
      </c>
      <c r="S17" s="811">
        <v>11.1206</v>
      </c>
      <c r="T17" s="811">
        <v>10.5426</v>
      </c>
      <c r="U17" s="811">
        <v>10.273300000000001</v>
      </c>
      <c r="V17" s="810">
        <v>10.5426</v>
      </c>
      <c r="W17" s="810">
        <v>10.5426</v>
      </c>
      <c r="X17" s="812">
        <v>10.5426</v>
      </c>
      <c r="Y17" s="812">
        <v>10.5426</v>
      </c>
      <c r="Z17" s="812">
        <v>10.5426</v>
      </c>
      <c r="AA17" s="812">
        <v>10.5426</v>
      </c>
      <c r="AB17" s="813">
        <v>10.5426</v>
      </c>
    </row>
    <row r="18" spans="4:31" s="778" customFormat="1" ht="18" customHeight="1">
      <c r="D18" s="809" t="s">
        <v>1903</v>
      </c>
      <c r="E18" s="2114"/>
      <c r="F18" s="2114"/>
      <c r="G18" s="2114"/>
      <c r="H18" s="810">
        <v>9.9062999999999999</v>
      </c>
      <c r="I18" s="810">
        <v>9.8903999999999996</v>
      </c>
      <c r="J18" s="810">
        <v>9.8918999999999997</v>
      </c>
      <c r="K18" s="810">
        <v>9.952</v>
      </c>
      <c r="L18" s="810">
        <v>9.9626999999999999</v>
      </c>
      <c r="M18" s="810">
        <v>10.219900000000001</v>
      </c>
      <c r="N18" s="810">
        <v>10.416499999999999</v>
      </c>
      <c r="O18" s="810">
        <v>10.6576</v>
      </c>
      <c r="P18" s="810">
        <v>10.6976</v>
      </c>
      <c r="Q18" s="810">
        <v>10.9626</v>
      </c>
      <c r="R18" s="810">
        <v>11.1532</v>
      </c>
      <c r="S18" s="811">
        <v>11.167199999999999</v>
      </c>
      <c r="T18" s="811">
        <v>11.050700000000001</v>
      </c>
      <c r="U18" s="811">
        <v>10.510300000000001</v>
      </c>
      <c r="V18" s="810">
        <v>11.050700000000001</v>
      </c>
      <c r="W18" s="810">
        <v>11.050700000000001</v>
      </c>
      <c r="X18" s="812">
        <v>11.050700000000001</v>
      </c>
      <c r="Y18" s="812">
        <v>11.050700000000001</v>
      </c>
      <c r="Z18" s="812">
        <v>11.050700000000001</v>
      </c>
      <c r="AA18" s="812">
        <v>11.050700000000001</v>
      </c>
      <c r="AB18" s="813">
        <v>11.050700000000001</v>
      </c>
    </row>
    <row r="19" spans="4:31" ht="18" customHeight="1">
      <c r="D19" s="814" t="s">
        <v>486</v>
      </c>
      <c r="E19" s="815" t="s">
        <v>1904</v>
      </c>
      <c r="F19" s="609"/>
      <c r="G19" s="609"/>
      <c r="H19" s="609"/>
      <c r="I19" s="609"/>
      <c r="J19" s="609"/>
      <c r="K19" s="609"/>
      <c r="L19" s="609"/>
      <c r="M19" s="609"/>
      <c r="N19" s="609"/>
      <c r="O19" s="609"/>
      <c r="P19" s="609"/>
      <c r="Q19" s="816"/>
      <c r="R19" s="817">
        <f t="shared" ref="R19:W19" si="3">ROUND($F$10*R17,)</f>
        <v>7284737363</v>
      </c>
      <c r="S19" s="817">
        <f t="shared" si="3"/>
        <v>7258693635</v>
      </c>
      <c r="T19" s="817">
        <f t="shared" si="3"/>
        <v>6881418585</v>
      </c>
      <c r="U19" s="817">
        <f t="shared" si="3"/>
        <v>6705639743</v>
      </c>
      <c r="V19" s="817">
        <f t="shared" si="3"/>
        <v>6881418585</v>
      </c>
      <c r="W19" s="817">
        <f t="shared" si="3"/>
        <v>6881418585</v>
      </c>
      <c r="X19" s="818">
        <v>6881418585</v>
      </c>
      <c r="Y19" s="818">
        <v>6881418585</v>
      </c>
      <c r="Z19" s="818">
        <v>6881418585</v>
      </c>
      <c r="AA19" s="818">
        <v>6881418585</v>
      </c>
      <c r="AB19" s="819">
        <v>6881418585</v>
      </c>
      <c r="AD19" s="820"/>
      <c r="AE19" s="820"/>
    </row>
    <row r="20" spans="4:31" ht="18" customHeight="1">
      <c r="D20" s="814" t="s">
        <v>1906</v>
      </c>
      <c r="E20" s="815" t="s">
        <v>1908</v>
      </c>
      <c r="F20" s="609"/>
      <c r="G20" s="609"/>
      <c r="H20" s="609"/>
      <c r="I20" s="609"/>
      <c r="J20" s="609"/>
      <c r="K20" s="609"/>
      <c r="L20" s="609"/>
      <c r="M20" s="609"/>
      <c r="N20" s="609"/>
      <c r="O20" s="609"/>
      <c r="P20" s="609"/>
      <c r="Q20" s="816"/>
      <c r="R20" s="821">
        <f>+R23-R19</f>
        <v>-2064008920</v>
      </c>
      <c r="S20" s="821">
        <f>+S23-S19</f>
        <v>-2238097204</v>
      </c>
      <c r="T20" s="821">
        <f>+T23-T19</f>
        <v>-2293806195</v>
      </c>
      <c r="U20" s="821">
        <f>ROUND(U7*U17,)</f>
        <v>-2235213248</v>
      </c>
      <c r="V20" s="821">
        <f>ROUND(V7*V17,)</f>
        <v>-2293806195</v>
      </c>
      <c r="W20" s="821">
        <f>ROUND(W7*W17,)</f>
        <v>-2293806195</v>
      </c>
      <c r="X20" s="822">
        <v>-2293806195</v>
      </c>
      <c r="Y20" s="822">
        <v>-2293806195</v>
      </c>
      <c r="Z20" s="822">
        <v>-2293806195</v>
      </c>
      <c r="AA20" s="822">
        <v>-2293806195</v>
      </c>
      <c r="AB20" s="823">
        <v>-2293806195</v>
      </c>
      <c r="AD20" s="820"/>
      <c r="AE20" s="820"/>
    </row>
    <row r="21" spans="4:31" ht="18" customHeight="1">
      <c r="D21" s="814" t="s">
        <v>2035</v>
      </c>
      <c r="E21" s="815" t="s">
        <v>2034</v>
      </c>
      <c r="F21" s="609"/>
      <c r="G21" s="609"/>
      <c r="H21" s="609"/>
      <c r="I21" s="609"/>
      <c r="J21" s="609"/>
      <c r="K21" s="609"/>
      <c r="L21" s="609"/>
      <c r="M21" s="609"/>
      <c r="N21" s="609"/>
      <c r="O21" s="609"/>
      <c r="P21" s="609"/>
      <c r="Q21" s="816"/>
      <c r="R21" s="821"/>
      <c r="S21" s="821"/>
      <c r="T21" s="821">
        <f>-T10*T17</f>
        <v>-4587612390</v>
      </c>
      <c r="U21" s="821">
        <f>ROUND(U8*U17,)</f>
        <v>-4470426495</v>
      </c>
      <c r="V21" s="821">
        <f>ROUND(V8*V17,)</f>
        <v>-4587612390</v>
      </c>
      <c r="W21" s="821">
        <f>ROUND(W8*W17,)</f>
        <v>-4587612390</v>
      </c>
      <c r="X21" s="822">
        <v>-4587612390</v>
      </c>
      <c r="Y21" s="822">
        <v>-4587612390</v>
      </c>
      <c r="Z21" s="822">
        <v>-4587612390</v>
      </c>
      <c r="AA21" s="822">
        <v>-4587612390</v>
      </c>
      <c r="AB21" s="823">
        <v>-4587612390</v>
      </c>
    </row>
    <row r="22" spans="4:31" ht="18" customHeight="1">
      <c r="D22" s="814" t="s">
        <v>2018</v>
      </c>
      <c r="E22" s="815" t="s">
        <v>1845</v>
      </c>
      <c r="F22" s="609"/>
      <c r="G22" s="609"/>
      <c r="H22" s="609"/>
      <c r="I22" s="609"/>
      <c r="J22" s="609"/>
      <c r="K22" s="609"/>
      <c r="L22" s="609"/>
      <c r="M22" s="609"/>
      <c r="N22" s="609"/>
      <c r="O22" s="609"/>
      <c r="P22" s="609"/>
      <c r="Q22" s="816"/>
      <c r="R22" s="816"/>
      <c r="S22" s="816"/>
      <c r="T22" s="816">
        <f>ROUND(T10*T18,)</f>
        <v>4808712105</v>
      </c>
      <c r="U22" s="816"/>
      <c r="V22" s="815"/>
      <c r="W22" s="815"/>
      <c r="X22" s="824"/>
      <c r="Y22" s="824"/>
      <c r="Z22" s="824"/>
      <c r="AA22" s="824"/>
      <c r="AB22" s="825"/>
    </row>
    <row r="23" spans="4:31" ht="18" customHeight="1">
      <c r="D23" s="814">
        <v>10020617</v>
      </c>
      <c r="E23" s="815" t="s">
        <v>449</v>
      </c>
      <c r="F23" s="609">
        <v>6676985115</v>
      </c>
      <c r="G23" s="609"/>
      <c r="H23" s="609">
        <f t="shared" ref="H23:T23" si="4">ROUND(H10*H17,0)</f>
        <v>5988575639</v>
      </c>
      <c r="I23" s="609">
        <f t="shared" si="4"/>
        <v>6155467631</v>
      </c>
      <c r="J23" s="609">
        <f t="shared" si="4"/>
        <v>6071805692</v>
      </c>
      <c r="K23" s="609">
        <f t="shared" si="4"/>
        <v>5710538179</v>
      </c>
      <c r="L23" s="609">
        <f t="shared" si="4"/>
        <v>5731508601</v>
      </c>
      <c r="M23" s="609">
        <f t="shared" si="4"/>
        <v>5648912780</v>
      </c>
      <c r="N23" s="609">
        <f t="shared" si="4"/>
        <v>5721586093</v>
      </c>
      <c r="O23" s="609">
        <f t="shared" si="4"/>
        <v>5753390119</v>
      </c>
      <c r="P23" s="609">
        <f t="shared" si="4"/>
        <v>5321843161</v>
      </c>
      <c r="Q23" s="816">
        <f t="shared" si="4"/>
        <v>5474397504</v>
      </c>
      <c r="R23" s="816">
        <f t="shared" si="4"/>
        <v>5220728443</v>
      </c>
      <c r="S23" s="816">
        <f t="shared" si="4"/>
        <v>5020596431</v>
      </c>
      <c r="T23" s="816">
        <f t="shared" si="4"/>
        <v>4587612390</v>
      </c>
      <c r="U23" s="816"/>
      <c r="V23" s="815"/>
      <c r="W23" s="815"/>
      <c r="X23" s="824"/>
      <c r="Y23" s="824"/>
      <c r="Z23" s="824"/>
      <c r="AA23" s="824"/>
      <c r="AB23" s="825"/>
      <c r="AD23" s="820"/>
      <c r="AE23" s="820"/>
    </row>
    <row r="24" spans="4:31" ht="18" customHeight="1">
      <c r="D24" s="814">
        <v>40040114</v>
      </c>
      <c r="E24" s="815" t="s">
        <v>450</v>
      </c>
      <c r="F24" s="609"/>
      <c r="G24" s="609">
        <v>120</v>
      </c>
      <c r="H24" s="609">
        <f t="shared" ref="H24:Q24" si="5">ROUND(H11*H18,0)</f>
        <v>215536322</v>
      </c>
      <c r="I24" s="609">
        <f t="shared" si="5"/>
        <v>161392784</v>
      </c>
      <c r="J24" s="609">
        <f t="shared" si="5"/>
        <v>161417261</v>
      </c>
      <c r="K24" s="609">
        <f t="shared" si="5"/>
        <v>162397980</v>
      </c>
      <c r="L24" s="609">
        <f t="shared" si="5"/>
        <v>162572584</v>
      </c>
      <c r="M24" s="609">
        <f t="shared" si="5"/>
        <v>166769606</v>
      </c>
      <c r="N24" s="609">
        <f t="shared" si="5"/>
        <v>169977749</v>
      </c>
      <c r="O24" s="609">
        <f t="shared" si="5"/>
        <v>173912049</v>
      </c>
      <c r="P24" s="609">
        <f t="shared" si="5"/>
        <v>174564774</v>
      </c>
      <c r="Q24" s="816">
        <f t="shared" si="5"/>
        <v>178889077</v>
      </c>
      <c r="R24" s="816">
        <f>ROUND((R11+Q11)*R$18-Q24,0)</f>
        <v>185109547</v>
      </c>
      <c r="S24" s="816">
        <f>ROUND((S11+R11+Q11)*S$18-R24-Q24,0)</f>
        <v>182684673</v>
      </c>
      <c r="T24" s="816">
        <f>ROUND((T11+S11+R11)*T$18-S24-R24,0)</f>
        <v>173185892</v>
      </c>
      <c r="U24" s="816"/>
      <c r="V24" s="815"/>
      <c r="W24" s="815"/>
      <c r="X24" s="824"/>
      <c r="Y24" s="824"/>
      <c r="Z24" s="824"/>
      <c r="AA24" s="824"/>
      <c r="AB24" s="825"/>
      <c r="AE24" s="498"/>
    </row>
    <row r="25" spans="4:31" ht="18" customHeight="1">
      <c r="D25" s="814">
        <v>40080101</v>
      </c>
      <c r="E25" s="815" t="s">
        <v>451</v>
      </c>
      <c r="F25" s="609">
        <v>0.34810000000000002</v>
      </c>
      <c r="G25" s="609"/>
      <c r="H25" s="609">
        <f t="shared" ref="H25:Q25" si="6">ROUND(H12*H18,0)</f>
        <v>75028196</v>
      </c>
      <c r="I25" s="609">
        <f t="shared" si="6"/>
        <v>56180825</v>
      </c>
      <c r="J25" s="609">
        <f t="shared" si="6"/>
        <v>56189345</v>
      </c>
      <c r="K25" s="609">
        <f t="shared" si="6"/>
        <v>56530734</v>
      </c>
      <c r="L25" s="609">
        <f t="shared" si="6"/>
        <v>56591513</v>
      </c>
      <c r="M25" s="609">
        <f t="shared" si="6"/>
        <v>58052497</v>
      </c>
      <c r="N25" s="609">
        <f t="shared" si="6"/>
        <v>59169251</v>
      </c>
      <c r="O25" s="609">
        <f t="shared" si="6"/>
        <v>60538781</v>
      </c>
      <c r="P25" s="609">
        <f t="shared" si="6"/>
        <v>60765994</v>
      </c>
      <c r="Q25" s="816">
        <f t="shared" si="6"/>
        <v>62271284</v>
      </c>
      <c r="R25" s="816">
        <f>ROUND((R12+Q12)*R$18-Q25,0)</f>
        <v>64436630</v>
      </c>
      <c r="S25" s="816">
        <f>ROUND((S12+R12+Q12)*S$18-R25-Q25,0)</f>
        <v>63592531</v>
      </c>
      <c r="T25" s="816">
        <f>ROUND((T12+S12+R12)*T$18-S25-R25,0)</f>
        <v>1734198734</v>
      </c>
      <c r="U25" s="816"/>
      <c r="V25" s="815"/>
      <c r="W25" s="815"/>
      <c r="X25" s="824"/>
      <c r="Y25" s="824"/>
      <c r="Z25" s="824"/>
      <c r="AA25" s="824"/>
      <c r="AB25" s="825"/>
    </row>
    <row r="26" spans="4:31" ht="18" customHeight="1">
      <c r="D26" s="814">
        <v>20020501</v>
      </c>
      <c r="E26" s="815" t="s">
        <v>452</v>
      </c>
      <c r="F26" s="609">
        <v>2324258519</v>
      </c>
      <c r="G26" s="609"/>
      <c r="H26" s="609">
        <f t="shared" ref="H26:T26" si="7">ROUND(H13*H17,0)</f>
        <v>2084623182</v>
      </c>
      <c r="I26" s="609">
        <f t="shared" si="7"/>
        <v>2142718288</v>
      </c>
      <c r="J26" s="609">
        <f t="shared" si="7"/>
        <v>2113595570</v>
      </c>
      <c r="K26" s="609">
        <f t="shared" si="7"/>
        <v>1987838352</v>
      </c>
      <c r="L26" s="609">
        <f t="shared" si="7"/>
        <v>1995138159</v>
      </c>
      <c r="M26" s="609">
        <f t="shared" si="7"/>
        <v>1966386557</v>
      </c>
      <c r="N26" s="609">
        <f t="shared" si="7"/>
        <v>1991684142</v>
      </c>
      <c r="O26" s="609">
        <f t="shared" si="7"/>
        <v>2002755127</v>
      </c>
      <c r="P26" s="609">
        <f t="shared" si="7"/>
        <v>1852533634</v>
      </c>
      <c r="Q26" s="816">
        <f t="shared" si="7"/>
        <v>1905637806</v>
      </c>
      <c r="R26" s="816">
        <f t="shared" si="7"/>
        <v>1817335609</v>
      </c>
      <c r="S26" s="816">
        <f t="shared" si="7"/>
        <v>1747669659</v>
      </c>
      <c r="T26" s="816">
        <f t="shared" si="7"/>
        <v>0</v>
      </c>
      <c r="U26" s="816"/>
      <c r="V26" s="815"/>
      <c r="W26" s="815"/>
      <c r="X26" s="824"/>
      <c r="Y26" s="824"/>
      <c r="Z26" s="824"/>
      <c r="AA26" s="824"/>
      <c r="AB26" s="825"/>
    </row>
    <row r="27" spans="4:31" ht="18" customHeight="1" thickBot="1">
      <c r="D27" s="826" t="s">
        <v>203</v>
      </c>
      <c r="E27" s="827" t="s">
        <v>204</v>
      </c>
      <c r="F27" s="621"/>
      <c r="G27" s="621"/>
      <c r="H27" s="621">
        <f>SUM(H23:H24)-F23+F26-H26-H25</f>
        <v>-308266013</v>
      </c>
      <c r="I27" s="621">
        <f t="shared" ref="I27:S27" si="8">SUM(I23:I24)-H23+H26-I26-I25</f>
        <v>214008845</v>
      </c>
      <c r="J27" s="621">
        <f t="shared" si="8"/>
        <v>50688695</v>
      </c>
      <c r="K27" s="621">
        <f t="shared" si="8"/>
        <v>-129643049</v>
      </c>
      <c r="L27" s="621">
        <f t="shared" si="8"/>
        <v>119651686</v>
      </c>
      <c r="M27" s="621">
        <f t="shared" si="8"/>
        <v>54872890</v>
      </c>
      <c r="N27" s="621">
        <f t="shared" si="8"/>
        <v>158184226</v>
      </c>
      <c r="O27" s="621">
        <f t="shared" si="8"/>
        <v>134106309</v>
      </c>
      <c r="P27" s="621">
        <f t="shared" si="8"/>
        <v>-167526685</v>
      </c>
      <c r="Q27" s="828">
        <f t="shared" si="8"/>
        <v>216067964</v>
      </c>
      <c r="R27" s="828">
        <f t="shared" si="8"/>
        <v>-44693947</v>
      </c>
      <c r="S27" s="828">
        <f t="shared" si="8"/>
        <v>-11373920</v>
      </c>
      <c r="T27" s="828">
        <f>SUM(T23:T24)-S23+S26-T26-T25+T22+T21</f>
        <v>-25227509</v>
      </c>
      <c r="U27" s="828"/>
      <c r="V27" s="827"/>
      <c r="W27" s="827"/>
      <c r="X27" s="829"/>
      <c r="Y27" s="829"/>
      <c r="Z27" s="829"/>
      <c r="AA27" s="829"/>
      <c r="AB27" s="830"/>
    </row>
    <row r="28" spans="4:31" s="778" customFormat="1" ht="18" hidden="1" customHeight="1">
      <c r="D28" s="831" t="s">
        <v>1889</v>
      </c>
      <c r="E28" s="770"/>
      <c r="F28" s="498"/>
      <c r="G28" s="498"/>
      <c r="H28" s="832">
        <v>9.9062999999999999</v>
      </c>
      <c r="I28" s="832">
        <v>9.8903999999999996</v>
      </c>
      <c r="J28" s="832">
        <v>9.8918999999999997</v>
      </c>
      <c r="K28" s="832">
        <v>9.952</v>
      </c>
      <c r="L28" s="832">
        <v>9.9626999999999999</v>
      </c>
      <c r="M28" s="832">
        <v>10.219900000000001</v>
      </c>
      <c r="N28" s="832">
        <v>10.416499999999999</v>
      </c>
      <c r="O28" s="832">
        <v>10.6576</v>
      </c>
      <c r="P28" s="832">
        <v>10.6976</v>
      </c>
      <c r="Q28" s="832">
        <v>10.9626</v>
      </c>
      <c r="R28" s="832">
        <v>11.132899999999999</v>
      </c>
      <c r="S28" s="833"/>
      <c r="T28" s="833"/>
      <c r="U28" s="833"/>
      <c r="V28" s="833"/>
      <c r="W28" s="833"/>
      <c r="X28" s="834"/>
      <c r="Y28" s="834"/>
      <c r="Z28" s="834"/>
      <c r="AA28" s="834"/>
      <c r="AB28" s="835"/>
    </row>
    <row r="29" spans="4:31" ht="18" hidden="1" customHeight="1">
      <c r="D29" s="836"/>
    </row>
    <row r="30" spans="4:31" ht="18" hidden="1" customHeight="1">
      <c r="D30" s="836"/>
      <c r="H30" s="609">
        <f>ROUND(+H$28*H11,)</f>
        <v>215536322</v>
      </c>
      <c r="I30" s="609">
        <f>ROUND(+I$28*I11,)</f>
        <v>161392784</v>
      </c>
      <c r="J30" s="609">
        <f>ROUND(+J$28*SUM($I11:J11)-SUM($I30:I30),)</f>
        <v>161441737</v>
      </c>
      <c r="K30" s="609">
        <f>ROUND(+K$28*SUM($I11:K11)-SUM($I30:J30),)</f>
        <v>164359419</v>
      </c>
      <c r="L30" s="609">
        <f>ROUND(+L$28*SUM($I11:L11)-SUM($I30:K30),)</f>
        <v>163096396</v>
      </c>
      <c r="M30" s="609">
        <f>ROUND(+M$28*M11,)</f>
        <v>166769606</v>
      </c>
      <c r="N30" s="609">
        <f>ROUND(+N$28*SUM($M11:N11)-SUM($M30:M30),)</f>
        <v>173185892</v>
      </c>
      <c r="O30" s="609">
        <f>ROUND(+O$28*SUM($M11:O11)-SUM($M30:N30),)</f>
        <v>181780649</v>
      </c>
      <c r="P30" s="609">
        <f>ROUND(+P$28*SUM($M11:P11)-SUM($M30:O30),)</f>
        <v>176522949</v>
      </c>
      <c r="Q30" s="609">
        <f>ROUND(+Q$28*Q11,)</f>
        <v>178889077</v>
      </c>
      <c r="R30" s="609">
        <f>ROUND(+R$28*SUM($Q11:R11)-SUM($Q30:Q30),)</f>
        <v>184447031</v>
      </c>
      <c r="S30" s="609">
        <f>ROUND(+S$28*SUM($Q11:S11)-SUM($Q30:R30),)</f>
        <v>-363336108</v>
      </c>
      <c r="T30" s="609">
        <f>ROUND(+T$28*SUM($Q11:T11)-SUM($Q30:S30),)</f>
        <v>0</v>
      </c>
      <c r="U30" s="609"/>
      <c r="V30" s="609"/>
      <c r="W30" s="609"/>
      <c r="X30" s="609"/>
      <c r="Y30" s="609"/>
      <c r="Z30" s="609"/>
      <c r="AA30" s="609"/>
      <c r="AB30" s="609"/>
    </row>
    <row r="31" spans="4:31" ht="18" hidden="1" customHeight="1">
      <c r="D31" s="836"/>
      <c r="H31" s="609">
        <f>ROUND(+H$28*H12,)</f>
        <v>75028196</v>
      </c>
      <c r="I31" s="609">
        <f>ROUND(+I$28*I12,)</f>
        <v>56180825</v>
      </c>
      <c r="J31" s="609">
        <f>ROUND(+J$28*SUM($I12:J12)-SUM($I31:I31),)</f>
        <v>56197866</v>
      </c>
      <c r="K31" s="609">
        <f>ROUND(+K$28*SUM($I12:K12)-SUM($I31:J31),)</f>
        <v>57213510</v>
      </c>
      <c r="L31" s="609">
        <f>ROUND(+L$28*SUM($I12:L12)-SUM($I31:K31),)</f>
        <v>56773852</v>
      </c>
      <c r="M31" s="609">
        <f>ROUND(+M$28*M12,)</f>
        <v>58052497</v>
      </c>
      <c r="N31" s="609">
        <f>ROUND(+N$28*SUM($M12:N12)-SUM($M31:M31),)</f>
        <v>60286005</v>
      </c>
      <c r="O31" s="609">
        <f>ROUND(+O$28*SUM($M12:O12)-SUM($M31:N31),)</f>
        <v>63277841</v>
      </c>
      <c r="P31" s="609">
        <f>ROUND(+P$28*SUM($M12:P12)-SUM($M31:O31),)</f>
        <v>61447635</v>
      </c>
      <c r="Q31" s="609">
        <f>ROUND(+Q$28*Q12,)</f>
        <v>62271284</v>
      </c>
      <c r="R31" s="609">
        <f>ROUND(+R$28*SUM($Q12:R12)-SUM($Q31:Q31),)</f>
        <v>64206008</v>
      </c>
      <c r="S31" s="609">
        <f>ROUND(+S$28*SUM($Q12:S12)-SUM($Q31:R31),)</f>
        <v>-126477292</v>
      </c>
      <c r="T31" s="609">
        <f>ROUND(+T$28*SUM($Q12:T12)-SUM($Q31:S31),)</f>
        <v>0</v>
      </c>
      <c r="U31" s="609"/>
      <c r="V31" s="609"/>
      <c r="W31" s="609"/>
      <c r="X31" s="609"/>
      <c r="Y31" s="609"/>
      <c r="Z31" s="609"/>
      <c r="AA31" s="609"/>
      <c r="AB31" s="609"/>
    </row>
    <row r="32" spans="4:31" ht="18" hidden="1" customHeight="1">
      <c r="D32" s="836"/>
      <c r="Q32" s="837"/>
      <c r="R32" s="837"/>
    </row>
    <row r="33" spans="4:22" ht="18" hidden="1" customHeight="1">
      <c r="D33" s="836"/>
      <c r="P33" s="498"/>
      <c r="R33" s="837"/>
    </row>
    <row r="34" spans="4:22" ht="18" hidden="1" customHeight="1">
      <c r="P34" s="498"/>
      <c r="R34" s="837"/>
    </row>
    <row r="35" spans="4:22" ht="18" customHeight="1">
      <c r="P35" s="820"/>
      <c r="R35" s="837"/>
      <c r="S35" s="837"/>
      <c r="T35" s="837"/>
      <c r="V35" s="837"/>
    </row>
    <row r="36" spans="4:22" ht="18" customHeight="1">
      <c r="R36" s="837"/>
      <c r="T36" s="498"/>
      <c r="U36" s="820"/>
    </row>
    <row r="37" spans="4:22" ht="18" customHeight="1">
      <c r="R37" s="837"/>
      <c r="S37" s="837"/>
    </row>
    <row r="38" spans="4:22" ht="18" customHeight="1">
      <c r="R38" s="837"/>
    </row>
    <row r="39" spans="4:22" ht="18" customHeight="1">
      <c r="R39" s="837"/>
    </row>
    <row r="40" spans="4:22" ht="18" customHeight="1">
      <c r="R40" s="837"/>
    </row>
  </sheetData>
  <mergeCells count="3">
    <mergeCell ref="E16:E18"/>
    <mergeCell ref="F16:F18"/>
    <mergeCell ref="G16:G18"/>
  </mergeCells>
  <phoneticPr fontId="21" type="noConversion"/>
  <pageMargins left="0.7" right="0.7" top="0.75" bottom="0.75" header="0.3" footer="0.3"/>
  <pageSetup paperSize="9" orientation="portrait" r:id="rId1"/>
  <ignoredErrors>
    <ignoredError sqref="U7" formula="1"/>
  </ignoredErrors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FFFF00"/>
  </sheetPr>
  <dimension ref="C4:DW51"/>
  <sheetViews>
    <sheetView showGridLines="0" zoomScale="80" zoomScaleNormal="80" workbookViewId="0">
      <pane xSplit="5" ySplit="6" topLeftCell="DJ7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ColWidth="8.75" defaultRowHeight="18" customHeight="1" outlineLevelCol="1"/>
  <cols>
    <col min="1" max="2" width="2.375" style="498" customWidth="1"/>
    <col min="3" max="3" width="6" style="498" customWidth="1"/>
    <col min="4" max="4" width="15.375" style="498" customWidth="1"/>
    <col min="5" max="5" width="17.875" style="498" customWidth="1"/>
    <col min="6" max="6" width="14.75" style="498" hidden="1" customWidth="1" outlineLevel="1"/>
    <col min="7" max="16" width="17.625" style="498" hidden="1" customWidth="1" outlineLevel="1"/>
    <col min="17" max="17" width="2.375" style="498" hidden="1" customWidth="1" outlineLevel="1"/>
    <col min="18" max="27" width="14.75" style="498" hidden="1" customWidth="1" outlineLevel="1"/>
    <col min="28" max="28" width="3.375" style="498" hidden="1" customWidth="1" outlineLevel="1"/>
    <col min="29" max="38" width="14.75" style="498" hidden="1" customWidth="1" outlineLevel="1"/>
    <col min="39" max="39" width="2.625" style="498" hidden="1" customWidth="1" outlineLevel="1"/>
    <col min="40" max="49" width="16.375" style="498" hidden="1" customWidth="1" outlineLevel="1"/>
    <col min="50" max="50" width="7.75" style="694" hidden="1" customWidth="1" outlineLevel="1"/>
    <col min="51" max="60" width="16.375" style="498" hidden="1" customWidth="1" outlineLevel="1"/>
    <col min="61" max="61" width="13.375" style="498" hidden="1" customWidth="1" outlineLevel="1"/>
    <col min="62" max="71" width="16.375" style="498" hidden="1" customWidth="1" outlineLevel="1"/>
    <col min="72" max="72" width="11.875" style="498" hidden="1" customWidth="1" outlineLevel="1"/>
    <col min="73" max="85" width="16.375" style="498" hidden="1" customWidth="1" outlineLevel="1"/>
    <col min="86" max="86" width="2.625" style="498" hidden="1" customWidth="1" outlineLevel="1"/>
    <col min="87" max="87" width="17.125" style="498" customWidth="1" collapsed="1"/>
    <col min="88" max="99" width="17.125" style="498" customWidth="1"/>
    <col min="100" max="100" width="3.625" style="543" customWidth="1"/>
    <col min="101" max="113" width="17.125" style="498" customWidth="1"/>
    <col min="114" max="114" width="3.625" style="498" customWidth="1"/>
    <col min="115" max="127" width="17.125" style="498" customWidth="1"/>
    <col min="128" max="16384" width="8.75" style="498"/>
  </cols>
  <sheetData>
    <row r="4" spans="3:127" ht="18" customHeight="1" thickBot="1">
      <c r="D4" s="540" t="s">
        <v>474</v>
      </c>
    </row>
    <row r="5" spans="3:127" ht="18" customHeight="1" thickBot="1">
      <c r="D5" s="2125"/>
      <c r="E5" s="2126"/>
      <c r="AC5" s="2135" t="s">
        <v>1744</v>
      </c>
      <c r="AD5" s="2135"/>
      <c r="AE5" s="2135"/>
      <c r="AF5" s="2135"/>
      <c r="AG5" s="2135"/>
      <c r="AH5" s="2135"/>
      <c r="AI5" s="2135"/>
      <c r="AJ5" s="2135"/>
      <c r="AK5" s="2135"/>
      <c r="AL5" s="2135"/>
      <c r="AN5" s="2119" t="s">
        <v>2331</v>
      </c>
      <c r="AO5" s="2120"/>
      <c r="AP5" s="2120"/>
      <c r="AQ5" s="2120"/>
      <c r="AR5" s="2120"/>
      <c r="AS5" s="2120"/>
      <c r="AT5" s="2120"/>
      <c r="AU5" s="2120"/>
      <c r="AV5" s="2120"/>
      <c r="AW5" s="2121"/>
      <c r="AY5" s="2118" t="s">
        <v>1863</v>
      </c>
      <c r="AZ5" s="2118"/>
      <c r="BA5" s="2118"/>
      <c r="BB5" s="2118"/>
      <c r="BC5" s="2118"/>
      <c r="BD5" s="2118"/>
      <c r="BE5" s="2118"/>
      <c r="BF5" s="2118"/>
      <c r="BG5" s="2118"/>
      <c r="BH5" s="2118"/>
      <c r="BJ5" s="2118" t="s">
        <v>2326</v>
      </c>
      <c r="BK5" s="2118"/>
      <c r="BL5" s="2118"/>
      <c r="BM5" s="2118"/>
      <c r="BN5" s="2118"/>
      <c r="BO5" s="2118"/>
      <c r="BP5" s="2118"/>
      <c r="BQ5" s="2118"/>
      <c r="BR5" s="2118"/>
      <c r="BS5" s="2118"/>
      <c r="BU5" s="2118" t="s">
        <v>2003</v>
      </c>
      <c r="BV5" s="2118"/>
      <c r="BW5" s="2118"/>
      <c r="BX5" s="2118"/>
      <c r="BY5" s="2118"/>
      <c r="BZ5" s="2118"/>
      <c r="CA5" s="2118"/>
      <c r="CB5" s="2118"/>
      <c r="CC5" s="2118"/>
      <c r="CD5" s="2118"/>
      <c r="CE5" s="2118"/>
      <c r="CF5" s="2118"/>
      <c r="CG5" s="2118"/>
      <c r="CI5" s="2119" t="s">
        <v>2332</v>
      </c>
      <c r="CJ5" s="2120"/>
      <c r="CK5" s="2120"/>
      <c r="CL5" s="2120"/>
      <c r="CM5" s="2120"/>
      <c r="CN5" s="2120"/>
      <c r="CO5" s="2120"/>
      <c r="CP5" s="2120"/>
      <c r="CQ5" s="2120"/>
      <c r="CR5" s="2120"/>
      <c r="CS5" s="2120"/>
      <c r="CT5" s="2120"/>
      <c r="CU5" s="2121"/>
      <c r="CV5" s="695"/>
      <c r="CW5" s="2122" t="s">
        <v>2397</v>
      </c>
      <c r="CX5" s="2123"/>
      <c r="CY5" s="2123"/>
      <c r="CZ5" s="2123"/>
      <c r="DA5" s="2123"/>
      <c r="DB5" s="2123"/>
      <c r="DC5" s="2123"/>
      <c r="DD5" s="2123"/>
      <c r="DE5" s="2123"/>
      <c r="DF5" s="2123"/>
      <c r="DG5" s="2123"/>
      <c r="DH5" s="2123"/>
      <c r="DI5" s="2124"/>
      <c r="DK5" s="2115" t="s">
        <v>2908</v>
      </c>
      <c r="DL5" s="2116"/>
      <c r="DM5" s="2116"/>
      <c r="DN5" s="2116"/>
      <c r="DO5" s="2116"/>
      <c r="DP5" s="2116"/>
      <c r="DQ5" s="2116"/>
      <c r="DR5" s="2116"/>
      <c r="DS5" s="2116"/>
      <c r="DT5" s="2116"/>
      <c r="DU5" s="2116"/>
      <c r="DV5" s="2116"/>
      <c r="DW5" s="2117"/>
    </row>
    <row r="6" spans="3:127" s="519" customFormat="1" ht="18" customHeight="1">
      <c r="D6" s="696" t="s">
        <v>458</v>
      </c>
      <c r="E6" s="697" t="s">
        <v>459</v>
      </c>
      <c r="F6" s="698" t="s">
        <v>471</v>
      </c>
      <c r="G6" s="698" t="s">
        <v>466</v>
      </c>
      <c r="H6" s="698" t="s">
        <v>460</v>
      </c>
      <c r="I6" s="698" t="s">
        <v>461</v>
      </c>
      <c r="J6" s="698" t="s">
        <v>462</v>
      </c>
      <c r="K6" s="698" t="s">
        <v>463</v>
      </c>
      <c r="L6" s="698" t="s">
        <v>464</v>
      </c>
      <c r="M6" s="698" t="s">
        <v>394</v>
      </c>
      <c r="N6" s="698" t="s">
        <v>483</v>
      </c>
      <c r="O6" s="698" t="s">
        <v>465</v>
      </c>
      <c r="P6" s="699" t="s">
        <v>477</v>
      </c>
      <c r="Q6" s="700" t="s">
        <v>1857</v>
      </c>
      <c r="R6" s="701" t="s">
        <v>466</v>
      </c>
      <c r="S6" s="701" t="s">
        <v>460</v>
      </c>
      <c r="T6" s="701" t="s">
        <v>461</v>
      </c>
      <c r="U6" s="701" t="s">
        <v>462</v>
      </c>
      <c r="V6" s="701" t="s">
        <v>463</v>
      </c>
      <c r="W6" s="701" t="s">
        <v>464</v>
      </c>
      <c r="X6" s="701" t="s">
        <v>395</v>
      </c>
      <c r="Y6" s="701" t="s">
        <v>483</v>
      </c>
      <c r="Z6" s="701" t="s">
        <v>465</v>
      </c>
      <c r="AA6" s="701" t="s">
        <v>477</v>
      </c>
      <c r="AB6" s="700"/>
      <c r="AC6" s="701" t="s">
        <v>466</v>
      </c>
      <c r="AD6" s="701" t="s">
        <v>460</v>
      </c>
      <c r="AE6" s="701" t="s">
        <v>461</v>
      </c>
      <c r="AF6" s="701" t="s">
        <v>462</v>
      </c>
      <c r="AG6" s="701" t="s">
        <v>463</v>
      </c>
      <c r="AH6" s="701" t="s">
        <v>464</v>
      </c>
      <c r="AI6" s="701" t="s">
        <v>1703</v>
      </c>
      <c r="AJ6" s="701" t="s">
        <v>483</v>
      </c>
      <c r="AK6" s="701" t="s">
        <v>465</v>
      </c>
      <c r="AL6" s="701" t="s">
        <v>477</v>
      </c>
      <c r="AN6" s="702" t="s">
        <v>466</v>
      </c>
      <c r="AO6" s="703" t="s">
        <v>460</v>
      </c>
      <c r="AP6" s="703" t="s">
        <v>461</v>
      </c>
      <c r="AQ6" s="703" t="s">
        <v>462</v>
      </c>
      <c r="AR6" s="703" t="s">
        <v>463</v>
      </c>
      <c r="AS6" s="703" t="s">
        <v>464</v>
      </c>
      <c r="AT6" s="703" t="s">
        <v>397</v>
      </c>
      <c r="AU6" s="703" t="s">
        <v>483</v>
      </c>
      <c r="AV6" s="703" t="s">
        <v>465</v>
      </c>
      <c r="AW6" s="704" t="s">
        <v>477</v>
      </c>
      <c r="AX6" s="495"/>
      <c r="AY6" s="701" t="s">
        <v>466</v>
      </c>
      <c r="AZ6" s="701" t="s">
        <v>460</v>
      </c>
      <c r="BA6" s="701" t="s">
        <v>461</v>
      </c>
      <c r="BB6" s="701" t="s">
        <v>462</v>
      </c>
      <c r="BC6" s="701" t="s">
        <v>463</v>
      </c>
      <c r="BD6" s="701" t="s">
        <v>464</v>
      </c>
      <c r="BE6" s="701" t="s">
        <v>397</v>
      </c>
      <c r="BF6" s="701" t="s">
        <v>483</v>
      </c>
      <c r="BG6" s="701" t="s">
        <v>465</v>
      </c>
      <c r="BH6" s="701" t="s">
        <v>477</v>
      </c>
      <c r="BJ6" s="701" t="s">
        <v>466</v>
      </c>
      <c r="BK6" s="701" t="s">
        <v>460</v>
      </c>
      <c r="BL6" s="701" t="s">
        <v>461</v>
      </c>
      <c r="BM6" s="701" t="s">
        <v>462</v>
      </c>
      <c r="BN6" s="701" t="s">
        <v>463</v>
      </c>
      <c r="BO6" s="701" t="s">
        <v>464</v>
      </c>
      <c r="BP6" s="701" t="s">
        <v>397</v>
      </c>
      <c r="BQ6" s="701" t="s">
        <v>483</v>
      </c>
      <c r="BR6" s="701" t="s">
        <v>465</v>
      </c>
      <c r="BS6" s="701" t="s">
        <v>477</v>
      </c>
      <c r="BU6" s="701" t="s">
        <v>466</v>
      </c>
      <c r="BV6" s="701" t="s">
        <v>460</v>
      </c>
      <c r="BW6" s="701" t="s">
        <v>1958</v>
      </c>
      <c r="BX6" s="701" t="s">
        <v>461</v>
      </c>
      <c r="BY6" s="701" t="s">
        <v>462</v>
      </c>
      <c r="BZ6" s="701" t="s">
        <v>463</v>
      </c>
      <c r="CA6" s="701" t="s">
        <v>464</v>
      </c>
      <c r="CB6" s="701" t="s">
        <v>1989</v>
      </c>
      <c r="CC6" s="701" t="s">
        <v>1988</v>
      </c>
      <c r="CD6" s="701" t="s">
        <v>1958</v>
      </c>
      <c r="CE6" s="701" t="s">
        <v>483</v>
      </c>
      <c r="CF6" s="701" t="s">
        <v>465</v>
      </c>
      <c r="CG6" s="701" t="s">
        <v>477</v>
      </c>
      <c r="CI6" s="702" t="s">
        <v>466</v>
      </c>
      <c r="CJ6" s="703" t="s">
        <v>460</v>
      </c>
      <c r="CK6" s="703" t="s">
        <v>1958</v>
      </c>
      <c r="CL6" s="703" t="s">
        <v>461</v>
      </c>
      <c r="CM6" s="703" t="s">
        <v>462</v>
      </c>
      <c r="CN6" s="703" t="s">
        <v>463</v>
      </c>
      <c r="CO6" s="703" t="s">
        <v>464</v>
      </c>
      <c r="CP6" s="703" t="s">
        <v>1989</v>
      </c>
      <c r="CQ6" s="703" t="s">
        <v>1988</v>
      </c>
      <c r="CR6" s="703" t="s">
        <v>1958</v>
      </c>
      <c r="CS6" s="703" t="s">
        <v>483</v>
      </c>
      <c r="CT6" s="703" t="s">
        <v>465</v>
      </c>
      <c r="CU6" s="704" t="s">
        <v>477</v>
      </c>
      <c r="CV6" s="705"/>
      <c r="CW6" s="702" t="s">
        <v>466</v>
      </c>
      <c r="CX6" s="703" t="s">
        <v>2604</v>
      </c>
      <c r="CY6" s="703" t="s">
        <v>2605</v>
      </c>
      <c r="CZ6" s="703" t="s">
        <v>461</v>
      </c>
      <c r="DA6" s="703" t="s">
        <v>462</v>
      </c>
      <c r="DB6" s="703" t="s">
        <v>463</v>
      </c>
      <c r="DC6" s="703" t="s">
        <v>464</v>
      </c>
      <c r="DD6" s="703" t="s">
        <v>2606</v>
      </c>
      <c r="DE6" s="703" t="s">
        <v>2607</v>
      </c>
      <c r="DF6" s="703" t="s">
        <v>2608</v>
      </c>
      <c r="DG6" s="703" t="s">
        <v>483</v>
      </c>
      <c r="DH6" s="703" t="s">
        <v>465</v>
      </c>
      <c r="DI6" s="704" t="s">
        <v>477</v>
      </c>
      <c r="DK6" s="706" t="s">
        <v>2398</v>
      </c>
      <c r="DL6" s="707" t="s">
        <v>1958</v>
      </c>
      <c r="DM6" s="707" t="s">
        <v>2032</v>
      </c>
      <c r="DN6" s="707" t="s">
        <v>461</v>
      </c>
      <c r="DO6" s="707" t="s">
        <v>462</v>
      </c>
      <c r="DP6" s="707" t="s">
        <v>463</v>
      </c>
      <c r="DQ6" s="707" t="s">
        <v>464</v>
      </c>
      <c r="DR6" s="707" t="s">
        <v>1989</v>
      </c>
      <c r="DS6" s="707" t="s">
        <v>1958</v>
      </c>
      <c r="DT6" s="707" t="s">
        <v>2033</v>
      </c>
      <c r="DU6" s="707" t="s">
        <v>483</v>
      </c>
      <c r="DV6" s="707" t="s">
        <v>465</v>
      </c>
      <c r="DW6" s="708" t="s">
        <v>477</v>
      </c>
    </row>
    <row r="7" spans="3:127" ht="18" customHeight="1">
      <c r="C7" s="498" t="s">
        <v>2004</v>
      </c>
      <c r="D7" s="655" t="s">
        <v>15</v>
      </c>
      <c r="E7" s="572" t="s">
        <v>428</v>
      </c>
      <c r="F7" s="709" t="s">
        <v>472</v>
      </c>
      <c r="G7" s="552">
        <v>2126044175</v>
      </c>
      <c r="H7" s="552">
        <v>2126044175</v>
      </c>
      <c r="I7" s="552">
        <v>0</v>
      </c>
      <c r="J7" s="552">
        <v>0</v>
      </c>
      <c r="K7" s="552">
        <v>0</v>
      </c>
      <c r="L7" s="552">
        <v>0</v>
      </c>
      <c r="M7" s="552">
        <f>SUM(H7:L7)</f>
        <v>2126044175</v>
      </c>
      <c r="N7" s="552">
        <v>0</v>
      </c>
      <c r="O7" s="552">
        <f>M7-H7</f>
        <v>0</v>
      </c>
      <c r="P7" s="553"/>
      <c r="R7" s="498">
        <v>2126044175</v>
      </c>
      <c r="S7" s="498">
        <f>M7</f>
        <v>2126044175</v>
      </c>
      <c r="X7" s="498">
        <f>SUM(S7:W7)</f>
        <v>2126044175</v>
      </c>
      <c r="Y7" s="498">
        <v>0</v>
      </c>
      <c r="Z7" s="498">
        <f>X7-S7</f>
        <v>0</v>
      </c>
      <c r="AC7" s="498">
        <v>2126044175</v>
      </c>
      <c r="AD7" s="498">
        <f>X7</f>
        <v>2126044175</v>
      </c>
      <c r="AI7" s="498">
        <f>SUM(AD7:AH7)</f>
        <v>2126044175</v>
      </c>
      <c r="AJ7" s="498">
        <v>0</v>
      </c>
      <c r="AK7" s="498">
        <f>AI7-AD7</f>
        <v>0</v>
      </c>
      <c r="AN7" s="551">
        <v>2126044175</v>
      </c>
      <c r="AO7" s="552">
        <f>M7</f>
        <v>2126044175</v>
      </c>
      <c r="AP7" s="552"/>
      <c r="AQ7" s="552">
        <v>-1936461513.2483287</v>
      </c>
      <c r="AR7" s="552"/>
      <c r="AS7" s="552"/>
      <c r="AT7" s="552">
        <f>SUM(AO7:AS7)</f>
        <v>189582661.75167131</v>
      </c>
      <c r="AU7" s="552">
        <v>0</v>
      </c>
      <c r="AV7" s="552">
        <f>AT7-AO7</f>
        <v>-1936461513.2483287</v>
      </c>
      <c r="AW7" s="553"/>
      <c r="AY7" s="498">
        <v>2126044175</v>
      </c>
      <c r="AZ7" s="498">
        <f>+AT7</f>
        <v>189582661.75167131</v>
      </c>
      <c r="BE7" s="498">
        <f>SUM(AZ7:BD7)</f>
        <v>189582661.75167131</v>
      </c>
      <c r="BF7" s="498">
        <v>0</v>
      </c>
      <c r="BG7" s="498">
        <f>BE7-AZ7</f>
        <v>0</v>
      </c>
      <c r="BJ7" s="498">
        <f>+G7</f>
        <v>2126044175</v>
      </c>
      <c r="BK7" s="498">
        <v>189582661.75167131</v>
      </c>
      <c r="BM7" s="498">
        <v>0</v>
      </c>
      <c r="BP7" s="498">
        <v>189582661.75167131</v>
      </c>
      <c r="BQ7" s="498">
        <v>0</v>
      </c>
      <c r="BR7" s="498">
        <v>0</v>
      </c>
      <c r="BU7" s="498">
        <f>+G7</f>
        <v>2126044175</v>
      </c>
      <c r="BV7" s="498">
        <f>+AT7</f>
        <v>189582661.75167131</v>
      </c>
      <c r="BW7" s="498">
        <f>+BV7-BU7</f>
        <v>-1936461513.2483287</v>
      </c>
      <c r="BY7" s="498">
        <v>0</v>
      </c>
      <c r="CB7" s="498">
        <f>+CC7-CD7</f>
        <v>2126044175</v>
      </c>
      <c r="CC7" s="498">
        <f>SUM(BV7:CA7)-BW7</f>
        <v>189582661.75167131</v>
      </c>
      <c r="CD7" s="498">
        <f t="shared" ref="CD7:CD13" si="0">+BW7+BY7</f>
        <v>-1936461513.2483287</v>
      </c>
      <c r="CE7" s="498">
        <v>0</v>
      </c>
      <c r="CF7" s="498">
        <f>CC7-BV7</f>
        <v>0</v>
      </c>
      <c r="CI7" s="551">
        <f t="shared" ref="CI7:CJ13" si="1">BU7</f>
        <v>2126044175</v>
      </c>
      <c r="CJ7" s="552">
        <f t="shared" si="1"/>
        <v>189582661.75167131</v>
      </c>
      <c r="CK7" s="552">
        <f>+CJ7-CI7</f>
        <v>-1936461513.2483287</v>
      </c>
      <c r="CL7" s="552"/>
      <c r="CM7" s="552">
        <v>0</v>
      </c>
      <c r="CN7" s="552"/>
      <c r="CO7" s="552"/>
      <c r="CP7" s="552">
        <f>+CQ7-CR7</f>
        <v>2126044175</v>
      </c>
      <c r="CQ7" s="552">
        <f>SUM(CJ7:CO7)-CK7</f>
        <v>189582661.75167131</v>
      </c>
      <c r="CR7" s="552">
        <f t="shared" ref="CR7:CR13" si="2">+CK7+CM7</f>
        <v>-1936461513.2483287</v>
      </c>
      <c r="CS7" s="552"/>
      <c r="CT7" s="552">
        <f t="shared" ref="CT7:CT13" si="3">CQ7-CJ7</f>
        <v>0</v>
      </c>
      <c r="CU7" s="553"/>
      <c r="CV7" s="710"/>
      <c r="CW7" s="551">
        <v>2126044175</v>
      </c>
      <c r="CX7" s="552">
        <v>-1936461513.2483287</v>
      </c>
      <c r="CY7" s="552">
        <v>189582661.75167131</v>
      </c>
      <c r="CZ7" s="552"/>
      <c r="DA7" s="552">
        <v>0</v>
      </c>
      <c r="DB7" s="552"/>
      <c r="DC7" s="552">
        <v>0</v>
      </c>
      <c r="DD7" s="552">
        <v>2126044175</v>
      </c>
      <c r="DE7" s="552">
        <v>-1936461513.2483287</v>
      </c>
      <c r="DF7" s="552">
        <v>189582661.75167131</v>
      </c>
      <c r="DG7" s="552"/>
      <c r="DH7" s="552">
        <v>0</v>
      </c>
      <c r="DI7" s="711"/>
      <c r="DK7" s="551">
        <f>DD7</f>
        <v>2126044175</v>
      </c>
      <c r="DL7" s="552">
        <f t="shared" ref="DL7:DL13" si="4">DE7</f>
        <v>-1936461513.2483287</v>
      </c>
      <c r="DM7" s="552">
        <f t="shared" ref="DM7:DM13" si="5">DF7</f>
        <v>189582661.75167131</v>
      </c>
      <c r="DN7" s="552"/>
      <c r="DO7" s="552">
        <v>0</v>
      </c>
      <c r="DP7" s="552"/>
      <c r="DQ7" s="552">
        <v>0</v>
      </c>
      <c r="DR7" s="552">
        <f>DK7</f>
        <v>2126044175</v>
      </c>
      <c r="DS7" s="552">
        <f>DL7+DO7</f>
        <v>-1936461513.2483287</v>
      </c>
      <c r="DT7" s="552">
        <f>DR7+DS7</f>
        <v>189582661.75167131</v>
      </c>
      <c r="DU7" s="552"/>
      <c r="DV7" s="552">
        <f t="shared" ref="DV7:DV13" si="6">DT7-DM7</f>
        <v>0</v>
      </c>
      <c r="DW7" s="711"/>
    </row>
    <row r="8" spans="3:127" ht="18" customHeight="1">
      <c r="C8" s="498" t="s">
        <v>2005</v>
      </c>
      <c r="D8" s="655" t="s">
        <v>15</v>
      </c>
      <c r="E8" s="572" t="s">
        <v>467</v>
      </c>
      <c r="F8" s="709" t="s">
        <v>473</v>
      </c>
      <c r="G8" s="552">
        <v>19842800</v>
      </c>
      <c r="H8" s="552">
        <v>19842800</v>
      </c>
      <c r="I8" s="552">
        <v>0</v>
      </c>
      <c r="J8" s="552">
        <v>0</v>
      </c>
      <c r="K8" s="552">
        <v>0</v>
      </c>
      <c r="L8" s="552">
        <v>0</v>
      </c>
      <c r="M8" s="552">
        <f>SUM(H8:L8)</f>
        <v>19842800</v>
      </c>
      <c r="N8" s="552">
        <v>0</v>
      </c>
      <c r="O8" s="552">
        <f>M8-H8</f>
        <v>0</v>
      </c>
      <c r="P8" s="553"/>
      <c r="Q8" s="498">
        <f>ROUND(+P8/3*3,)</f>
        <v>0</v>
      </c>
      <c r="R8" s="498">
        <v>0</v>
      </c>
      <c r="S8" s="498">
        <f>M8</f>
        <v>19842800</v>
      </c>
      <c r="X8" s="498">
        <f>SUM(S8:W8)</f>
        <v>19842800</v>
      </c>
      <c r="Y8" s="498">
        <v>0</v>
      </c>
      <c r="Z8" s="498">
        <f>X8-S8</f>
        <v>0</v>
      </c>
      <c r="AC8" s="498">
        <v>0</v>
      </c>
      <c r="AD8" s="498">
        <f>X8</f>
        <v>19842800</v>
      </c>
      <c r="AI8" s="498">
        <f>SUM(AD8:AH8)</f>
        <v>19842800</v>
      </c>
      <c r="AJ8" s="498">
        <v>0</v>
      </c>
      <c r="AK8" s="498">
        <f>AI8-AD8</f>
        <v>0</v>
      </c>
      <c r="AN8" s="551">
        <v>0</v>
      </c>
      <c r="AO8" s="552">
        <f>M8</f>
        <v>19842800</v>
      </c>
      <c r="AP8" s="552"/>
      <c r="AQ8" s="552"/>
      <c r="AR8" s="552"/>
      <c r="AS8" s="552"/>
      <c r="AT8" s="552">
        <f>SUM(AO8:AS8)</f>
        <v>19842800</v>
      </c>
      <c r="AU8" s="552">
        <v>0</v>
      </c>
      <c r="AV8" s="552">
        <f>AT8-AO8</f>
        <v>0</v>
      </c>
      <c r="AW8" s="553"/>
      <c r="AY8" s="498">
        <v>0</v>
      </c>
      <c r="AZ8" s="498">
        <f>+AT8</f>
        <v>19842800</v>
      </c>
      <c r="BE8" s="498">
        <f>SUM(AZ8:BD8)</f>
        <v>19842800</v>
      </c>
      <c r="BF8" s="498">
        <v>0</v>
      </c>
      <c r="BG8" s="498">
        <f>BE8-AZ8</f>
        <v>0</v>
      </c>
      <c r="BJ8" s="498">
        <f>+G8</f>
        <v>19842800</v>
      </c>
      <c r="BK8" s="498">
        <v>19842800</v>
      </c>
      <c r="BP8" s="498">
        <v>19842800</v>
      </c>
      <c r="BQ8" s="498">
        <v>0</v>
      </c>
      <c r="BR8" s="498">
        <v>0</v>
      </c>
      <c r="BU8" s="498">
        <f>+G8</f>
        <v>19842800</v>
      </c>
      <c r="BV8" s="498">
        <f>+AT8</f>
        <v>19842800</v>
      </c>
      <c r="BW8" s="498">
        <f>+BV8-BU8</f>
        <v>0</v>
      </c>
      <c r="CB8" s="498">
        <f>+CC8-CD8</f>
        <v>19842800</v>
      </c>
      <c r="CC8" s="498">
        <f>SUM(BV8:CA8)-BW8</f>
        <v>19842800</v>
      </c>
      <c r="CD8" s="498">
        <f t="shared" si="0"/>
        <v>0</v>
      </c>
      <c r="CE8" s="498">
        <v>0</v>
      </c>
      <c r="CF8" s="498">
        <f>CC8-BV8</f>
        <v>0</v>
      </c>
      <c r="CI8" s="551">
        <f t="shared" si="1"/>
        <v>19842800</v>
      </c>
      <c r="CJ8" s="552">
        <f t="shared" si="1"/>
        <v>19842800</v>
      </c>
      <c r="CK8" s="552">
        <f>+CJ8-CI8</f>
        <v>0</v>
      </c>
      <c r="CL8" s="552"/>
      <c r="CM8" s="552">
        <v>0</v>
      </c>
      <c r="CN8" s="552"/>
      <c r="CO8" s="552"/>
      <c r="CP8" s="552">
        <f>+CQ8-CR8</f>
        <v>19842800</v>
      </c>
      <c r="CQ8" s="552">
        <f>SUM(CJ8:CO8)-CK8</f>
        <v>19842800</v>
      </c>
      <c r="CR8" s="552">
        <f t="shared" si="2"/>
        <v>0</v>
      </c>
      <c r="CS8" s="552"/>
      <c r="CT8" s="552">
        <f t="shared" si="3"/>
        <v>0</v>
      </c>
      <c r="CU8" s="553"/>
      <c r="CV8" s="710"/>
      <c r="CW8" s="551">
        <v>19842800</v>
      </c>
      <c r="CX8" s="552">
        <v>0</v>
      </c>
      <c r="CY8" s="552">
        <v>19842800</v>
      </c>
      <c r="CZ8" s="552"/>
      <c r="DA8" s="552">
        <v>0</v>
      </c>
      <c r="DB8" s="552"/>
      <c r="DC8" s="552">
        <v>0</v>
      </c>
      <c r="DD8" s="552">
        <v>19842800</v>
      </c>
      <c r="DE8" s="552">
        <v>0</v>
      </c>
      <c r="DF8" s="552">
        <v>19842800</v>
      </c>
      <c r="DG8" s="552"/>
      <c r="DH8" s="552">
        <v>0</v>
      </c>
      <c r="DI8" s="711"/>
      <c r="DK8" s="551">
        <f t="shared" ref="DK8:DK13" si="7">DD8</f>
        <v>19842800</v>
      </c>
      <c r="DL8" s="552">
        <f t="shared" si="4"/>
        <v>0</v>
      </c>
      <c r="DM8" s="552">
        <f t="shared" si="5"/>
        <v>19842800</v>
      </c>
      <c r="DN8" s="552"/>
      <c r="DO8" s="552">
        <v>0</v>
      </c>
      <c r="DP8" s="552"/>
      <c r="DQ8" s="552">
        <v>0</v>
      </c>
      <c r="DR8" s="552">
        <f t="shared" ref="DR8:DR13" si="8">DK8</f>
        <v>19842800</v>
      </c>
      <c r="DS8" s="552">
        <f t="shared" ref="DS8:DS13" si="9">DL8+DO8</f>
        <v>0</v>
      </c>
      <c r="DT8" s="552">
        <f t="shared" ref="DT8:DT13" si="10">DR8+DS8</f>
        <v>19842800</v>
      </c>
      <c r="DU8" s="552"/>
      <c r="DV8" s="552">
        <f t="shared" si="6"/>
        <v>0</v>
      </c>
      <c r="DW8" s="711"/>
    </row>
    <row r="9" spans="3:127" ht="18" customHeight="1">
      <c r="C9" s="498" t="s">
        <v>2005</v>
      </c>
      <c r="D9" s="655" t="s">
        <v>15</v>
      </c>
      <c r="E9" s="572" t="s">
        <v>470</v>
      </c>
      <c r="F9" s="709" t="s">
        <v>473</v>
      </c>
      <c r="G9" s="552">
        <v>297103293</v>
      </c>
      <c r="H9" s="552">
        <v>297103293</v>
      </c>
      <c r="I9" s="552"/>
      <c r="J9" s="552">
        <v>-294995310</v>
      </c>
      <c r="K9" s="552"/>
      <c r="L9" s="552">
        <v>-2107983</v>
      </c>
      <c r="M9" s="552">
        <f>SUM(H9:L9)</f>
        <v>0</v>
      </c>
      <c r="N9" s="552"/>
      <c r="O9" s="552">
        <f>M9-H9</f>
        <v>-297103293</v>
      </c>
      <c r="P9" s="553"/>
      <c r="R9" s="498">
        <v>297103293</v>
      </c>
      <c r="S9" s="498">
        <f>M9</f>
        <v>0</v>
      </c>
      <c r="X9" s="498">
        <f>SUM(S9:W9)</f>
        <v>0</v>
      </c>
      <c r="Z9" s="498">
        <f>X9-S9</f>
        <v>0</v>
      </c>
      <c r="AC9" s="498">
        <v>297103293</v>
      </c>
      <c r="AD9" s="498">
        <f>X9</f>
        <v>0</v>
      </c>
      <c r="AI9" s="498">
        <f>SUM(AD9:AH9)</f>
        <v>0</v>
      </c>
      <c r="AK9" s="498">
        <f>AI9-AD9</f>
        <v>0</v>
      </c>
      <c r="AN9" s="551">
        <v>297103293</v>
      </c>
      <c r="AO9" s="552">
        <f>M9</f>
        <v>0</v>
      </c>
      <c r="AP9" s="552"/>
      <c r="AQ9" s="552"/>
      <c r="AR9" s="552"/>
      <c r="AS9" s="552"/>
      <c r="AT9" s="552">
        <f>SUM(AO9:AS9)</f>
        <v>0</v>
      </c>
      <c r="AU9" s="552"/>
      <c r="AV9" s="552">
        <f>AT9-AO9</f>
        <v>0</v>
      </c>
      <c r="AW9" s="553"/>
      <c r="AY9" s="498">
        <v>297103293</v>
      </c>
      <c r="AZ9" s="498">
        <f>+AT9</f>
        <v>0</v>
      </c>
      <c r="BE9" s="498">
        <f>SUM(AZ9:BD9)</f>
        <v>0</v>
      </c>
      <c r="BG9" s="498">
        <f>BE9-AZ9</f>
        <v>0</v>
      </c>
      <c r="BJ9" s="498">
        <f>+G9</f>
        <v>297103293</v>
      </c>
      <c r="BK9" s="498">
        <v>0</v>
      </c>
      <c r="BP9" s="498">
        <v>0</v>
      </c>
      <c r="BR9" s="498">
        <v>0</v>
      </c>
      <c r="BU9" s="498">
        <f>+G9</f>
        <v>297103293</v>
      </c>
      <c r="BV9" s="498">
        <f>+AT9</f>
        <v>0</v>
      </c>
      <c r="BW9" s="498">
        <f>+BV9-BU9</f>
        <v>-297103293</v>
      </c>
      <c r="CB9" s="498">
        <f>+CC9-CD9</f>
        <v>297103293</v>
      </c>
      <c r="CC9" s="498">
        <f>SUM(BV9:CA9)-BW9</f>
        <v>0</v>
      </c>
      <c r="CD9" s="498">
        <f>+BW9+BY9</f>
        <v>-297103293</v>
      </c>
      <c r="CF9" s="498">
        <f>CC9-BV9</f>
        <v>0</v>
      </c>
      <c r="CI9" s="551">
        <f t="shared" si="1"/>
        <v>297103293</v>
      </c>
      <c r="CJ9" s="552">
        <f t="shared" si="1"/>
        <v>0</v>
      </c>
      <c r="CK9" s="552">
        <f>+CJ9-CI9</f>
        <v>-297103293</v>
      </c>
      <c r="CL9" s="552"/>
      <c r="CM9" s="552">
        <v>0</v>
      </c>
      <c r="CN9" s="552"/>
      <c r="CO9" s="552"/>
      <c r="CP9" s="552">
        <f>+CQ9-CR9</f>
        <v>297103293</v>
      </c>
      <c r="CQ9" s="552">
        <f>SUM(CJ9:CO9)-CK9</f>
        <v>0</v>
      </c>
      <c r="CR9" s="552">
        <f>+CK9+CM9</f>
        <v>-297103293</v>
      </c>
      <c r="CS9" s="552"/>
      <c r="CT9" s="552">
        <f t="shared" si="3"/>
        <v>0</v>
      </c>
      <c r="CU9" s="553"/>
      <c r="CV9" s="710"/>
      <c r="CW9" s="551">
        <v>297103293</v>
      </c>
      <c r="CX9" s="552">
        <v>-297103293</v>
      </c>
      <c r="CY9" s="552">
        <v>0</v>
      </c>
      <c r="CZ9" s="552"/>
      <c r="DA9" s="552">
        <v>0</v>
      </c>
      <c r="DB9" s="552"/>
      <c r="DC9" s="552">
        <v>0</v>
      </c>
      <c r="DD9" s="552">
        <v>297103293</v>
      </c>
      <c r="DE9" s="552">
        <v>-297103293</v>
      </c>
      <c r="DF9" s="552">
        <v>0</v>
      </c>
      <c r="DG9" s="552"/>
      <c r="DH9" s="552">
        <v>0</v>
      </c>
      <c r="DI9" s="711"/>
      <c r="DK9" s="551">
        <f t="shared" si="7"/>
        <v>297103293</v>
      </c>
      <c r="DL9" s="552">
        <f t="shared" si="4"/>
        <v>-297103293</v>
      </c>
      <c r="DM9" s="552">
        <f t="shared" si="5"/>
        <v>0</v>
      </c>
      <c r="DN9" s="552"/>
      <c r="DO9" s="552">
        <v>0</v>
      </c>
      <c r="DP9" s="552"/>
      <c r="DQ9" s="552">
        <v>0</v>
      </c>
      <c r="DR9" s="552">
        <f t="shared" si="8"/>
        <v>297103293</v>
      </c>
      <c r="DS9" s="552">
        <f t="shared" si="9"/>
        <v>-297103293</v>
      </c>
      <c r="DT9" s="552">
        <f t="shared" si="10"/>
        <v>0</v>
      </c>
      <c r="DU9" s="552"/>
      <c r="DV9" s="552">
        <f t="shared" si="6"/>
        <v>0</v>
      </c>
      <c r="DW9" s="711"/>
    </row>
    <row r="10" spans="3:127" ht="18" customHeight="1">
      <c r="C10" s="498" t="s">
        <v>2005</v>
      </c>
      <c r="D10" s="655" t="s">
        <v>15</v>
      </c>
      <c r="E10" s="572" t="s">
        <v>2082</v>
      </c>
      <c r="F10" s="709" t="s">
        <v>473</v>
      </c>
      <c r="G10" s="552"/>
      <c r="H10" s="552"/>
      <c r="I10" s="552"/>
      <c r="J10" s="552"/>
      <c r="K10" s="552"/>
      <c r="L10" s="552"/>
      <c r="M10" s="552"/>
      <c r="N10" s="552"/>
      <c r="O10" s="552"/>
      <c r="P10" s="553"/>
      <c r="AN10" s="551"/>
      <c r="AO10" s="552"/>
      <c r="AP10" s="552"/>
      <c r="AQ10" s="552"/>
      <c r="AR10" s="552"/>
      <c r="AS10" s="552"/>
      <c r="AT10" s="552"/>
      <c r="AU10" s="552"/>
      <c r="AV10" s="552"/>
      <c r="AW10" s="553"/>
      <c r="CI10" s="551">
        <f t="shared" si="1"/>
        <v>0</v>
      </c>
      <c r="CJ10" s="552">
        <f>BV10</f>
        <v>0</v>
      </c>
      <c r="CK10" s="552">
        <f>+CJ10-CI10</f>
        <v>0</v>
      </c>
      <c r="CL10" s="552"/>
      <c r="CM10" s="552">
        <v>0</v>
      </c>
      <c r="CN10" s="552"/>
      <c r="CO10" s="552"/>
      <c r="CP10" s="552">
        <f>+CQ10-CR10</f>
        <v>0</v>
      </c>
      <c r="CQ10" s="552">
        <f>SUM(CJ10:CO10)-CK10</f>
        <v>0</v>
      </c>
      <c r="CR10" s="552">
        <f>+CK10+CM10</f>
        <v>0</v>
      </c>
      <c r="CS10" s="552"/>
      <c r="CT10" s="552">
        <f t="shared" si="3"/>
        <v>0</v>
      </c>
      <c r="CU10" s="553"/>
      <c r="CV10" s="710"/>
      <c r="CW10" s="551">
        <v>1464530117</v>
      </c>
      <c r="CX10" s="552">
        <v>0</v>
      </c>
      <c r="CY10" s="552">
        <v>0</v>
      </c>
      <c r="CZ10" s="552"/>
      <c r="DA10" s="552">
        <v>0</v>
      </c>
      <c r="DB10" s="552">
        <v>1464530117</v>
      </c>
      <c r="DC10" s="552">
        <v>0</v>
      </c>
      <c r="DD10" s="552">
        <v>1464530117</v>
      </c>
      <c r="DE10" s="552">
        <v>0</v>
      </c>
      <c r="DF10" s="552">
        <v>1464530117</v>
      </c>
      <c r="DG10" s="552"/>
      <c r="DH10" s="552">
        <v>1464530117</v>
      </c>
      <c r="DI10" s="711" t="s">
        <v>2333</v>
      </c>
      <c r="DK10" s="551">
        <f t="shared" si="7"/>
        <v>1464530117</v>
      </c>
      <c r="DL10" s="552">
        <f t="shared" si="4"/>
        <v>0</v>
      </c>
      <c r="DM10" s="552">
        <f t="shared" si="5"/>
        <v>1464530117</v>
      </c>
      <c r="DN10" s="552"/>
      <c r="DO10" s="552">
        <v>0</v>
      </c>
      <c r="DP10" s="552"/>
      <c r="DQ10" s="552">
        <v>0</v>
      </c>
      <c r="DR10" s="552">
        <f t="shared" si="8"/>
        <v>1464530117</v>
      </c>
      <c r="DS10" s="552">
        <f t="shared" si="9"/>
        <v>0</v>
      </c>
      <c r="DT10" s="552">
        <f t="shared" si="10"/>
        <v>1464530117</v>
      </c>
      <c r="DU10" s="552"/>
      <c r="DV10" s="552">
        <f t="shared" si="6"/>
        <v>0</v>
      </c>
      <c r="DW10" s="711"/>
    </row>
    <row r="11" spans="3:127" ht="18" customHeight="1">
      <c r="C11" s="498" t="s">
        <v>2005</v>
      </c>
      <c r="D11" s="655" t="s">
        <v>15</v>
      </c>
      <c r="E11" s="572" t="s">
        <v>479</v>
      </c>
      <c r="F11" s="709" t="s">
        <v>473</v>
      </c>
      <c r="G11" s="552">
        <v>13175822804</v>
      </c>
      <c r="H11" s="552">
        <v>13175822804</v>
      </c>
      <c r="I11" s="552">
        <v>0</v>
      </c>
      <c r="J11" s="552">
        <v>-13175822804</v>
      </c>
      <c r="K11" s="552"/>
      <c r="L11" s="552"/>
      <c r="M11" s="552">
        <f>SUM(H11:L11)</f>
        <v>0</v>
      </c>
      <c r="N11" s="552">
        <v>0</v>
      </c>
      <c r="O11" s="552">
        <f>M11-H11</f>
        <v>-13175822804</v>
      </c>
      <c r="P11" s="711" t="s">
        <v>468</v>
      </c>
      <c r="Q11" s="565" t="e">
        <f>ROUND(+P11/3*3,)</f>
        <v>#VALUE!</v>
      </c>
      <c r="R11" s="498">
        <v>13175822804</v>
      </c>
      <c r="S11" s="498">
        <f>M11</f>
        <v>0</v>
      </c>
      <c r="X11" s="498">
        <f>SUM(S11:W11)</f>
        <v>0</v>
      </c>
      <c r="Y11" s="498">
        <v>0</v>
      </c>
      <c r="Z11" s="498">
        <f>X11-S11</f>
        <v>0</v>
      </c>
      <c r="AA11" s="565"/>
      <c r="AB11" s="565"/>
      <c r="AC11" s="498">
        <v>13175822804</v>
      </c>
      <c r="AD11" s="498">
        <f>X11</f>
        <v>0</v>
      </c>
      <c r="AI11" s="498">
        <f>SUM(AD11:AH11)</f>
        <v>0</v>
      </c>
      <c r="AJ11" s="498">
        <v>0</v>
      </c>
      <c r="AK11" s="498">
        <f>AI11-AD11</f>
        <v>0</v>
      </c>
      <c r="AL11" s="565"/>
      <c r="AN11" s="551">
        <v>13175822804</v>
      </c>
      <c r="AO11" s="552">
        <f>M11</f>
        <v>0</v>
      </c>
      <c r="AP11" s="552"/>
      <c r="AQ11" s="552"/>
      <c r="AR11" s="552"/>
      <c r="AS11" s="552"/>
      <c r="AT11" s="552">
        <f>SUM(AO11:AS11)</f>
        <v>0</v>
      </c>
      <c r="AU11" s="552">
        <v>0</v>
      </c>
      <c r="AV11" s="552">
        <f>AT11-AO11</f>
        <v>0</v>
      </c>
      <c r="AW11" s="711"/>
      <c r="AY11" s="498">
        <v>13175822804</v>
      </c>
      <c r="AZ11" s="498">
        <f>+AT11</f>
        <v>0</v>
      </c>
      <c r="BE11" s="498">
        <f>SUM(AZ11:BD11)</f>
        <v>0</v>
      </c>
      <c r="BF11" s="498">
        <v>0</v>
      </c>
      <c r="BG11" s="498">
        <f>BE11-AZ11</f>
        <v>0</v>
      </c>
      <c r="BH11" s="565"/>
      <c r="BJ11" s="498">
        <f>+G11</f>
        <v>13175822804</v>
      </c>
      <c r="BK11" s="498">
        <v>0</v>
      </c>
      <c r="BP11" s="498">
        <v>0</v>
      </c>
      <c r="BQ11" s="498">
        <v>0</v>
      </c>
      <c r="BR11" s="498">
        <v>0</v>
      </c>
      <c r="BS11" s="565"/>
      <c r="BU11" s="498">
        <f>+G11</f>
        <v>13175822804</v>
      </c>
      <c r="BV11" s="498">
        <f>+AT11</f>
        <v>0</v>
      </c>
      <c r="BW11" s="498">
        <f>+BV11-BU11</f>
        <v>-13175822804</v>
      </c>
      <c r="CB11" s="498">
        <f>+CC11-CD11</f>
        <v>13175822804</v>
      </c>
      <c r="CC11" s="498">
        <f>SUM(BV11:CA11)-BW11</f>
        <v>0</v>
      </c>
      <c r="CD11" s="498">
        <f t="shared" si="0"/>
        <v>-13175822804</v>
      </c>
      <c r="CE11" s="498">
        <v>0</v>
      </c>
      <c r="CF11" s="498">
        <f>CC11-BV11</f>
        <v>0</v>
      </c>
      <c r="CG11" s="565"/>
      <c r="CI11" s="551">
        <f t="shared" si="1"/>
        <v>13175822804</v>
      </c>
      <c r="CJ11" s="552">
        <f t="shared" si="1"/>
        <v>0</v>
      </c>
      <c r="CK11" s="552">
        <f>+CJ11-CI11</f>
        <v>-13175822804</v>
      </c>
      <c r="CL11" s="552"/>
      <c r="CM11" s="552">
        <v>0</v>
      </c>
      <c r="CN11" s="552"/>
      <c r="CO11" s="552"/>
      <c r="CP11" s="552">
        <f>+CQ11-CR11</f>
        <v>13175822804</v>
      </c>
      <c r="CQ11" s="552">
        <f>SUM(CJ11:CO11)-CK11</f>
        <v>0</v>
      </c>
      <c r="CR11" s="552">
        <f t="shared" si="2"/>
        <v>-13175822804</v>
      </c>
      <c r="CS11" s="552"/>
      <c r="CT11" s="552">
        <f t="shared" si="3"/>
        <v>0</v>
      </c>
      <c r="CU11" s="711"/>
      <c r="CV11" s="712"/>
      <c r="CW11" s="551">
        <v>13175822804</v>
      </c>
      <c r="CX11" s="552">
        <v>-13175822804</v>
      </c>
      <c r="CY11" s="552">
        <v>0</v>
      </c>
      <c r="CZ11" s="552"/>
      <c r="DA11" s="552">
        <v>0</v>
      </c>
      <c r="DB11" s="552"/>
      <c r="DC11" s="552">
        <v>0</v>
      </c>
      <c r="DD11" s="552">
        <v>13175822804</v>
      </c>
      <c r="DE11" s="552">
        <v>-13175822804</v>
      </c>
      <c r="DF11" s="552">
        <v>0</v>
      </c>
      <c r="DG11" s="552"/>
      <c r="DH11" s="552">
        <v>0</v>
      </c>
      <c r="DI11" s="711"/>
      <c r="DK11" s="551">
        <f t="shared" si="7"/>
        <v>13175822804</v>
      </c>
      <c r="DL11" s="552">
        <f t="shared" si="4"/>
        <v>-13175822804</v>
      </c>
      <c r="DM11" s="552">
        <f t="shared" si="5"/>
        <v>0</v>
      </c>
      <c r="DN11" s="552"/>
      <c r="DO11" s="552">
        <v>0</v>
      </c>
      <c r="DP11" s="552"/>
      <c r="DQ11" s="552">
        <v>0</v>
      </c>
      <c r="DR11" s="552">
        <f t="shared" si="8"/>
        <v>13175822804</v>
      </c>
      <c r="DS11" s="552">
        <f t="shared" si="9"/>
        <v>-13175822804</v>
      </c>
      <c r="DT11" s="552">
        <f t="shared" si="10"/>
        <v>0</v>
      </c>
      <c r="DU11" s="552"/>
      <c r="DV11" s="552">
        <f t="shared" si="6"/>
        <v>0</v>
      </c>
      <c r="DW11" s="711"/>
    </row>
    <row r="12" spans="3:127" ht="18" customHeight="1">
      <c r="C12" s="498" t="s">
        <v>2005</v>
      </c>
      <c r="D12" s="655" t="s">
        <v>15</v>
      </c>
      <c r="E12" s="572" t="s">
        <v>216</v>
      </c>
      <c r="F12" s="709" t="s">
        <v>473</v>
      </c>
      <c r="G12" s="552">
        <v>4096993217</v>
      </c>
      <c r="H12" s="552">
        <v>0</v>
      </c>
      <c r="I12" s="552">
        <v>4096993217</v>
      </c>
      <c r="J12" s="552"/>
      <c r="K12" s="552"/>
      <c r="L12" s="552"/>
      <c r="M12" s="552">
        <f>SUM(H12:L12)</f>
        <v>4096993217</v>
      </c>
      <c r="N12" s="552"/>
      <c r="O12" s="552">
        <f>M12-H12</f>
        <v>4096993217</v>
      </c>
      <c r="P12" s="711" t="s">
        <v>469</v>
      </c>
      <c r="Q12" s="565"/>
      <c r="R12" s="498">
        <v>4096993217</v>
      </c>
      <c r="S12" s="498">
        <f>M12</f>
        <v>4096993217</v>
      </c>
      <c r="T12" s="498">
        <v>-4096993217</v>
      </c>
      <c r="X12" s="498">
        <f>SUM(S12:W12)</f>
        <v>0</v>
      </c>
      <c r="Z12" s="498">
        <f>X12-S12</f>
        <v>-4096993217</v>
      </c>
      <c r="AA12" s="565" t="s">
        <v>1533</v>
      </c>
      <c r="AB12" s="565"/>
      <c r="AC12" s="498">
        <v>4096993217</v>
      </c>
      <c r="AD12" s="498">
        <f>X12</f>
        <v>0</v>
      </c>
      <c r="AE12" s="498">
        <v>-4096993217</v>
      </c>
      <c r="AI12" s="498">
        <f>SUM(AD12:AH12)</f>
        <v>-4096993217</v>
      </c>
      <c r="AK12" s="498">
        <f>AI12-AD12</f>
        <v>-4096993217</v>
      </c>
      <c r="AL12" s="565" t="s">
        <v>1533</v>
      </c>
      <c r="AN12" s="551">
        <v>4096993217</v>
      </c>
      <c r="AO12" s="552">
        <f>M12</f>
        <v>4096993217</v>
      </c>
      <c r="AP12" s="552">
        <v>-4096993217</v>
      </c>
      <c r="AQ12" s="552"/>
      <c r="AR12" s="552"/>
      <c r="AS12" s="552"/>
      <c r="AT12" s="552">
        <f>SUM(AO12:AS12)</f>
        <v>0</v>
      </c>
      <c r="AU12" s="552"/>
      <c r="AV12" s="552">
        <f>AT12-AO12</f>
        <v>-4096993217</v>
      </c>
      <c r="AW12" s="711" t="s">
        <v>1533</v>
      </c>
      <c r="AY12" s="498">
        <v>4096993217</v>
      </c>
      <c r="AZ12" s="498">
        <f>+AT12</f>
        <v>0</v>
      </c>
      <c r="BE12" s="498">
        <f>SUM(AZ12:BD12)</f>
        <v>0</v>
      </c>
      <c r="BG12" s="498">
        <f>BE12-AZ12</f>
        <v>0</v>
      </c>
      <c r="BH12" s="565" t="s">
        <v>1533</v>
      </c>
      <c r="BJ12" s="498">
        <f>+G12</f>
        <v>4096993217</v>
      </c>
      <c r="BK12" s="498">
        <v>0</v>
      </c>
      <c r="BP12" s="498">
        <v>0</v>
      </c>
      <c r="BR12" s="498">
        <v>0</v>
      </c>
      <c r="BS12" s="565" t="s">
        <v>1533</v>
      </c>
      <c r="BU12" s="498">
        <f>+G12</f>
        <v>4096993217</v>
      </c>
      <c r="BV12" s="498">
        <f>+BU12</f>
        <v>4096993217</v>
      </c>
      <c r="CB12" s="498">
        <f>+BU12</f>
        <v>4096993217</v>
      </c>
      <c r="CC12" s="498">
        <f>+CB12</f>
        <v>4096993217</v>
      </c>
      <c r="CD12" s="498">
        <f t="shared" si="0"/>
        <v>0</v>
      </c>
      <c r="CF12" s="498">
        <f>CC12-BV12</f>
        <v>0</v>
      </c>
      <c r="CG12" s="565" t="s">
        <v>1533</v>
      </c>
      <c r="CI12" s="551">
        <f t="shared" si="1"/>
        <v>4096993217</v>
      </c>
      <c r="CJ12" s="552">
        <f t="shared" si="1"/>
        <v>4096993217</v>
      </c>
      <c r="CK12" s="552"/>
      <c r="CL12" s="552"/>
      <c r="CM12" s="552">
        <v>0</v>
      </c>
      <c r="CN12" s="552"/>
      <c r="CO12" s="552"/>
      <c r="CP12" s="552">
        <f>+CI12</f>
        <v>4096993217</v>
      </c>
      <c r="CQ12" s="552">
        <f>+CP12</f>
        <v>4096993217</v>
      </c>
      <c r="CR12" s="552">
        <f t="shared" si="2"/>
        <v>0</v>
      </c>
      <c r="CS12" s="552"/>
      <c r="CT12" s="552">
        <f t="shared" si="3"/>
        <v>0</v>
      </c>
      <c r="CU12" s="711" t="s">
        <v>1533</v>
      </c>
      <c r="CV12" s="712"/>
      <c r="CW12" s="551">
        <v>4096993217</v>
      </c>
      <c r="CX12" s="552">
        <v>0</v>
      </c>
      <c r="CY12" s="552">
        <v>4096993217</v>
      </c>
      <c r="CZ12" s="552"/>
      <c r="DA12" s="552">
        <v>0</v>
      </c>
      <c r="DB12" s="552"/>
      <c r="DC12" s="552">
        <v>0</v>
      </c>
      <c r="DD12" s="552">
        <v>4096993217</v>
      </c>
      <c r="DE12" s="552">
        <v>0</v>
      </c>
      <c r="DF12" s="552">
        <v>4096993217</v>
      </c>
      <c r="DG12" s="552"/>
      <c r="DH12" s="552">
        <v>0</v>
      </c>
      <c r="DI12" s="711"/>
      <c r="DK12" s="551">
        <f t="shared" si="7"/>
        <v>4096993217</v>
      </c>
      <c r="DL12" s="552">
        <f t="shared" si="4"/>
        <v>0</v>
      </c>
      <c r="DM12" s="552">
        <f t="shared" si="5"/>
        <v>4096993217</v>
      </c>
      <c r="DN12" s="552"/>
      <c r="DO12" s="552">
        <v>0</v>
      </c>
      <c r="DP12" s="552"/>
      <c r="DQ12" s="552">
        <v>0</v>
      </c>
      <c r="DR12" s="552">
        <f t="shared" si="8"/>
        <v>4096993217</v>
      </c>
      <c r="DS12" s="552">
        <f t="shared" si="9"/>
        <v>0</v>
      </c>
      <c r="DT12" s="552">
        <f t="shared" si="10"/>
        <v>4096993217</v>
      </c>
      <c r="DU12" s="552"/>
      <c r="DV12" s="552">
        <f t="shared" si="6"/>
        <v>0</v>
      </c>
      <c r="DW12" s="711"/>
    </row>
    <row r="13" spans="3:127" ht="18" customHeight="1">
      <c r="C13" s="498" t="s">
        <v>2005</v>
      </c>
      <c r="D13" s="655" t="s">
        <v>15</v>
      </c>
      <c r="E13" s="572" t="s">
        <v>2328</v>
      </c>
      <c r="F13" s="709"/>
      <c r="G13" s="552"/>
      <c r="H13" s="552"/>
      <c r="I13" s="552"/>
      <c r="J13" s="552"/>
      <c r="K13" s="552"/>
      <c r="L13" s="552"/>
      <c r="M13" s="552"/>
      <c r="N13" s="552"/>
      <c r="O13" s="552"/>
      <c r="P13" s="553"/>
      <c r="AN13" s="551"/>
      <c r="AO13" s="552"/>
      <c r="AP13" s="552"/>
      <c r="AQ13" s="552"/>
      <c r="AR13" s="552"/>
      <c r="AS13" s="552"/>
      <c r="AT13" s="552"/>
      <c r="AU13" s="552"/>
      <c r="AV13" s="552"/>
      <c r="AW13" s="553"/>
      <c r="BU13" s="498">
        <v>484923306</v>
      </c>
      <c r="BV13" s="498">
        <v>484923306</v>
      </c>
      <c r="BW13" s="498">
        <f>+BV13-BU13</f>
        <v>0</v>
      </c>
      <c r="CB13" s="498">
        <f>+CC13-CD13</f>
        <v>484923306</v>
      </c>
      <c r="CC13" s="498">
        <f>SUM(BV13:CA13)-BW13</f>
        <v>484923306</v>
      </c>
      <c r="CD13" s="498">
        <f t="shared" si="0"/>
        <v>0</v>
      </c>
      <c r="CI13" s="551">
        <f t="shared" si="1"/>
        <v>484923306</v>
      </c>
      <c r="CJ13" s="552">
        <f t="shared" si="1"/>
        <v>484923306</v>
      </c>
      <c r="CK13" s="552">
        <f>+CJ13-CI13</f>
        <v>0</v>
      </c>
      <c r="CL13" s="552"/>
      <c r="CM13" s="552">
        <v>-484923306</v>
      </c>
      <c r="CN13" s="552"/>
      <c r="CO13" s="552"/>
      <c r="CP13" s="552">
        <f>+CQ13-CR13</f>
        <v>484923306</v>
      </c>
      <c r="CQ13" s="552">
        <f>SUM(CJ13:CO13)-CK13</f>
        <v>0</v>
      </c>
      <c r="CR13" s="552">
        <f t="shared" si="2"/>
        <v>-484923306</v>
      </c>
      <c r="CS13" s="552"/>
      <c r="CT13" s="552">
        <f t="shared" si="3"/>
        <v>-484923306</v>
      </c>
      <c r="CU13" s="553"/>
      <c r="CV13" s="710"/>
      <c r="CW13" s="551">
        <v>484923306</v>
      </c>
      <c r="CX13" s="552">
        <v>-484923306</v>
      </c>
      <c r="CY13" s="552">
        <v>0</v>
      </c>
      <c r="CZ13" s="552"/>
      <c r="DA13" s="552">
        <v>0</v>
      </c>
      <c r="DB13" s="552"/>
      <c r="DC13" s="552">
        <v>0</v>
      </c>
      <c r="DD13" s="552">
        <v>484923306</v>
      </c>
      <c r="DE13" s="552">
        <v>-484923306</v>
      </c>
      <c r="DF13" s="552">
        <v>0</v>
      </c>
      <c r="DG13" s="552"/>
      <c r="DH13" s="552">
        <v>0</v>
      </c>
      <c r="DI13" s="711"/>
      <c r="DK13" s="551">
        <f t="shared" si="7"/>
        <v>484923306</v>
      </c>
      <c r="DL13" s="552">
        <f t="shared" si="4"/>
        <v>-484923306</v>
      </c>
      <c r="DM13" s="552">
        <f t="shared" si="5"/>
        <v>0</v>
      </c>
      <c r="DN13" s="552"/>
      <c r="DO13" s="552">
        <v>0</v>
      </c>
      <c r="DP13" s="552"/>
      <c r="DQ13" s="552">
        <v>0</v>
      </c>
      <c r="DR13" s="552">
        <f t="shared" si="8"/>
        <v>484923306</v>
      </c>
      <c r="DS13" s="552">
        <f t="shared" si="9"/>
        <v>-484923306</v>
      </c>
      <c r="DT13" s="552">
        <f t="shared" si="10"/>
        <v>0</v>
      </c>
      <c r="DU13" s="552"/>
      <c r="DV13" s="552">
        <f t="shared" si="6"/>
        <v>0</v>
      </c>
      <c r="DW13" s="711"/>
    </row>
    <row r="14" spans="3:127" ht="18" customHeight="1" thickBot="1">
      <c r="D14" s="713"/>
      <c r="E14" s="714"/>
      <c r="F14" s="715"/>
      <c r="G14" s="716">
        <f>SUM(G7:G13)</f>
        <v>19715806289</v>
      </c>
      <c r="H14" s="716">
        <f t="shared" ref="H14:O14" si="11">SUM(H7:H13)</f>
        <v>15618813072</v>
      </c>
      <c r="I14" s="716">
        <f t="shared" si="11"/>
        <v>4096993217</v>
      </c>
      <c r="J14" s="716">
        <f t="shared" si="11"/>
        <v>-13470818114</v>
      </c>
      <c r="K14" s="716">
        <f t="shared" si="11"/>
        <v>0</v>
      </c>
      <c r="L14" s="716">
        <f t="shared" si="11"/>
        <v>-2107983</v>
      </c>
      <c r="M14" s="716">
        <f t="shared" si="11"/>
        <v>6242880192</v>
      </c>
      <c r="N14" s="716">
        <f t="shared" si="11"/>
        <v>0</v>
      </c>
      <c r="O14" s="716">
        <f t="shared" si="11"/>
        <v>-9375932880</v>
      </c>
      <c r="P14" s="717"/>
      <c r="R14" s="718"/>
      <c r="S14" s="718"/>
      <c r="T14" s="718"/>
      <c r="U14" s="718"/>
      <c r="V14" s="718"/>
      <c r="W14" s="718"/>
      <c r="X14" s="718"/>
      <c r="Y14" s="718"/>
      <c r="Z14" s="718"/>
      <c r="AA14" s="718"/>
      <c r="AC14" s="718"/>
      <c r="AD14" s="718"/>
      <c r="AE14" s="718"/>
      <c r="AF14" s="718"/>
      <c r="AG14" s="718"/>
      <c r="AH14" s="718"/>
      <c r="AI14" s="718"/>
      <c r="AJ14" s="718"/>
      <c r="AK14" s="718"/>
      <c r="AL14" s="718"/>
      <c r="AN14" s="719">
        <f>SUM(AN7:AN13)</f>
        <v>19695963489</v>
      </c>
      <c r="AO14" s="716">
        <f t="shared" ref="AO14:AW14" si="12">SUM(AO7:AO13)</f>
        <v>6242880192</v>
      </c>
      <c r="AP14" s="716">
        <f t="shared" si="12"/>
        <v>-4096993217</v>
      </c>
      <c r="AQ14" s="716">
        <f t="shared" si="12"/>
        <v>-1936461513.2483287</v>
      </c>
      <c r="AR14" s="716">
        <f t="shared" si="12"/>
        <v>0</v>
      </c>
      <c r="AS14" s="716">
        <f t="shared" si="12"/>
        <v>0</v>
      </c>
      <c r="AT14" s="716">
        <f t="shared" si="12"/>
        <v>209425461.75167131</v>
      </c>
      <c r="AU14" s="716">
        <f t="shared" si="12"/>
        <v>0</v>
      </c>
      <c r="AV14" s="716">
        <f t="shared" si="12"/>
        <v>-6033454730.2483292</v>
      </c>
      <c r="AW14" s="717">
        <f t="shared" si="12"/>
        <v>0</v>
      </c>
      <c r="AY14" s="718"/>
      <c r="AZ14" s="718"/>
      <c r="BA14" s="718"/>
      <c r="BB14" s="718"/>
      <c r="BC14" s="718"/>
      <c r="BD14" s="718"/>
      <c r="BE14" s="718"/>
      <c r="BF14" s="718"/>
      <c r="BG14" s="718"/>
      <c r="BH14" s="718"/>
      <c r="BJ14" s="718"/>
      <c r="BK14" s="718"/>
      <c r="BL14" s="718"/>
      <c r="BM14" s="718"/>
      <c r="BN14" s="718"/>
      <c r="BO14" s="718"/>
      <c r="BP14" s="718"/>
      <c r="BQ14" s="718"/>
      <c r="BR14" s="718"/>
      <c r="BS14" s="718"/>
      <c r="BU14" s="718"/>
      <c r="BV14" s="718"/>
      <c r="BW14" s="718"/>
      <c r="BX14" s="718"/>
      <c r="BY14" s="718"/>
      <c r="BZ14" s="718"/>
      <c r="CA14" s="718"/>
      <c r="CB14" s="718"/>
      <c r="CC14" s="718"/>
      <c r="CD14" s="718"/>
      <c r="CE14" s="718"/>
      <c r="CF14" s="718"/>
      <c r="CG14" s="718"/>
      <c r="CI14" s="719">
        <f t="shared" ref="CI14:CT14" si="13">SUM(CI7:CI13)</f>
        <v>20200729595</v>
      </c>
      <c r="CJ14" s="716">
        <f>SUM(CJ7:CJ13)</f>
        <v>4791341984.7516708</v>
      </c>
      <c r="CK14" s="716">
        <f t="shared" si="13"/>
        <v>-15409387610.248329</v>
      </c>
      <c r="CL14" s="716">
        <f t="shared" si="13"/>
        <v>0</v>
      </c>
      <c r="CM14" s="716">
        <f t="shared" si="13"/>
        <v>-484923306</v>
      </c>
      <c r="CN14" s="716">
        <f t="shared" si="13"/>
        <v>0</v>
      </c>
      <c r="CO14" s="716">
        <f t="shared" si="13"/>
        <v>0</v>
      </c>
      <c r="CP14" s="716">
        <f t="shared" si="13"/>
        <v>20200729595</v>
      </c>
      <c r="CQ14" s="716">
        <f>SUM(CQ7:CQ13)</f>
        <v>4306418678.7516708</v>
      </c>
      <c r="CR14" s="716">
        <f t="shared" si="13"/>
        <v>-15894310916.248329</v>
      </c>
      <c r="CS14" s="716"/>
      <c r="CT14" s="716">
        <f t="shared" si="13"/>
        <v>-484923306</v>
      </c>
      <c r="CU14" s="717"/>
      <c r="CV14" s="720"/>
      <c r="CW14" s="719">
        <f t="shared" ref="CW14:DI14" si="14">SUM(CW7:CW13)</f>
        <v>21665259712</v>
      </c>
      <c r="CX14" s="716">
        <f t="shared" si="14"/>
        <v>-15894310916.248329</v>
      </c>
      <c r="CY14" s="716">
        <f t="shared" si="14"/>
        <v>4306418678.7516708</v>
      </c>
      <c r="CZ14" s="716">
        <f t="shared" si="14"/>
        <v>0</v>
      </c>
      <c r="DA14" s="716">
        <f t="shared" si="14"/>
        <v>0</v>
      </c>
      <c r="DB14" s="716">
        <f t="shared" si="14"/>
        <v>1464530117</v>
      </c>
      <c r="DC14" s="716">
        <f t="shared" si="14"/>
        <v>0</v>
      </c>
      <c r="DD14" s="716">
        <f t="shared" si="14"/>
        <v>21665259712</v>
      </c>
      <c r="DE14" s="716">
        <f t="shared" si="14"/>
        <v>-15894310916.248329</v>
      </c>
      <c r="DF14" s="716">
        <f t="shared" si="14"/>
        <v>5770948795.7516708</v>
      </c>
      <c r="DG14" s="716">
        <f t="shared" si="14"/>
        <v>0</v>
      </c>
      <c r="DH14" s="716">
        <f t="shared" si="14"/>
        <v>1464530117</v>
      </c>
      <c r="DI14" s="717">
        <f t="shared" si="14"/>
        <v>0</v>
      </c>
      <c r="DK14" s="719">
        <f t="shared" ref="DK14:DV14" si="15">SUM(DK7:DK13)</f>
        <v>21665259712</v>
      </c>
      <c r="DL14" s="716">
        <f>SUM(DL7:DL13)</f>
        <v>-15894310916.248329</v>
      </c>
      <c r="DM14" s="716">
        <f t="shared" si="15"/>
        <v>5770948795.7516708</v>
      </c>
      <c r="DN14" s="716">
        <f t="shared" si="15"/>
        <v>0</v>
      </c>
      <c r="DO14" s="716">
        <f t="shared" si="15"/>
        <v>0</v>
      </c>
      <c r="DP14" s="716">
        <f t="shared" si="15"/>
        <v>0</v>
      </c>
      <c r="DQ14" s="716">
        <f t="shared" si="15"/>
        <v>0</v>
      </c>
      <c r="DR14" s="716">
        <f t="shared" si="15"/>
        <v>21665259712</v>
      </c>
      <c r="DS14" s="716">
        <f>SUM(DS7:DS13)</f>
        <v>-15894310916.248329</v>
      </c>
      <c r="DT14" s="716">
        <f t="shared" si="15"/>
        <v>5770948795.7516708</v>
      </c>
      <c r="DU14" s="716"/>
      <c r="DV14" s="716">
        <f t="shared" si="15"/>
        <v>0</v>
      </c>
      <c r="DW14" s="717"/>
    </row>
    <row r="16" spans="3:127" ht="18" customHeight="1" thickBot="1">
      <c r="D16" s="540" t="s">
        <v>475</v>
      </c>
      <c r="Q16" s="498">
        <v>11.308299999999999</v>
      </c>
    </row>
    <row r="17" spans="3:127" ht="18" customHeight="1" thickBot="1">
      <c r="D17" s="2125"/>
      <c r="E17" s="2126"/>
      <c r="Q17" s="498">
        <v>10.9626</v>
      </c>
      <c r="AC17" s="2135" t="s">
        <v>1702</v>
      </c>
      <c r="AD17" s="2135"/>
      <c r="AE17" s="2135"/>
      <c r="AF17" s="2135"/>
      <c r="AG17" s="2135"/>
      <c r="AH17" s="2135"/>
      <c r="AI17" s="2135"/>
      <c r="AJ17" s="2135"/>
      <c r="AK17" s="2135"/>
      <c r="AL17" s="2135"/>
      <c r="AN17" s="2119" t="s">
        <v>2330</v>
      </c>
      <c r="AO17" s="2120"/>
      <c r="AP17" s="2120"/>
      <c r="AQ17" s="2120"/>
      <c r="AR17" s="2120"/>
      <c r="AS17" s="2120"/>
      <c r="AT17" s="2120"/>
      <c r="AU17" s="2120"/>
      <c r="AV17" s="2120"/>
      <c r="AW17" s="2121"/>
      <c r="AY17" s="2118" t="s">
        <v>1863</v>
      </c>
      <c r="AZ17" s="2118"/>
      <c r="BA17" s="2118"/>
      <c r="BB17" s="2118"/>
      <c r="BC17" s="2118"/>
      <c r="BD17" s="2118"/>
      <c r="BE17" s="2118"/>
      <c r="BF17" s="2118"/>
      <c r="BG17" s="2118"/>
      <c r="BH17" s="2118"/>
      <c r="BJ17" s="2118" t="str">
        <f>+BJ5</f>
        <v>Change in FY2020 Q2</v>
      </c>
      <c r="BK17" s="2118"/>
      <c r="BL17" s="2118"/>
      <c r="BM17" s="2118"/>
      <c r="BN17" s="2118"/>
      <c r="BO17" s="2118"/>
      <c r="BP17" s="2118"/>
      <c r="BQ17" s="2118"/>
      <c r="BR17" s="2118"/>
      <c r="BS17" s="2118"/>
      <c r="BU17" s="2118" t="str">
        <f>+BU5</f>
        <v>Change in FY2020 Q3</v>
      </c>
      <c r="BV17" s="2118"/>
      <c r="BW17" s="2118"/>
      <c r="BX17" s="2118"/>
      <c r="BY17" s="2118"/>
      <c r="BZ17" s="2118"/>
      <c r="CA17" s="2118"/>
      <c r="CB17" s="2118"/>
      <c r="CC17" s="2118"/>
      <c r="CD17" s="2118"/>
      <c r="CE17" s="2118"/>
      <c r="CF17" s="2118"/>
      <c r="CG17" s="2118"/>
      <c r="CI17" s="2119" t="str">
        <f>+CI5</f>
        <v>Change in FY2020.Q4</v>
      </c>
      <c r="CJ17" s="2120"/>
      <c r="CK17" s="2120"/>
      <c r="CL17" s="2120"/>
      <c r="CM17" s="2120"/>
      <c r="CN17" s="2120"/>
      <c r="CO17" s="2120"/>
      <c r="CP17" s="2120"/>
      <c r="CQ17" s="2120"/>
      <c r="CR17" s="2120"/>
      <c r="CS17" s="2120"/>
      <c r="CT17" s="2120"/>
      <c r="CU17" s="2121"/>
      <c r="CV17" s="695"/>
      <c r="CW17" s="2122" t="s">
        <v>2397</v>
      </c>
      <c r="CX17" s="2123"/>
      <c r="CY17" s="2123"/>
      <c r="CZ17" s="2123"/>
      <c r="DA17" s="2123"/>
      <c r="DB17" s="2123"/>
      <c r="DC17" s="2123"/>
      <c r="DD17" s="2123"/>
      <c r="DE17" s="2123"/>
      <c r="DF17" s="2123"/>
      <c r="DG17" s="2123"/>
      <c r="DH17" s="2123"/>
      <c r="DI17" s="2124"/>
      <c r="DK17" s="2115" t="str">
        <f>+DK5</f>
        <v>Change in FY2022.Q4</v>
      </c>
      <c r="DL17" s="2116"/>
      <c r="DM17" s="2116"/>
      <c r="DN17" s="2116"/>
      <c r="DO17" s="2116"/>
      <c r="DP17" s="2116"/>
      <c r="DQ17" s="2116"/>
      <c r="DR17" s="2116"/>
      <c r="DS17" s="2116"/>
      <c r="DT17" s="2116"/>
      <c r="DU17" s="2116"/>
      <c r="DV17" s="2116"/>
      <c r="DW17" s="2117"/>
    </row>
    <row r="18" spans="3:127" s="519" customFormat="1" ht="18" customHeight="1">
      <c r="D18" s="696" t="s">
        <v>458</v>
      </c>
      <c r="E18" s="697" t="s">
        <v>459</v>
      </c>
      <c r="F18" s="698" t="s">
        <v>471</v>
      </c>
      <c r="G18" s="698" t="s">
        <v>466</v>
      </c>
      <c r="H18" s="698" t="s">
        <v>460</v>
      </c>
      <c r="I18" s="698" t="s">
        <v>461</v>
      </c>
      <c r="J18" s="698" t="s">
        <v>462</v>
      </c>
      <c r="K18" s="698" t="s">
        <v>463</v>
      </c>
      <c r="L18" s="698" t="s">
        <v>464</v>
      </c>
      <c r="M18" s="698" t="s">
        <v>2329</v>
      </c>
      <c r="N18" s="698" t="s">
        <v>483</v>
      </c>
      <c r="O18" s="698" t="s">
        <v>465</v>
      </c>
      <c r="P18" s="699" t="s">
        <v>477</v>
      </c>
      <c r="Q18" s="721"/>
      <c r="R18" s="701" t="s">
        <v>466</v>
      </c>
      <c r="S18" s="701" t="s">
        <v>460</v>
      </c>
      <c r="T18" s="701" t="s">
        <v>461</v>
      </c>
      <c r="U18" s="701" t="s">
        <v>462</v>
      </c>
      <c r="V18" s="701" t="s">
        <v>463</v>
      </c>
      <c r="W18" s="701" t="s">
        <v>464</v>
      </c>
      <c r="X18" s="701" t="s">
        <v>395</v>
      </c>
      <c r="Y18" s="701"/>
      <c r="Z18" s="701" t="s">
        <v>465</v>
      </c>
      <c r="AA18" s="701" t="s">
        <v>477</v>
      </c>
      <c r="AB18" s="700"/>
      <c r="AC18" s="701" t="s">
        <v>466</v>
      </c>
      <c r="AD18" s="701" t="s">
        <v>460</v>
      </c>
      <c r="AE18" s="701" t="s">
        <v>461</v>
      </c>
      <c r="AF18" s="701" t="s">
        <v>462</v>
      </c>
      <c r="AG18" s="701" t="s">
        <v>463</v>
      </c>
      <c r="AH18" s="701" t="s">
        <v>464</v>
      </c>
      <c r="AI18" s="701" t="str">
        <f>AI6</f>
        <v>2019 3Q</v>
      </c>
      <c r="AJ18" s="701"/>
      <c r="AK18" s="701" t="s">
        <v>465</v>
      </c>
      <c r="AL18" s="701" t="s">
        <v>477</v>
      </c>
      <c r="AN18" s="702" t="s">
        <v>466</v>
      </c>
      <c r="AO18" s="703" t="s">
        <v>460</v>
      </c>
      <c r="AP18" s="703" t="s">
        <v>461</v>
      </c>
      <c r="AQ18" s="703" t="s">
        <v>462</v>
      </c>
      <c r="AR18" s="703" t="s">
        <v>463</v>
      </c>
      <c r="AS18" s="703" t="s">
        <v>464</v>
      </c>
      <c r="AT18" s="703" t="str">
        <f>AT6</f>
        <v>2019 4Q</v>
      </c>
      <c r="AU18" s="703" t="s">
        <v>483</v>
      </c>
      <c r="AV18" s="703" t="s">
        <v>465</v>
      </c>
      <c r="AW18" s="704" t="s">
        <v>477</v>
      </c>
      <c r="AX18" s="495"/>
      <c r="AY18" s="701" t="s">
        <v>466</v>
      </c>
      <c r="AZ18" s="701" t="s">
        <v>460</v>
      </c>
      <c r="BA18" s="701" t="s">
        <v>461</v>
      </c>
      <c r="BB18" s="701" t="s">
        <v>462</v>
      </c>
      <c r="BC18" s="701" t="s">
        <v>463</v>
      </c>
      <c r="BD18" s="701" t="s">
        <v>464</v>
      </c>
      <c r="BE18" s="701" t="str">
        <f>BE6</f>
        <v>2019 4Q</v>
      </c>
      <c r="BF18" s="701"/>
      <c r="BG18" s="701" t="s">
        <v>465</v>
      </c>
      <c r="BH18" s="701" t="s">
        <v>477</v>
      </c>
      <c r="BJ18" s="701" t="s">
        <v>466</v>
      </c>
      <c r="BK18" s="701" t="s">
        <v>460</v>
      </c>
      <c r="BL18" s="701" t="s">
        <v>461</v>
      </c>
      <c r="BM18" s="701" t="s">
        <v>462</v>
      </c>
      <c r="BN18" s="701" t="s">
        <v>463</v>
      </c>
      <c r="BO18" s="701" t="s">
        <v>464</v>
      </c>
      <c r="BP18" s="701" t="str">
        <f>BP6</f>
        <v>2019 4Q</v>
      </c>
      <c r="BQ18" s="701"/>
      <c r="BR18" s="701" t="s">
        <v>465</v>
      </c>
      <c r="BS18" s="701" t="s">
        <v>477</v>
      </c>
      <c r="BU18" s="701" t="s">
        <v>466</v>
      </c>
      <c r="BV18" s="701" t="s">
        <v>460</v>
      </c>
      <c r="BW18" s="701" t="s">
        <v>1958</v>
      </c>
      <c r="BX18" s="701" t="s">
        <v>461</v>
      </c>
      <c r="BY18" s="701" t="s">
        <v>462</v>
      </c>
      <c r="BZ18" s="701" t="s">
        <v>463</v>
      </c>
      <c r="CA18" s="701" t="s">
        <v>464</v>
      </c>
      <c r="CB18" s="701" t="s">
        <v>1989</v>
      </c>
      <c r="CC18" s="701" t="s">
        <v>1988</v>
      </c>
      <c r="CD18" s="701" t="s">
        <v>1958</v>
      </c>
      <c r="CE18" s="701"/>
      <c r="CF18" s="701" t="s">
        <v>465</v>
      </c>
      <c r="CG18" s="701" t="s">
        <v>477</v>
      </c>
      <c r="CI18" s="702" t="s">
        <v>466</v>
      </c>
      <c r="CJ18" s="703" t="s">
        <v>460</v>
      </c>
      <c r="CK18" s="703" t="s">
        <v>1958</v>
      </c>
      <c r="CL18" s="703" t="s">
        <v>461</v>
      </c>
      <c r="CM18" s="703" t="s">
        <v>462</v>
      </c>
      <c r="CN18" s="703" t="s">
        <v>463</v>
      </c>
      <c r="CO18" s="703" t="s">
        <v>464</v>
      </c>
      <c r="CP18" s="703" t="s">
        <v>1989</v>
      </c>
      <c r="CQ18" s="703" t="s">
        <v>1988</v>
      </c>
      <c r="CR18" s="703" t="s">
        <v>1958</v>
      </c>
      <c r="CS18" s="703" t="s">
        <v>483</v>
      </c>
      <c r="CT18" s="703" t="s">
        <v>465</v>
      </c>
      <c r="CU18" s="704" t="s">
        <v>477</v>
      </c>
      <c r="CV18" s="705"/>
      <c r="CW18" s="702" t="s">
        <v>466</v>
      </c>
      <c r="CX18" s="703" t="s">
        <v>1958</v>
      </c>
      <c r="CY18" s="703" t="s">
        <v>2032</v>
      </c>
      <c r="CZ18" s="703" t="s">
        <v>461</v>
      </c>
      <c r="DA18" s="703" t="s">
        <v>462</v>
      </c>
      <c r="DB18" s="703" t="s">
        <v>463</v>
      </c>
      <c r="DC18" s="703" t="s">
        <v>464</v>
      </c>
      <c r="DD18" s="703" t="s">
        <v>1989</v>
      </c>
      <c r="DE18" s="703" t="s">
        <v>1958</v>
      </c>
      <c r="DF18" s="703" t="s">
        <v>1988</v>
      </c>
      <c r="DG18" s="703" t="s">
        <v>483</v>
      </c>
      <c r="DH18" s="703" t="s">
        <v>465</v>
      </c>
      <c r="DI18" s="704" t="s">
        <v>477</v>
      </c>
      <c r="DK18" s="706" t="s">
        <v>466</v>
      </c>
      <c r="DL18" s="707" t="s">
        <v>1958</v>
      </c>
      <c r="DM18" s="707" t="s">
        <v>2032</v>
      </c>
      <c r="DN18" s="707" t="s">
        <v>461</v>
      </c>
      <c r="DO18" s="707" t="s">
        <v>462</v>
      </c>
      <c r="DP18" s="707" t="s">
        <v>463</v>
      </c>
      <c r="DQ18" s="707" t="s">
        <v>464</v>
      </c>
      <c r="DR18" s="707" t="s">
        <v>1989</v>
      </c>
      <c r="DS18" s="707" t="s">
        <v>1958</v>
      </c>
      <c r="DT18" s="707" t="s">
        <v>1988</v>
      </c>
      <c r="DU18" s="707" t="s">
        <v>483</v>
      </c>
      <c r="DV18" s="707" t="s">
        <v>465</v>
      </c>
      <c r="DW18" s="708" t="s">
        <v>477</v>
      </c>
    </row>
    <row r="19" spans="3:127" s="519" customFormat="1" ht="18" customHeight="1">
      <c r="D19" s="702" t="s">
        <v>472</v>
      </c>
      <c r="E19" s="703" t="s">
        <v>455</v>
      </c>
      <c r="F19" s="703"/>
      <c r="G19" s="703"/>
      <c r="H19" s="703"/>
      <c r="I19" s="703"/>
      <c r="J19" s="703"/>
      <c r="K19" s="703"/>
      <c r="L19" s="703" t="s">
        <v>534</v>
      </c>
      <c r="M19" s="722">
        <v>10.1318</v>
      </c>
      <c r="N19" s="722"/>
      <c r="O19" s="703"/>
      <c r="P19" s="704"/>
      <c r="Q19" s="721"/>
      <c r="R19" s="701"/>
      <c r="S19" s="701"/>
      <c r="T19" s="701"/>
      <c r="U19" s="701"/>
      <c r="V19" s="701"/>
      <c r="W19" s="701" t="s">
        <v>534</v>
      </c>
      <c r="X19" s="723">
        <v>10.282400000000001</v>
      </c>
      <c r="Y19" s="723"/>
      <c r="Z19" s="701"/>
      <c r="AA19" s="701"/>
      <c r="AB19" s="700"/>
      <c r="AC19" s="701"/>
      <c r="AD19" s="701"/>
      <c r="AE19" s="701"/>
      <c r="AF19" s="701"/>
      <c r="AG19" s="701"/>
      <c r="AH19" s="701" t="s">
        <v>534</v>
      </c>
      <c r="AI19" s="723">
        <v>0</v>
      </c>
      <c r="AJ19" s="723"/>
      <c r="AK19" s="701"/>
      <c r="AL19" s="701"/>
      <c r="AN19" s="702"/>
      <c r="AO19" s="703"/>
      <c r="AP19" s="703"/>
      <c r="AQ19" s="703"/>
      <c r="AR19" s="703"/>
      <c r="AS19" s="703" t="s">
        <v>534</v>
      </c>
      <c r="AT19" s="722">
        <v>0</v>
      </c>
      <c r="AU19" s="722"/>
      <c r="AV19" s="703"/>
      <c r="AW19" s="704"/>
      <c r="AX19" s="495"/>
      <c r="AY19" s="701"/>
      <c r="AZ19" s="701"/>
      <c r="BA19" s="701"/>
      <c r="BB19" s="701"/>
      <c r="BC19" s="701"/>
      <c r="BD19" s="701" t="s">
        <v>534</v>
      </c>
      <c r="BE19" s="723">
        <v>0</v>
      </c>
      <c r="BF19" s="723"/>
      <c r="BG19" s="701"/>
      <c r="BH19" s="701"/>
      <c r="BJ19" s="701"/>
      <c r="BK19" s="701"/>
      <c r="BL19" s="701"/>
      <c r="BM19" s="701"/>
      <c r="BN19" s="701"/>
      <c r="BO19" s="701" t="s">
        <v>534</v>
      </c>
      <c r="BP19" s="723">
        <v>0</v>
      </c>
      <c r="BQ19" s="723"/>
      <c r="BR19" s="701"/>
      <c r="BS19" s="701"/>
      <c r="BU19" s="701"/>
      <c r="BV19" s="701"/>
      <c r="BW19" s="701"/>
      <c r="BX19" s="701"/>
      <c r="BY19" s="701"/>
      <c r="BZ19" s="701"/>
      <c r="CA19" s="701" t="s">
        <v>534</v>
      </c>
      <c r="CB19" s="701"/>
      <c r="CC19" s="723">
        <v>0</v>
      </c>
      <c r="CD19" s="723"/>
      <c r="CE19" s="723"/>
      <c r="CF19" s="701"/>
      <c r="CG19" s="701"/>
      <c r="CI19" s="702"/>
      <c r="CJ19" s="703"/>
      <c r="CK19" s="703"/>
      <c r="CL19" s="703"/>
      <c r="CM19" s="703"/>
      <c r="CN19" s="703"/>
      <c r="CO19" s="703" t="s">
        <v>534</v>
      </c>
      <c r="CP19" s="703"/>
      <c r="CQ19" s="722">
        <v>0</v>
      </c>
      <c r="CR19" s="722"/>
      <c r="CS19" s="722"/>
      <c r="CT19" s="703"/>
      <c r="CU19" s="704"/>
      <c r="CV19" s="705"/>
      <c r="CW19" s="702"/>
      <c r="CX19" s="703"/>
      <c r="CY19" s="703"/>
      <c r="CZ19" s="703"/>
      <c r="DA19" s="703"/>
      <c r="DB19" s="703"/>
      <c r="DC19" s="703" t="s">
        <v>534</v>
      </c>
      <c r="DD19" s="703"/>
      <c r="DE19" s="703"/>
      <c r="DF19" s="703"/>
      <c r="DG19" s="703"/>
      <c r="DH19" s="703"/>
      <c r="DI19" s="704"/>
      <c r="DK19" s="706"/>
      <c r="DL19" s="707"/>
      <c r="DM19" s="707"/>
      <c r="DN19" s="707"/>
      <c r="DO19" s="707"/>
      <c r="DP19" s="707"/>
      <c r="DQ19" s="707" t="s">
        <v>534</v>
      </c>
      <c r="DR19" s="707"/>
      <c r="DS19" s="724"/>
      <c r="DT19" s="724"/>
      <c r="DU19" s="724"/>
      <c r="DV19" s="707"/>
      <c r="DW19" s="708"/>
    </row>
    <row r="20" spans="3:127" ht="18" customHeight="1">
      <c r="C20" s="498" t="s">
        <v>1986</v>
      </c>
      <c r="D20" s="655" t="s">
        <v>15</v>
      </c>
      <c r="E20" s="572" t="s">
        <v>1983</v>
      </c>
      <c r="F20" s="709" t="s">
        <v>473</v>
      </c>
      <c r="G20" s="552">
        <v>21748156283</v>
      </c>
      <c r="H20" s="552">
        <v>21748156283</v>
      </c>
      <c r="I20" s="552"/>
      <c r="J20" s="552"/>
      <c r="K20" s="552"/>
      <c r="L20" s="552">
        <v>-207501911</v>
      </c>
      <c r="M20" s="552">
        <f>SUM(H20:L20)</f>
        <v>21540654372</v>
      </c>
      <c r="N20" s="552"/>
      <c r="O20" s="552">
        <f>M20-H20</f>
        <v>-207501911</v>
      </c>
      <c r="P20" s="711" t="s">
        <v>476</v>
      </c>
      <c r="Q20" s="725"/>
      <c r="R20" s="498">
        <v>21748156283</v>
      </c>
      <c r="S20" s="498">
        <f>M20</f>
        <v>21540654372</v>
      </c>
      <c r="W20" s="498">
        <v>320182253</v>
      </c>
      <c r="X20" s="498">
        <f>SUM(S20:W20)</f>
        <v>21860836625</v>
      </c>
      <c r="Z20" s="498">
        <f>X20-S20</f>
        <v>320182253</v>
      </c>
      <c r="AA20" s="565"/>
      <c r="AB20" s="565"/>
      <c r="AC20" s="498">
        <f>R20</f>
        <v>21748156283</v>
      </c>
      <c r="AD20" s="498">
        <f>M20</f>
        <v>21540654372</v>
      </c>
      <c r="AE20" s="498">
        <f t="shared" ref="AE20:AG25" si="16">T20</f>
        <v>0</v>
      </c>
      <c r="AF20" s="498">
        <f t="shared" si="16"/>
        <v>0</v>
      </c>
      <c r="AG20" s="498">
        <f t="shared" si="16"/>
        <v>0</v>
      </c>
      <c r="AH20" s="498">
        <v>2130721472</v>
      </c>
      <c r="AI20" s="498">
        <v>23671375844</v>
      </c>
      <c r="AK20" s="498">
        <f>AI20-AD20</f>
        <v>2130721472</v>
      </c>
      <c r="AL20" s="565"/>
      <c r="AN20" s="551">
        <f>AC20</f>
        <v>21748156283</v>
      </c>
      <c r="AO20" s="552">
        <f>M20</f>
        <v>21540654372</v>
      </c>
      <c r="AP20" s="552">
        <f>AE20</f>
        <v>0</v>
      </c>
      <c r="AQ20" s="552">
        <f>ROUND(AQ7*AP31,0)</f>
        <v>-20593687255</v>
      </c>
      <c r="AR20" s="552">
        <f>AG20</f>
        <v>0</v>
      </c>
      <c r="AS20" s="552">
        <v>1069187616</v>
      </c>
      <c r="AT20" s="552">
        <f>ROUND(AT7*AP31,0)</f>
        <v>2016154733</v>
      </c>
      <c r="AU20" s="552"/>
      <c r="AV20" s="552">
        <f>AT20-AO20</f>
        <v>-19524499639</v>
      </c>
      <c r="AW20" s="711" t="s">
        <v>1745</v>
      </c>
      <c r="AX20" s="540" t="b">
        <f>SUM(AD20:AH20)-AI20=0</f>
        <v>1</v>
      </c>
      <c r="AY20" s="498">
        <f>AC20</f>
        <v>21748156283</v>
      </c>
      <c r="AZ20" s="498">
        <f>+AT20</f>
        <v>2016154733</v>
      </c>
      <c r="BA20" s="498">
        <f>AE20</f>
        <v>0</v>
      </c>
      <c r="BB20" s="498">
        <f>ROUND(BB7*BA31,0)</f>
        <v>0</v>
      </c>
      <c r="BC20" s="498">
        <f>AG20</f>
        <v>0</v>
      </c>
      <c r="BD20" s="498">
        <f>+BE20-BC20-BB20-BA20-AZ20</f>
        <v>127702881</v>
      </c>
      <c r="BE20" s="498">
        <f>ROUND(BE7*BA31,0)</f>
        <v>2143857614</v>
      </c>
      <c r="BG20" s="498">
        <f>BE20-AZ20</f>
        <v>127702881</v>
      </c>
      <c r="BH20" s="565" t="s">
        <v>1745</v>
      </c>
      <c r="BI20" s="494" t="b">
        <f>SUM(AO20:AS20)-AT20=0</f>
        <v>1</v>
      </c>
      <c r="BJ20" s="498">
        <v>21748156283</v>
      </c>
      <c r="BK20" s="498">
        <v>2016154733</v>
      </c>
      <c r="BL20" s="498">
        <v>0</v>
      </c>
      <c r="BM20" s="498">
        <v>0</v>
      </c>
      <c r="BN20" s="498">
        <v>0</v>
      </c>
      <c r="BO20" s="498">
        <v>99682563</v>
      </c>
      <c r="BP20" s="498">
        <v>2115837296</v>
      </c>
      <c r="BR20" s="498">
        <v>99682563</v>
      </c>
      <c r="BS20" s="565" t="s">
        <v>1745</v>
      </c>
      <c r="BU20" s="498">
        <f>+BV20-BW20</f>
        <v>22609841988</v>
      </c>
      <c r="BV20" s="498">
        <f>ROUND(BV7*$BX$32,)</f>
        <v>2016154733</v>
      </c>
      <c r="BW20" s="498">
        <f>ROUND(BW7*$BX$32,)</f>
        <v>-20593687255</v>
      </c>
      <c r="BX20" s="498">
        <f>AP20</f>
        <v>0</v>
      </c>
      <c r="BY20" s="498">
        <f>ROUND(BY7*BX30,0)</f>
        <v>0</v>
      </c>
      <c r="BZ20" s="498">
        <f t="shared" ref="BZ20:BZ26" si="17">AR20</f>
        <v>0</v>
      </c>
      <c r="CA20" s="498">
        <f>+CC20-BZ20-BY20-BX20-BV20</f>
        <v>92118216</v>
      </c>
      <c r="CB20" s="498">
        <f>ROUND(CB7*$BX$31,)</f>
        <v>23642886853</v>
      </c>
      <c r="CC20" s="498">
        <f>CB20+CD20</f>
        <v>2108272949</v>
      </c>
      <c r="CD20" s="498">
        <f>ROUND(CD7*BX31,0)</f>
        <v>-21534613904</v>
      </c>
      <c r="CF20" s="498">
        <f>CC20-BV20</f>
        <v>92118216</v>
      </c>
      <c r="CG20" s="565" t="s">
        <v>1745</v>
      </c>
      <c r="CI20" s="551">
        <f t="shared" ref="CI20:CI26" si="18">BU20</f>
        <v>22609841988</v>
      </c>
      <c r="CJ20" s="552">
        <f t="shared" ref="CJ20:CJ26" si="19">BV20</f>
        <v>2016154733</v>
      </c>
      <c r="CK20" s="552">
        <f>ROUND(CK7*$CL$32,)</f>
        <v>-20593687255</v>
      </c>
      <c r="CL20" s="552"/>
      <c r="CM20" s="552">
        <v>0</v>
      </c>
      <c r="CN20" s="552"/>
      <c r="CO20" s="552">
        <f>+CQ20-CN20-CM20-CL20-CJ20</f>
        <v>-17460564</v>
      </c>
      <c r="CP20" s="668">
        <f>ROUND(CP7*$CL$31,)</f>
        <v>22414033319</v>
      </c>
      <c r="CQ20" s="668">
        <f>CP20+CR20</f>
        <v>1998694169</v>
      </c>
      <c r="CR20" s="668">
        <f>ROUND(CR7*CL31,0)</f>
        <v>-20415339150</v>
      </c>
      <c r="CS20" s="552"/>
      <c r="CT20" s="552">
        <f t="shared" ref="CT20:CT26" si="20">CQ20-CJ20</f>
        <v>-17460564</v>
      </c>
      <c r="CU20" s="711" t="s">
        <v>1745</v>
      </c>
      <c r="CV20" s="712"/>
      <c r="CW20" s="551">
        <v>22414033319</v>
      </c>
      <c r="CX20" s="552">
        <v>-20415339150</v>
      </c>
      <c r="CY20" s="552">
        <v>1998694169</v>
      </c>
      <c r="CZ20" s="552"/>
      <c r="DA20" s="552">
        <v>0</v>
      </c>
      <c r="DB20" s="552"/>
      <c r="DC20" s="552">
        <v>-45537754</v>
      </c>
      <c r="DD20" s="668">
        <v>21903357509</v>
      </c>
      <c r="DE20" s="668">
        <v>-19950201094</v>
      </c>
      <c r="DF20" s="552">
        <v>1953156415</v>
      </c>
      <c r="DG20" s="552"/>
      <c r="DH20" s="552">
        <v>-45537754</v>
      </c>
      <c r="DI20" s="711" t="s">
        <v>2399</v>
      </c>
      <c r="DK20" s="551">
        <f t="shared" ref="DK20:DK26" si="21">DD20</f>
        <v>21903357509</v>
      </c>
      <c r="DL20" s="552">
        <f t="shared" ref="DL20:DL26" si="22">DE20</f>
        <v>-19950201094</v>
      </c>
      <c r="DM20" s="552">
        <f>DF20</f>
        <v>1953156415</v>
      </c>
      <c r="DN20" s="552"/>
      <c r="DO20" s="552">
        <v>0</v>
      </c>
      <c r="DP20" s="552"/>
      <c r="DQ20" s="552">
        <f>+DT20-DP20-DO20-DN20-DM20</f>
        <v>-130906828</v>
      </c>
      <c r="DR20" s="668">
        <f>ROUND(DR7*DM31,)</f>
        <v>20435324006</v>
      </c>
      <c r="DS20" s="668">
        <f>ROUND(DS7*DM31,)</f>
        <v>-18613074419</v>
      </c>
      <c r="DT20" s="552">
        <f t="shared" ref="DT20:DT26" si="23">DR20+DS20</f>
        <v>1822249587</v>
      </c>
      <c r="DU20" s="552"/>
      <c r="DV20" s="552">
        <f t="shared" ref="DV20:DV26" si="24">DT20-DM20</f>
        <v>-130906828</v>
      </c>
      <c r="DW20" s="711" t="s">
        <v>2879</v>
      </c>
    </row>
    <row r="21" spans="3:127" ht="18" customHeight="1">
      <c r="C21" s="498" t="s">
        <v>1986</v>
      </c>
      <c r="D21" s="655" t="s">
        <v>15</v>
      </c>
      <c r="E21" s="572" t="s">
        <v>1984</v>
      </c>
      <c r="F21" s="709" t="s">
        <v>473</v>
      </c>
      <c r="G21" s="552">
        <v>19842800</v>
      </c>
      <c r="H21" s="552">
        <v>19842800</v>
      </c>
      <c r="I21" s="552"/>
      <c r="J21" s="552"/>
      <c r="K21" s="552"/>
      <c r="L21" s="552"/>
      <c r="M21" s="552">
        <f>SUM(H21:L21)</f>
        <v>19842800</v>
      </c>
      <c r="N21" s="552"/>
      <c r="O21" s="552">
        <f>M21-H21</f>
        <v>0</v>
      </c>
      <c r="P21" s="711"/>
      <c r="Q21" s="725"/>
      <c r="R21" s="498">
        <v>19842800</v>
      </c>
      <c r="S21" s="498">
        <f>M21</f>
        <v>19842800</v>
      </c>
      <c r="X21" s="498">
        <f>SUM(S21:W21)</f>
        <v>19842800</v>
      </c>
      <c r="Z21" s="498">
        <f>X21-S21</f>
        <v>0</v>
      </c>
      <c r="AA21" s="565"/>
      <c r="AB21" s="565"/>
      <c r="AC21" s="498">
        <f>R21</f>
        <v>19842800</v>
      </c>
      <c r="AD21" s="498">
        <f>S21</f>
        <v>19842800</v>
      </c>
      <c r="AE21" s="498">
        <f t="shared" si="16"/>
        <v>0</v>
      </c>
      <c r="AF21" s="498">
        <f t="shared" si="16"/>
        <v>0</v>
      </c>
      <c r="AG21" s="498">
        <f t="shared" si="16"/>
        <v>0</v>
      </c>
      <c r="AH21" s="498">
        <f>W21</f>
        <v>0</v>
      </c>
      <c r="AI21" s="498">
        <f>AI8</f>
        <v>19842800</v>
      </c>
      <c r="AK21" s="498">
        <f>AI21-AD21</f>
        <v>0</v>
      </c>
      <c r="AL21" s="565"/>
      <c r="AN21" s="551">
        <f>AC21</f>
        <v>19842800</v>
      </c>
      <c r="AO21" s="552">
        <f>AD21</f>
        <v>19842800</v>
      </c>
      <c r="AP21" s="552">
        <f>AE21</f>
        <v>0</v>
      </c>
      <c r="AQ21" s="552">
        <f>AF21</f>
        <v>0</v>
      </c>
      <c r="AR21" s="552">
        <f>AG21</f>
        <v>0</v>
      </c>
      <c r="AS21" s="552">
        <f>AH21</f>
        <v>0</v>
      </c>
      <c r="AT21" s="552">
        <f>AT8</f>
        <v>19842800</v>
      </c>
      <c r="AU21" s="552"/>
      <c r="AV21" s="552">
        <f>AT21-AO21</f>
        <v>0</v>
      </c>
      <c r="AW21" s="711"/>
      <c r="AX21" s="540" t="b">
        <f>SUM(AD21:AH21)=AI21</f>
        <v>1</v>
      </c>
      <c r="AY21" s="498">
        <f>AC21</f>
        <v>19842800</v>
      </c>
      <c r="AZ21" s="498">
        <f>+AT21</f>
        <v>19842800</v>
      </c>
      <c r="BA21" s="498">
        <f>AE21</f>
        <v>0</v>
      </c>
      <c r="BB21" s="498">
        <f>AF21</f>
        <v>0</v>
      </c>
      <c r="BC21" s="498">
        <f>AG21</f>
        <v>0</v>
      </c>
      <c r="BD21" s="498">
        <f>AH21</f>
        <v>0</v>
      </c>
      <c r="BE21" s="498">
        <f>BE8</f>
        <v>19842800</v>
      </c>
      <c r="BG21" s="498">
        <f>BE21-AZ21</f>
        <v>0</v>
      </c>
      <c r="BH21" s="565"/>
      <c r="BI21" s="494" t="b">
        <f>SUM(AO21:AS21)=AT21</f>
        <v>1</v>
      </c>
      <c r="BJ21" s="498">
        <v>19842800</v>
      </c>
      <c r="BK21" s="498">
        <v>19842800</v>
      </c>
      <c r="BL21" s="498">
        <v>0</v>
      </c>
      <c r="BM21" s="498">
        <v>0</v>
      </c>
      <c r="BN21" s="498">
        <v>0</v>
      </c>
      <c r="BO21" s="498">
        <v>0</v>
      </c>
      <c r="BP21" s="498">
        <v>19842800</v>
      </c>
      <c r="BR21" s="498">
        <v>0</v>
      </c>
      <c r="BS21" s="565"/>
      <c r="BU21" s="498">
        <f>+BV21-BW21</f>
        <v>19842800</v>
      </c>
      <c r="BV21" s="498">
        <f>+AT21</f>
        <v>19842800</v>
      </c>
      <c r="BW21" s="498">
        <f>+BW8</f>
        <v>0</v>
      </c>
      <c r="BX21" s="498">
        <f>AP21</f>
        <v>0</v>
      </c>
      <c r="BY21" s="498">
        <f>AQ21</f>
        <v>0</v>
      </c>
      <c r="BZ21" s="498">
        <f t="shared" si="17"/>
        <v>0</v>
      </c>
      <c r="CA21" s="498">
        <f>AS21</f>
        <v>0</v>
      </c>
      <c r="CB21" s="498">
        <f>+CB8</f>
        <v>19842800</v>
      </c>
      <c r="CC21" s="498">
        <f>SUM(BV21:CA21)-BW21</f>
        <v>19842800</v>
      </c>
      <c r="CD21" s="498">
        <f>+CD8</f>
        <v>0</v>
      </c>
      <c r="CF21" s="498">
        <f>CC21-BV21</f>
        <v>0</v>
      </c>
      <c r="CG21" s="565"/>
      <c r="CI21" s="551">
        <f t="shared" si="18"/>
        <v>19842800</v>
      </c>
      <c r="CJ21" s="552">
        <f t="shared" si="19"/>
        <v>19842800</v>
      </c>
      <c r="CK21" s="552">
        <f>+CK8</f>
        <v>0</v>
      </c>
      <c r="CL21" s="552"/>
      <c r="CM21" s="552">
        <v>0</v>
      </c>
      <c r="CN21" s="552"/>
      <c r="CO21" s="552">
        <f>BG21</f>
        <v>0</v>
      </c>
      <c r="CP21" s="668">
        <f t="shared" ref="CP21:CP26" si="25">+CP8</f>
        <v>19842800</v>
      </c>
      <c r="CQ21" s="668">
        <f t="shared" ref="CQ21:CQ26" si="26">SUM(CJ21:CO21)-CK21</f>
        <v>19842800</v>
      </c>
      <c r="CR21" s="668">
        <f t="shared" ref="CR21:CR26" si="27">+CR8</f>
        <v>0</v>
      </c>
      <c r="CS21" s="552"/>
      <c r="CT21" s="552">
        <f t="shared" si="20"/>
        <v>0</v>
      </c>
      <c r="CU21" s="711"/>
      <c r="CV21" s="712"/>
      <c r="CW21" s="551">
        <v>19842800</v>
      </c>
      <c r="CX21" s="552">
        <v>0</v>
      </c>
      <c r="CY21" s="552">
        <v>19842800</v>
      </c>
      <c r="CZ21" s="552"/>
      <c r="DA21" s="552">
        <v>0</v>
      </c>
      <c r="DB21" s="552"/>
      <c r="DC21" s="552">
        <v>0</v>
      </c>
      <c r="DD21" s="668">
        <v>19842800</v>
      </c>
      <c r="DE21" s="668">
        <v>0</v>
      </c>
      <c r="DF21" s="552">
        <v>19842800</v>
      </c>
      <c r="DG21" s="552"/>
      <c r="DH21" s="552">
        <v>0</v>
      </c>
      <c r="DI21" s="711"/>
      <c r="DK21" s="551">
        <f t="shared" si="21"/>
        <v>19842800</v>
      </c>
      <c r="DL21" s="552">
        <f t="shared" si="22"/>
        <v>0</v>
      </c>
      <c r="DM21" s="552">
        <f t="shared" ref="DM21:DM26" si="28">DF21</f>
        <v>19842800</v>
      </c>
      <c r="DN21" s="552"/>
      <c r="DO21" s="552">
        <v>0</v>
      </c>
      <c r="DP21" s="552"/>
      <c r="DQ21" s="552">
        <v>0</v>
      </c>
      <c r="DR21" s="668">
        <f t="shared" ref="DR21:DR26" si="29">DK21</f>
        <v>19842800</v>
      </c>
      <c r="DS21" s="668">
        <f t="shared" ref="DS21:DS26" si="30">DL21+DO21</f>
        <v>0</v>
      </c>
      <c r="DT21" s="552">
        <f t="shared" si="23"/>
        <v>19842800</v>
      </c>
      <c r="DU21" s="552"/>
      <c r="DV21" s="552">
        <f t="shared" si="24"/>
        <v>0</v>
      </c>
      <c r="DW21" s="711"/>
    </row>
    <row r="22" spans="3:127" ht="18" customHeight="1">
      <c r="C22" s="498" t="s">
        <v>1986</v>
      </c>
      <c r="D22" s="655" t="s">
        <v>15</v>
      </c>
      <c r="E22" s="572" t="s">
        <v>1985</v>
      </c>
      <c r="F22" s="709" t="s">
        <v>473</v>
      </c>
      <c r="G22" s="552">
        <v>297103293</v>
      </c>
      <c r="H22" s="552">
        <v>297103293</v>
      </c>
      <c r="I22" s="552"/>
      <c r="J22" s="552">
        <v>-294995310</v>
      </c>
      <c r="K22" s="552"/>
      <c r="L22" s="552">
        <v>-2107983</v>
      </c>
      <c r="M22" s="552">
        <f>SUM(H22:L22)</f>
        <v>0</v>
      </c>
      <c r="N22" s="552"/>
      <c r="O22" s="552">
        <f>M22-H22</f>
        <v>-297103293</v>
      </c>
      <c r="P22" s="711" t="s">
        <v>480</v>
      </c>
      <c r="Q22" s="565"/>
      <c r="R22" s="498">
        <v>297103293</v>
      </c>
      <c r="S22" s="498">
        <f>M22</f>
        <v>0</v>
      </c>
      <c r="X22" s="498">
        <f>SUM(S22:W22)</f>
        <v>0</v>
      </c>
      <c r="Z22" s="498">
        <f>X22-S22</f>
        <v>0</v>
      </c>
      <c r="AA22" s="565"/>
      <c r="AB22" s="565"/>
      <c r="AC22" s="498">
        <f>R22</f>
        <v>297103293</v>
      </c>
      <c r="AD22" s="498">
        <f>S22</f>
        <v>0</v>
      </c>
      <c r="AE22" s="498">
        <f>T22</f>
        <v>0</v>
      </c>
      <c r="AF22" s="498">
        <f>U22</f>
        <v>0</v>
      </c>
      <c r="AG22" s="498">
        <f>V22</f>
        <v>0</v>
      </c>
      <c r="AH22" s="498">
        <f>W22</f>
        <v>0</v>
      </c>
      <c r="AI22" s="498">
        <f>SUM(AD22:AH22)</f>
        <v>0</v>
      </c>
      <c r="AK22" s="498">
        <f>AI22-AD22</f>
        <v>0</v>
      </c>
      <c r="AL22" s="565"/>
      <c r="AN22" s="551">
        <f>AC22</f>
        <v>297103293</v>
      </c>
      <c r="AO22" s="552">
        <f>AD22</f>
        <v>0</v>
      </c>
      <c r="AP22" s="552">
        <f>AE22</f>
        <v>0</v>
      </c>
      <c r="AQ22" s="552">
        <f>AF22</f>
        <v>0</v>
      </c>
      <c r="AR22" s="552">
        <f>AG22</f>
        <v>0</v>
      </c>
      <c r="AS22" s="552">
        <f>AH22</f>
        <v>0</v>
      </c>
      <c r="AT22" s="552">
        <f>SUM(AO22:AS22)</f>
        <v>0</v>
      </c>
      <c r="AU22" s="552"/>
      <c r="AV22" s="552">
        <f>AT22-AO22</f>
        <v>0</v>
      </c>
      <c r="AW22" s="711"/>
      <c r="AX22" s="540" t="b">
        <f>SUM(AD22:AH22)=AI22</f>
        <v>1</v>
      </c>
      <c r="AY22" s="498">
        <f>AC22</f>
        <v>297103293</v>
      </c>
      <c r="AZ22" s="498">
        <f>+AT22</f>
        <v>0</v>
      </c>
      <c r="BA22" s="498">
        <f>AE22</f>
        <v>0</v>
      </c>
      <c r="BB22" s="498">
        <f>AF22</f>
        <v>0</v>
      </c>
      <c r="BC22" s="498">
        <f>AG22</f>
        <v>0</v>
      </c>
      <c r="BD22" s="498">
        <f>AH22</f>
        <v>0</v>
      </c>
      <c r="BE22" s="498">
        <f>SUM(AZ22:BD22)</f>
        <v>0</v>
      </c>
      <c r="BG22" s="498">
        <f>BE22-AZ22</f>
        <v>0</v>
      </c>
      <c r="BH22" s="565"/>
      <c r="BI22" s="494" t="b">
        <f>SUM(AO22:AS22)=AT22</f>
        <v>1</v>
      </c>
      <c r="BJ22" s="498">
        <v>297103293</v>
      </c>
      <c r="BK22" s="498">
        <v>0</v>
      </c>
      <c r="BL22" s="498">
        <v>0</v>
      </c>
      <c r="BM22" s="498">
        <v>0</v>
      </c>
      <c r="BN22" s="498">
        <v>0</v>
      </c>
      <c r="BO22" s="498">
        <v>0</v>
      </c>
      <c r="BP22" s="498">
        <v>0</v>
      </c>
      <c r="BR22" s="498">
        <v>0</v>
      </c>
      <c r="BS22" s="565"/>
      <c r="BU22" s="498">
        <f>+BV22-BW22</f>
        <v>297103293</v>
      </c>
      <c r="BV22" s="498">
        <f>+AT22</f>
        <v>0</v>
      </c>
      <c r="BW22" s="498">
        <f>+BW9</f>
        <v>-297103293</v>
      </c>
      <c r="BX22" s="498">
        <f>AP22</f>
        <v>0</v>
      </c>
      <c r="BY22" s="498">
        <f>AQ22</f>
        <v>0</v>
      </c>
      <c r="BZ22" s="498">
        <f>AR22</f>
        <v>0</v>
      </c>
      <c r="CA22" s="498">
        <f>AS22</f>
        <v>0</v>
      </c>
      <c r="CB22" s="498">
        <f>+CB9</f>
        <v>297103293</v>
      </c>
      <c r="CC22" s="498">
        <f>SUM(BV22:CA22)-BW22</f>
        <v>0</v>
      </c>
      <c r="CD22" s="498">
        <f>+CD9</f>
        <v>-297103293</v>
      </c>
      <c r="CF22" s="498">
        <f>CC22-BV22</f>
        <v>0</v>
      </c>
      <c r="CG22" s="565"/>
      <c r="CI22" s="551">
        <f>BU22</f>
        <v>297103293</v>
      </c>
      <c r="CJ22" s="552">
        <f>BV22</f>
        <v>0</v>
      </c>
      <c r="CK22" s="552">
        <f>+CK9</f>
        <v>-297103293</v>
      </c>
      <c r="CL22" s="552"/>
      <c r="CM22" s="552">
        <v>0</v>
      </c>
      <c r="CN22" s="552"/>
      <c r="CO22" s="552">
        <f>BG22</f>
        <v>0</v>
      </c>
      <c r="CP22" s="668">
        <f t="shared" si="25"/>
        <v>297103293</v>
      </c>
      <c r="CQ22" s="668">
        <f t="shared" si="26"/>
        <v>0</v>
      </c>
      <c r="CR22" s="668">
        <f t="shared" si="27"/>
        <v>-297103293</v>
      </c>
      <c r="CS22" s="552"/>
      <c r="CT22" s="552">
        <f t="shared" si="20"/>
        <v>0</v>
      </c>
      <c r="CU22" s="711"/>
      <c r="CV22" s="712"/>
      <c r="CW22" s="551">
        <v>297103293</v>
      </c>
      <c r="CX22" s="552">
        <v>-297103293</v>
      </c>
      <c r="CY22" s="552">
        <v>0</v>
      </c>
      <c r="CZ22" s="552"/>
      <c r="DA22" s="552">
        <v>0</v>
      </c>
      <c r="DB22" s="552"/>
      <c r="DC22" s="552">
        <v>0</v>
      </c>
      <c r="DD22" s="668">
        <v>297103293</v>
      </c>
      <c r="DE22" s="668">
        <v>-297103293</v>
      </c>
      <c r="DF22" s="552">
        <v>0</v>
      </c>
      <c r="DG22" s="552"/>
      <c r="DH22" s="552">
        <v>0</v>
      </c>
      <c r="DI22" s="711"/>
      <c r="DK22" s="551">
        <f t="shared" si="21"/>
        <v>297103293</v>
      </c>
      <c r="DL22" s="552">
        <f t="shared" si="22"/>
        <v>-297103293</v>
      </c>
      <c r="DM22" s="552">
        <f t="shared" si="28"/>
        <v>0</v>
      </c>
      <c r="DN22" s="552"/>
      <c r="DO22" s="552">
        <v>0</v>
      </c>
      <c r="DP22" s="552"/>
      <c r="DQ22" s="552">
        <v>0</v>
      </c>
      <c r="DR22" s="668">
        <f t="shared" si="29"/>
        <v>297103293</v>
      </c>
      <c r="DS22" s="668">
        <f t="shared" si="30"/>
        <v>-297103293</v>
      </c>
      <c r="DT22" s="552">
        <f t="shared" si="23"/>
        <v>0</v>
      </c>
      <c r="DU22" s="552"/>
      <c r="DV22" s="552">
        <f t="shared" si="24"/>
        <v>0</v>
      </c>
      <c r="DW22" s="711"/>
    </row>
    <row r="23" spans="3:127" ht="18" customHeight="1">
      <c r="C23" s="498" t="s">
        <v>1986</v>
      </c>
      <c r="D23" s="655" t="s">
        <v>15</v>
      </c>
      <c r="E23" s="572" t="s">
        <v>2082</v>
      </c>
      <c r="F23" s="709" t="s">
        <v>473</v>
      </c>
      <c r="G23" s="552"/>
      <c r="H23" s="552"/>
      <c r="I23" s="552"/>
      <c r="J23" s="552"/>
      <c r="K23" s="552"/>
      <c r="L23" s="552"/>
      <c r="M23" s="552"/>
      <c r="N23" s="552"/>
      <c r="O23" s="552"/>
      <c r="P23" s="711"/>
      <c r="Q23" s="565"/>
      <c r="AA23" s="565"/>
      <c r="AB23" s="565"/>
      <c r="AL23" s="565"/>
      <c r="AN23" s="551"/>
      <c r="AO23" s="552"/>
      <c r="AP23" s="552"/>
      <c r="AQ23" s="552"/>
      <c r="AR23" s="552"/>
      <c r="AS23" s="552"/>
      <c r="AT23" s="552"/>
      <c r="AU23" s="552"/>
      <c r="AV23" s="552"/>
      <c r="AW23" s="711"/>
      <c r="AX23" s="540"/>
      <c r="BH23" s="565"/>
      <c r="BI23" s="494"/>
      <c r="BS23" s="565"/>
      <c r="CG23" s="565"/>
      <c r="CI23" s="551">
        <v>0</v>
      </c>
      <c r="CJ23" s="552">
        <v>0</v>
      </c>
      <c r="CK23" s="552">
        <v>0</v>
      </c>
      <c r="CL23" s="552"/>
      <c r="CM23" s="552">
        <v>0</v>
      </c>
      <c r="CN23" s="552"/>
      <c r="CO23" s="552">
        <v>0</v>
      </c>
      <c r="CP23" s="668">
        <f t="shared" si="25"/>
        <v>0</v>
      </c>
      <c r="CQ23" s="668">
        <f t="shared" si="26"/>
        <v>0</v>
      </c>
      <c r="CR23" s="668">
        <f t="shared" si="27"/>
        <v>0</v>
      </c>
      <c r="CS23" s="552"/>
      <c r="CT23" s="552">
        <f t="shared" si="20"/>
        <v>0</v>
      </c>
      <c r="CU23" s="711"/>
      <c r="CV23" s="712"/>
      <c r="CW23" s="551">
        <v>1464530117</v>
      </c>
      <c r="CX23" s="552"/>
      <c r="CY23" s="552">
        <v>0</v>
      </c>
      <c r="CZ23" s="552"/>
      <c r="DA23" s="552">
        <v>0</v>
      </c>
      <c r="DB23" s="552">
        <v>1464530117</v>
      </c>
      <c r="DC23" s="552">
        <v>0</v>
      </c>
      <c r="DD23" s="668">
        <v>1464530117</v>
      </c>
      <c r="DE23" s="668">
        <v>0</v>
      </c>
      <c r="DF23" s="552">
        <v>1464530117</v>
      </c>
      <c r="DG23" s="552"/>
      <c r="DH23" s="552">
        <v>1464530117</v>
      </c>
      <c r="DI23" s="711"/>
      <c r="DK23" s="551">
        <f t="shared" si="21"/>
        <v>1464530117</v>
      </c>
      <c r="DL23" s="552">
        <f t="shared" si="22"/>
        <v>0</v>
      </c>
      <c r="DM23" s="552">
        <f t="shared" si="28"/>
        <v>1464530117</v>
      </c>
      <c r="DN23" s="552"/>
      <c r="DO23" s="552">
        <v>0</v>
      </c>
      <c r="DP23" s="552"/>
      <c r="DQ23" s="552">
        <v>0</v>
      </c>
      <c r="DR23" s="668">
        <f t="shared" si="29"/>
        <v>1464530117</v>
      </c>
      <c r="DS23" s="668">
        <f t="shared" si="30"/>
        <v>0</v>
      </c>
      <c r="DT23" s="552">
        <f t="shared" si="23"/>
        <v>1464530117</v>
      </c>
      <c r="DU23" s="552"/>
      <c r="DV23" s="552">
        <f t="shared" si="24"/>
        <v>0</v>
      </c>
      <c r="DW23" s="711"/>
    </row>
    <row r="24" spans="3:127" ht="18" customHeight="1">
      <c r="C24" s="498" t="s">
        <v>1987</v>
      </c>
      <c r="D24" s="655" t="s">
        <v>15</v>
      </c>
      <c r="E24" s="572" t="s">
        <v>479</v>
      </c>
      <c r="F24" s="709" t="s">
        <v>473</v>
      </c>
      <c r="G24" s="552">
        <v>13175822804</v>
      </c>
      <c r="H24" s="552">
        <f>G24</f>
        <v>13175822804</v>
      </c>
      <c r="I24" s="552"/>
      <c r="J24" s="552">
        <v>-13175822804</v>
      </c>
      <c r="K24" s="552"/>
      <c r="L24" s="552"/>
      <c r="M24" s="552">
        <f>SUM(H24:L24)</f>
        <v>0</v>
      </c>
      <c r="N24" s="552"/>
      <c r="O24" s="552">
        <f>M24-H24</f>
        <v>-13175822804</v>
      </c>
      <c r="P24" s="711" t="s">
        <v>468</v>
      </c>
      <c r="Q24" s="725"/>
      <c r="R24" s="498">
        <v>13175822804</v>
      </c>
      <c r="S24" s="498">
        <f>M24</f>
        <v>0</v>
      </c>
      <c r="X24" s="498">
        <f>SUM(S24:W24)</f>
        <v>0</v>
      </c>
      <c r="Z24" s="498">
        <f>X24-S24</f>
        <v>0</v>
      </c>
      <c r="AA24" s="565"/>
      <c r="AB24" s="565"/>
      <c r="AC24" s="498">
        <f>R24</f>
        <v>13175822804</v>
      </c>
      <c r="AD24" s="498">
        <f>S24</f>
        <v>0</v>
      </c>
      <c r="AE24" s="498">
        <f t="shared" si="16"/>
        <v>0</v>
      </c>
      <c r="AF24" s="498">
        <f t="shared" si="16"/>
        <v>0</v>
      </c>
      <c r="AG24" s="498">
        <f t="shared" si="16"/>
        <v>0</v>
      </c>
      <c r="AH24" s="498">
        <f>W24</f>
        <v>0</v>
      </c>
      <c r="AI24" s="498">
        <f>SUM(AD24:AH24)</f>
        <v>0</v>
      </c>
      <c r="AK24" s="498">
        <f>AI24-AD24</f>
        <v>0</v>
      </c>
      <c r="AL24" s="565"/>
      <c r="AN24" s="551">
        <f t="shared" ref="AN24:AS25" si="31">AC24</f>
        <v>13175822804</v>
      </c>
      <c r="AO24" s="552">
        <f t="shared" si="31"/>
        <v>0</v>
      </c>
      <c r="AP24" s="552">
        <f t="shared" si="31"/>
        <v>0</v>
      </c>
      <c r="AQ24" s="552">
        <f t="shared" si="31"/>
        <v>0</v>
      </c>
      <c r="AR24" s="552">
        <f t="shared" si="31"/>
        <v>0</v>
      </c>
      <c r="AS24" s="552">
        <f t="shared" si="31"/>
        <v>0</v>
      </c>
      <c r="AT24" s="552">
        <f>SUM(AO24:AS24)</f>
        <v>0</v>
      </c>
      <c r="AU24" s="552"/>
      <c r="AV24" s="552">
        <f>AT24-AO24</f>
        <v>0</v>
      </c>
      <c r="AW24" s="711"/>
      <c r="AX24" s="540" t="b">
        <f>SUM(AD24:AH24)=AI24</f>
        <v>1</v>
      </c>
      <c r="AY24" s="498">
        <f>AC24</f>
        <v>13175822804</v>
      </c>
      <c r="AZ24" s="498">
        <f>+AT24</f>
        <v>0</v>
      </c>
      <c r="BA24" s="498">
        <f>AE24</f>
        <v>0</v>
      </c>
      <c r="BB24" s="498">
        <f>AF24</f>
        <v>0</v>
      </c>
      <c r="BC24" s="498">
        <f>AG24</f>
        <v>0</v>
      </c>
      <c r="BD24" s="498">
        <f>AH24</f>
        <v>0</v>
      </c>
      <c r="BE24" s="498">
        <f>SUM(AZ24:BD24)</f>
        <v>0</v>
      </c>
      <c r="BG24" s="498">
        <f>BE24-AZ24</f>
        <v>0</v>
      </c>
      <c r="BH24" s="565"/>
      <c r="BI24" s="494" t="b">
        <f>SUM(AO24:AS24)=AT24</f>
        <v>1</v>
      </c>
      <c r="BJ24" s="498">
        <v>13175822804</v>
      </c>
      <c r="BK24" s="498">
        <v>0</v>
      </c>
      <c r="BL24" s="498">
        <v>0</v>
      </c>
      <c r="BM24" s="498">
        <v>0</v>
      </c>
      <c r="BN24" s="498">
        <v>0</v>
      </c>
      <c r="BO24" s="498">
        <v>0</v>
      </c>
      <c r="BP24" s="498">
        <v>0</v>
      </c>
      <c r="BR24" s="498">
        <v>0</v>
      </c>
      <c r="BS24" s="565"/>
      <c r="BU24" s="498">
        <f>+BV24-BW24</f>
        <v>13175822804</v>
      </c>
      <c r="BV24" s="498">
        <f>+AT24</f>
        <v>0</v>
      </c>
      <c r="BW24" s="498">
        <f>+BW11</f>
        <v>-13175822804</v>
      </c>
      <c r="BX24" s="498">
        <f>AP24</f>
        <v>0</v>
      </c>
      <c r="BY24" s="498">
        <f>AQ24</f>
        <v>0</v>
      </c>
      <c r="BZ24" s="498">
        <f t="shared" si="17"/>
        <v>0</v>
      </c>
      <c r="CA24" s="498">
        <f>AS24</f>
        <v>0</v>
      </c>
      <c r="CB24" s="498">
        <f>+CB11</f>
        <v>13175822804</v>
      </c>
      <c r="CC24" s="498">
        <f>SUM(BV24:CA24)-BW24</f>
        <v>0</v>
      </c>
      <c r="CD24" s="498">
        <f>+CD11</f>
        <v>-13175822804</v>
      </c>
      <c r="CF24" s="498">
        <f>CC24-BV24</f>
        <v>0</v>
      </c>
      <c r="CG24" s="565"/>
      <c r="CI24" s="551">
        <f t="shared" si="18"/>
        <v>13175822804</v>
      </c>
      <c r="CJ24" s="552">
        <f t="shared" si="19"/>
        <v>0</v>
      </c>
      <c r="CK24" s="552">
        <f>+CK11</f>
        <v>-13175822804</v>
      </c>
      <c r="CL24" s="552"/>
      <c r="CM24" s="552">
        <v>0</v>
      </c>
      <c r="CN24" s="552"/>
      <c r="CO24" s="552">
        <f>BG24</f>
        <v>0</v>
      </c>
      <c r="CP24" s="668">
        <f t="shared" si="25"/>
        <v>13175822804</v>
      </c>
      <c r="CQ24" s="668">
        <f t="shared" si="26"/>
        <v>0</v>
      </c>
      <c r="CR24" s="668">
        <f t="shared" si="27"/>
        <v>-13175822804</v>
      </c>
      <c r="CS24" s="552"/>
      <c r="CT24" s="552">
        <f t="shared" si="20"/>
        <v>0</v>
      </c>
      <c r="CU24" s="711"/>
      <c r="CV24" s="712"/>
      <c r="CW24" s="551">
        <v>13175822804</v>
      </c>
      <c r="CX24" s="552">
        <v>-13175822804</v>
      </c>
      <c r="CY24" s="552">
        <v>0</v>
      </c>
      <c r="CZ24" s="552"/>
      <c r="DA24" s="552">
        <v>0</v>
      </c>
      <c r="DB24" s="552"/>
      <c r="DC24" s="552">
        <v>0</v>
      </c>
      <c r="DD24" s="668">
        <v>13175822804</v>
      </c>
      <c r="DE24" s="668">
        <v>-13175822804</v>
      </c>
      <c r="DF24" s="552">
        <v>0</v>
      </c>
      <c r="DG24" s="552"/>
      <c r="DH24" s="552">
        <v>0</v>
      </c>
      <c r="DI24" s="711"/>
      <c r="DK24" s="551">
        <f t="shared" si="21"/>
        <v>13175822804</v>
      </c>
      <c r="DL24" s="552">
        <f t="shared" si="22"/>
        <v>-13175822804</v>
      </c>
      <c r="DM24" s="552">
        <f t="shared" si="28"/>
        <v>0</v>
      </c>
      <c r="DN24" s="552"/>
      <c r="DO24" s="552">
        <v>0</v>
      </c>
      <c r="DP24" s="552"/>
      <c r="DQ24" s="552">
        <v>0</v>
      </c>
      <c r="DR24" s="668">
        <f t="shared" si="29"/>
        <v>13175822804</v>
      </c>
      <c r="DS24" s="668">
        <f t="shared" si="30"/>
        <v>-13175822804</v>
      </c>
      <c r="DT24" s="552">
        <f t="shared" si="23"/>
        <v>0</v>
      </c>
      <c r="DU24" s="552"/>
      <c r="DV24" s="552">
        <f t="shared" si="24"/>
        <v>0</v>
      </c>
      <c r="DW24" s="711"/>
    </row>
    <row r="25" spans="3:127" ht="18" customHeight="1">
      <c r="C25" s="498" t="s">
        <v>1987</v>
      </c>
      <c r="D25" s="655" t="s">
        <v>15</v>
      </c>
      <c r="E25" s="572" t="s">
        <v>216</v>
      </c>
      <c r="F25" s="709" t="s">
        <v>473</v>
      </c>
      <c r="G25" s="552">
        <v>4096993217</v>
      </c>
      <c r="H25" s="552">
        <v>0</v>
      </c>
      <c r="I25" s="552">
        <v>4096993217</v>
      </c>
      <c r="J25" s="552">
        <v>0</v>
      </c>
      <c r="K25" s="552"/>
      <c r="L25" s="552"/>
      <c r="M25" s="552">
        <f>SUM(H25:L25)</f>
        <v>4096993217</v>
      </c>
      <c r="N25" s="552"/>
      <c r="O25" s="552">
        <f>M25-H25</f>
        <v>4096993217</v>
      </c>
      <c r="P25" s="711" t="s">
        <v>469</v>
      </c>
      <c r="Q25" s="565"/>
      <c r="R25" s="498">
        <v>4096993217</v>
      </c>
      <c r="S25" s="498">
        <f>M25</f>
        <v>4096993217</v>
      </c>
      <c r="T25" s="498">
        <f>-S25</f>
        <v>-4096993217</v>
      </c>
      <c r="X25" s="498">
        <f>SUM(S25:W25)</f>
        <v>0</v>
      </c>
      <c r="Z25" s="498">
        <f>X25-S25</f>
        <v>-4096993217</v>
      </c>
      <c r="AA25" s="565" t="s">
        <v>1533</v>
      </c>
      <c r="AB25" s="565"/>
      <c r="AC25" s="498">
        <f>R25</f>
        <v>4096993217</v>
      </c>
      <c r="AD25" s="498">
        <f>S25</f>
        <v>4096993217</v>
      </c>
      <c r="AE25" s="498">
        <f t="shared" si="16"/>
        <v>-4096993217</v>
      </c>
      <c r="AF25" s="498">
        <f t="shared" si="16"/>
        <v>0</v>
      </c>
      <c r="AG25" s="498">
        <f t="shared" si="16"/>
        <v>0</v>
      </c>
      <c r="AH25" s="498">
        <f>W25</f>
        <v>0</v>
      </c>
      <c r="AI25" s="498">
        <f>SUM(AD25:AH25)</f>
        <v>0</v>
      </c>
      <c r="AK25" s="498">
        <f>AI25-AD25</f>
        <v>-4096993217</v>
      </c>
      <c r="AL25" s="565" t="s">
        <v>1533</v>
      </c>
      <c r="AN25" s="551">
        <f t="shared" si="31"/>
        <v>4096993217</v>
      </c>
      <c r="AO25" s="552">
        <f t="shared" si="31"/>
        <v>4096993217</v>
      </c>
      <c r="AP25" s="552">
        <f t="shared" si="31"/>
        <v>-4096993217</v>
      </c>
      <c r="AQ25" s="552">
        <f t="shared" si="31"/>
        <v>0</v>
      </c>
      <c r="AR25" s="552">
        <f t="shared" si="31"/>
        <v>0</v>
      </c>
      <c r="AS25" s="552">
        <f t="shared" si="31"/>
        <v>0</v>
      </c>
      <c r="AT25" s="552">
        <f>SUM(AO25:AS25)</f>
        <v>0</v>
      </c>
      <c r="AU25" s="552"/>
      <c r="AV25" s="552">
        <f>AT25-AO25</f>
        <v>-4096993217</v>
      </c>
      <c r="AW25" s="711" t="s">
        <v>1533</v>
      </c>
      <c r="AX25" s="540" t="b">
        <f>SUM(AD25:AH25)=AI25</f>
        <v>1</v>
      </c>
      <c r="AY25" s="498">
        <f>AC25</f>
        <v>4096993217</v>
      </c>
      <c r="AZ25" s="498">
        <f>+AT25</f>
        <v>0</v>
      </c>
      <c r="BB25" s="498">
        <f>AF25</f>
        <v>0</v>
      </c>
      <c r="BC25" s="498">
        <f>AG25</f>
        <v>0</v>
      </c>
      <c r="BD25" s="498">
        <f>AH25</f>
        <v>0</v>
      </c>
      <c r="BE25" s="498">
        <f>SUM(AZ25:BD25)</f>
        <v>0</v>
      </c>
      <c r="BG25" s="498">
        <f>BE25-AZ25</f>
        <v>0</v>
      </c>
      <c r="BH25" s="565" t="s">
        <v>1533</v>
      </c>
      <c r="BI25" s="494" t="b">
        <f>SUM(AO25:AS25)=AT25</f>
        <v>1</v>
      </c>
      <c r="BJ25" s="498">
        <v>4096993217</v>
      </c>
      <c r="BK25" s="498">
        <v>0</v>
      </c>
      <c r="BM25" s="498">
        <v>0</v>
      </c>
      <c r="BN25" s="498">
        <v>0</v>
      </c>
      <c r="BO25" s="498">
        <v>0</v>
      </c>
      <c r="BP25" s="498">
        <v>0</v>
      </c>
      <c r="BR25" s="498">
        <v>0</v>
      </c>
      <c r="BS25" s="565" t="s">
        <v>1533</v>
      </c>
      <c r="BU25" s="498">
        <f>+BV25-BW25</f>
        <v>4096993217</v>
      </c>
      <c r="BV25" s="498">
        <v>4096993217</v>
      </c>
      <c r="BW25" s="498">
        <f>+BW12</f>
        <v>0</v>
      </c>
      <c r="BY25" s="498">
        <f>AQ25</f>
        <v>0</v>
      </c>
      <c r="BZ25" s="498">
        <f t="shared" si="17"/>
        <v>0</v>
      </c>
      <c r="CA25" s="498">
        <f>AS25</f>
        <v>0</v>
      </c>
      <c r="CB25" s="498">
        <f>+CB12</f>
        <v>4096993217</v>
      </c>
      <c r="CC25" s="498">
        <f>SUM(BV25:CA25)-BW25</f>
        <v>4096993217</v>
      </c>
      <c r="CD25" s="498">
        <f>+CD12</f>
        <v>0</v>
      </c>
      <c r="CF25" s="498">
        <f>CC25-BV25</f>
        <v>0</v>
      </c>
      <c r="CG25" s="565" t="s">
        <v>1533</v>
      </c>
      <c r="CI25" s="551">
        <f t="shared" si="18"/>
        <v>4096993217</v>
      </c>
      <c r="CJ25" s="552">
        <f t="shared" si="19"/>
        <v>4096993217</v>
      </c>
      <c r="CK25" s="552">
        <f>+CK12</f>
        <v>0</v>
      </c>
      <c r="CL25" s="552"/>
      <c r="CM25" s="552">
        <v>0</v>
      </c>
      <c r="CN25" s="552"/>
      <c r="CO25" s="552">
        <f>BG25</f>
        <v>0</v>
      </c>
      <c r="CP25" s="668">
        <f t="shared" si="25"/>
        <v>4096993217</v>
      </c>
      <c r="CQ25" s="668">
        <f t="shared" si="26"/>
        <v>4096993217</v>
      </c>
      <c r="CR25" s="668">
        <f t="shared" si="27"/>
        <v>0</v>
      </c>
      <c r="CS25" s="552"/>
      <c r="CT25" s="552">
        <f t="shared" si="20"/>
        <v>0</v>
      </c>
      <c r="CU25" s="711" t="s">
        <v>1533</v>
      </c>
      <c r="CV25" s="712"/>
      <c r="CW25" s="551">
        <v>4096993217</v>
      </c>
      <c r="CX25" s="552">
        <v>0</v>
      </c>
      <c r="CY25" s="552">
        <v>4096993217</v>
      </c>
      <c r="CZ25" s="552"/>
      <c r="DA25" s="552">
        <v>0</v>
      </c>
      <c r="DB25" s="552"/>
      <c r="DC25" s="552">
        <v>0</v>
      </c>
      <c r="DD25" s="668">
        <v>4096993217</v>
      </c>
      <c r="DE25" s="668">
        <v>0</v>
      </c>
      <c r="DF25" s="552">
        <v>4096993217</v>
      </c>
      <c r="DG25" s="552"/>
      <c r="DH25" s="552">
        <v>0</v>
      </c>
      <c r="DI25" s="711"/>
      <c r="DK25" s="551">
        <f t="shared" si="21"/>
        <v>4096993217</v>
      </c>
      <c r="DL25" s="552">
        <f t="shared" si="22"/>
        <v>0</v>
      </c>
      <c r="DM25" s="552">
        <f t="shared" si="28"/>
        <v>4096993217</v>
      </c>
      <c r="DN25" s="552"/>
      <c r="DO25" s="552">
        <v>0</v>
      </c>
      <c r="DP25" s="552"/>
      <c r="DQ25" s="552">
        <v>0</v>
      </c>
      <c r="DR25" s="668">
        <f t="shared" si="29"/>
        <v>4096993217</v>
      </c>
      <c r="DS25" s="668">
        <f t="shared" si="30"/>
        <v>0</v>
      </c>
      <c r="DT25" s="552">
        <f t="shared" si="23"/>
        <v>4096993217</v>
      </c>
      <c r="DU25" s="552"/>
      <c r="DV25" s="552">
        <f t="shared" si="24"/>
        <v>0</v>
      </c>
      <c r="DW25" s="711"/>
    </row>
    <row r="26" spans="3:127" ht="18" customHeight="1">
      <c r="C26" s="498" t="s">
        <v>1987</v>
      </c>
      <c r="D26" s="655" t="s">
        <v>15</v>
      </c>
      <c r="E26" s="572" t="s">
        <v>2327</v>
      </c>
      <c r="F26" s="709"/>
      <c r="G26" s="552"/>
      <c r="H26" s="552"/>
      <c r="I26" s="552"/>
      <c r="J26" s="552"/>
      <c r="K26" s="552"/>
      <c r="L26" s="552"/>
      <c r="M26" s="552"/>
      <c r="N26" s="552"/>
      <c r="O26" s="552"/>
      <c r="P26" s="711"/>
      <c r="Q26" s="565"/>
      <c r="AA26" s="565"/>
      <c r="AB26" s="565"/>
      <c r="AL26" s="565"/>
      <c r="AN26" s="551"/>
      <c r="AO26" s="552"/>
      <c r="AP26" s="552"/>
      <c r="AQ26" s="552"/>
      <c r="AR26" s="552"/>
      <c r="AS26" s="552"/>
      <c r="AT26" s="552"/>
      <c r="AU26" s="552"/>
      <c r="AV26" s="552"/>
      <c r="AW26" s="711"/>
      <c r="AX26" s="540"/>
      <c r="BH26" s="565"/>
      <c r="BI26" s="494"/>
      <c r="BS26" s="565"/>
      <c r="BU26" s="498">
        <f>+BU13</f>
        <v>484923306</v>
      </c>
      <c r="BV26" s="498">
        <f>+BV13</f>
        <v>484923306</v>
      </c>
      <c r="BW26" s="498">
        <f>+BW13</f>
        <v>0</v>
      </c>
      <c r="BX26" s="498">
        <f>AP26</f>
        <v>0</v>
      </c>
      <c r="BY26" s="498">
        <f>AQ26</f>
        <v>0</v>
      </c>
      <c r="BZ26" s="498">
        <f t="shared" si="17"/>
        <v>0</v>
      </c>
      <c r="CA26" s="498">
        <f>AS26</f>
        <v>0</v>
      </c>
      <c r="CB26" s="498">
        <f>+CB13</f>
        <v>484923306</v>
      </c>
      <c r="CC26" s="498">
        <f>SUM(BV26:CA26)-BW26</f>
        <v>484923306</v>
      </c>
      <c r="CD26" s="498">
        <f>+CD13</f>
        <v>0</v>
      </c>
      <c r="CG26" s="565"/>
      <c r="CI26" s="551">
        <f t="shared" si="18"/>
        <v>484923306</v>
      </c>
      <c r="CJ26" s="552">
        <f t="shared" si="19"/>
        <v>484923306</v>
      </c>
      <c r="CK26" s="552">
        <f>+CK13</f>
        <v>0</v>
      </c>
      <c r="CL26" s="552"/>
      <c r="CM26" s="552">
        <v>-484923306</v>
      </c>
      <c r="CN26" s="552"/>
      <c r="CO26" s="552">
        <f>BG26</f>
        <v>0</v>
      </c>
      <c r="CP26" s="668">
        <f t="shared" si="25"/>
        <v>484923306</v>
      </c>
      <c r="CQ26" s="668">
        <f t="shared" si="26"/>
        <v>0</v>
      </c>
      <c r="CR26" s="668">
        <f t="shared" si="27"/>
        <v>-484923306</v>
      </c>
      <c r="CS26" s="552"/>
      <c r="CT26" s="552">
        <f t="shared" si="20"/>
        <v>-484923306</v>
      </c>
      <c r="CU26" s="711"/>
      <c r="CV26" s="712"/>
      <c r="CW26" s="551">
        <v>484923306</v>
      </c>
      <c r="CX26" s="552">
        <v>-484923306</v>
      </c>
      <c r="CY26" s="552">
        <v>0</v>
      </c>
      <c r="CZ26" s="552"/>
      <c r="DA26" s="552">
        <v>0</v>
      </c>
      <c r="DB26" s="552"/>
      <c r="DC26" s="552">
        <v>0</v>
      </c>
      <c r="DD26" s="552">
        <v>484923306</v>
      </c>
      <c r="DE26" s="552">
        <v>-484923306</v>
      </c>
      <c r="DF26" s="552">
        <v>0</v>
      </c>
      <c r="DG26" s="552"/>
      <c r="DH26" s="552">
        <v>0</v>
      </c>
      <c r="DI26" s="711"/>
      <c r="DK26" s="551">
        <f t="shared" si="21"/>
        <v>484923306</v>
      </c>
      <c r="DL26" s="552">
        <f t="shared" si="22"/>
        <v>-484923306</v>
      </c>
      <c r="DM26" s="552">
        <f t="shared" si="28"/>
        <v>0</v>
      </c>
      <c r="DN26" s="552"/>
      <c r="DO26" s="552">
        <v>0</v>
      </c>
      <c r="DP26" s="552"/>
      <c r="DQ26" s="552">
        <v>0</v>
      </c>
      <c r="DR26" s="552">
        <f t="shared" si="29"/>
        <v>484923306</v>
      </c>
      <c r="DS26" s="552">
        <f t="shared" si="30"/>
        <v>-484923306</v>
      </c>
      <c r="DT26" s="552">
        <f t="shared" si="23"/>
        <v>0</v>
      </c>
      <c r="DU26" s="552"/>
      <c r="DV26" s="552">
        <f t="shared" si="24"/>
        <v>0</v>
      </c>
      <c r="DW26" s="711"/>
    </row>
    <row r="27" spans="3:127" s="494" customFormat="1" ht="18" customHeight="1" thickBot="1">
      <c r="D27" s="726" t="s">
        <v>427</v>
      </c>
      <c r="E27" s="727"/>
      <c r="F27" s="728"/>
      <c r="G27" s="716">
        <f t="shared" ref="G27:O27" si="32">SUM(G20:G25)</f>
        <v>39337918397</v>
      </c>
      <c r="H27" s="716">
        <f t="shared" si="32"/>
        <v>35240925180</v>
      </c>
      <c r="I27" s="716">
        <f t="shared" si="32"/>
        <v>4096993217</v>
      </c>
      <c r="J27" s="716">
        <f t="shared" si="32"/>
        <v>-13470818114</v>
      </c>
      <c r="K27" s="716">
        <f t="shared" si="32"/>
        <v>0</v>
      </c>
      <c r="L27" s="716">
        <f t="shared" si="32"/>
        <v>-209609894</v>
      </c>
      <c r="M27" s="716">
        <f t="shared" si="32"/>
        <v>25657490389</v>
      </c>
      <c r="N27" s="716">
        <f t="shared" si="32"/>
        <v>0</v>
      </c>
      <c r="O27" s="716">
        <f t="shared" si="32"/>
        <v>-9583434791</v>
      </c>
      <c r="P27" s="717"/>
      <c r="R27" s="520">
        <f t="shared" ref="R27:X27" si="33">SUM(R20:R25)</f>
        <v>39337918397</v>
      </c>
      <c r="S27" s="520">
        <f t="shared" si="33"/>
        <v>25657490389</v>
      </c>
      <c r="T27" s="520">
        <f t="shared" si="33"/>
        <v>-4096993217</v>
      </c>
      <c r="U27" s="520">
        <f t="shared" si="33"/>
        <v>0</v>
      </c>
      <c r="V27" s="520">
        <f t="shared" si="33"/>
        <v>0</v>
      </c>
      <c r="W27" s="520">
        <f t="shared" si="33"/>
        <v>320182253</v>
      </c>
      <c r="X27" s="520">
        <f t="shared" si="33"/>
        <v>21880679425</v>
      </c>
      <c r="Y27" s="520"/>
      <c r="Z27" s="520"/>
      <c r="AA27" s="520"/>
      <c r="AC27" s="520">
        <f t="shared" ref="AC27:AI27" si="34">SUM(AC20:AC25)</f>
        <v>39337918397</v>
      </c>
      <c r="AD27" s="520">
        <f t="shared" si="34"/>
        <v>25657490389</v>
      </c>
      <c r="AE27" s="520">
        <f t="shared" si="34"/>
        <v>-4096993217</v>
      </c>
      <c r="AF27" s="520">
        <f t="shared" si="34"/>
        <v>0</v>
      </c>
      <c r="AG27" s="520">
        <f t="shared" si="34"/>
        <v>0</v>
      </c>
      <c r="AH27" s="520">
        <f t="shared" si="34"/>
        <v>2130721472</v>
      </c>
      <c r="AI27" s="520">
        <f t="shared" si="34"/>
        <v>23691218644</v>
      </c>
      <c r="AJ27" s="520"/>
      <c r="AK27" s="520"/>
      <c r="AL27" s="520"/>
      <c r="AN27" s="719">
        <f t="shared" ref="AN27:AV27" si="35">SUM(AN20:AN25)</f>
        <v>39337918397</v>
      </c>
      <c r="AO27" s="716">
        <f t="shared" si="35"/>
        <v>25657490389</v>
      </c>
      <c r="AP27" s="716">
        <f t="shared" si="35"/>
        <v>-4096993217</v>
      </c>
      <c r="AQ27" s="716">
        <f t="shared" si="35"/>
        <v>-20593687255</v>
      </c>
      <c r="AR27" s="716">
        <f t="shared" si="35"/>
        <v>0</v>
      </c>
      <c r="AS27" s="716">
        <f t="shared" si="35"/>
        <v>1069187616</v>
      </c>
      <c r="AT27" s="716">
        <f t="shared" si="35"/>
        <v>2035997533</v>
      </c>
      <c r="AU27" s="716"/>
      <c r="AV27" s="716">
        <f t="shared" si="35"/>
        <v>-23621492856</v>
      </c>
      <c r="AW27" s="717"/>
      <c r="AX27" s="540"/>
      <c r="AY27" s="520">
        <f t="shared" ref="AY27:BE27" si="36">SUM(AY20:AY25)</f>
        <v>39337918397</v>
      </c>
      <c r="AZ27" s="520">
        <f t="shared" si="36"/>
        <v>2035997533</v>
      </c>
      <c r="BA27" s="520">
        <f t="shared" si="36"/>
        <v>0</v>
      </c>
      <c r="BB27" s="520">
        <f t="shared" si="36"/>
        <v>0</v>
      </c>
      <c r="BC27" s="520">
        <f t="shared" si="36"/>
        <v>0</v>
      </c>
      <c r="BD27" s="520">
        <f t="shared" si="36"/>
        <v>127702881</v>
      </c>
      <c r="BE27" s="520">
        <f t="shared" si="36"/>
        <v>2163700414</v>
      </c>
      <c r="BF27" s="520"/>
      <c r="BG27" s="520"/>
      <c r="BH27" s="520"/>
      <c r="BJ27" s="520">
        <v>39337918397</v>
      </c>
      <c r="BK27" s="520">
        <v>2035997533</v>
      </c>
      <c r="BL27" s="520">
        <v>0</v>
      </c>
      <c r="BM27" s="520">
        <v>0</v>
      </c>
      <c r="BN27" s="520">
        <v>0</v>
      </c>
      <c r="BO27" s="520">
        <v>99682563</v>
      </c>
      <c r="BP27" s="520">
        <v>2135680096</v>
      </c>
      <c r="BQ27" s="520"/>
      <c r="BR27" s="520"/>
      <c r="BS27" s="520"/>
      <c r="BU27" s="520">
        <f t="shared" ref="BU27:CD27" si="37">SUM(BU20:BU26)</f>
        <v>40684527408</v>
      </c>
      <c r="BV27" s="520">
        <f t="shared" si="37"/>
        <v>6617914056</v>
      </c>
      <c r="BW27" s="520">
        <f t="shared" si="37"/>
        <v>-34066613352</v>
      </c>
      <c r="BX27" s="520">
        <f t="shared" si="37"/>
        <v>0</v>
      </c>
      <c r="BY27" s="520">
        <f t="shared" si="37"/>
        <v>0</v>
      </c>
      <c r="BZ27" s="520">
        <f t="shared" si="37"/>
        <v>0</v>
      </c>
      <c r="CA27" s="520">
        <f t="shared" si="37"/>
        <v>92118216</v>
      </c>
      <c r="CB27" s="520">
        <f t="shared" si="37"/>
        <v>41717572273</v>
      </c>
      <c r="CC27" s="520">
        <f t="shared" si="37"/>
        <v>6710032272</v>
      </c>
      <c r="CD27" s="520">
        <f t="shared" si="37"/>
        <v>-35007540001</v>
      </c>
      <c r="CE27" s="520"/>
      <c r="CF27" s="520"/>
      <c r="CG27" s="520"/>
      <c r="CI27" s="719">
        <f t="shared" ref="CI27:CT27" si="38">SUM(CI20:CI26)</f>
        <v>40684527408</v>
      </c>
      <c r="CJ27" s="716">
        <f t="shared" si="38"/>
        <v>6617914056</v>
      </c>
      <c r="CK27" s="716">
        <f t="shared" si="38"/>
        <v>-34066613352</v>
      </c>
      <c r="CL27" s="716">
        <f t="shared" si="38"/>
        <v>0</v>
      </c>
      <c r="CM27" s="716">
        <f t="shared" si="38"/>
        <v>-484923306</v>
      </c>
      <c r="CN27" s="716">
        <f t="shared" si="38"/>
        <v>0</v>
      </c>
      <c r="CO27" s="716">
        <f t="shared" si="38"/>
        <v>-17460564</v>
      </c>
      <c r="CP27" s="716">
        <f t="shared" si="38"/>
        <v>40488718739</v>
      </c>
      <c r="CQ27" s="716">
        <f t="shared" si="38"/>
        <v>6115530186</v>
      </c>
      <c r="CR27" s="716">
        <f t="shared" si="38"/>
        <v>-34373188553</v>
      </c>
      <c r="CS27" s="716"/>
      <c r="CT27" s="716">
        <f t="shared" si="38"/>
        <v>-502383870</v>
      </c>
      <c r="CU27" s="717"/>
      <c r="CV27" s="720"/>
      <c r="CW27" s="719">
        <v>41953248856</v>
      </c>
      <c r="CX27" s="716">
        <v>-34373188553</v>
      </c>
      <c r="CY27" s="716">
        <v>6115530186</v>
      </c>
      <c r="CZ27" s="716">
        <v>0</v>
      </c>
      <c r="DA27" s="716">
        <v>0</v>
      </c>
      <c r="DB27" s="716">
        <v>1464530117</v>
      </c>
      <c r="DC27" s="716">
        <v>-45537754</v>
      </c>
      <c r="DD27" s="716">
        <v>41442573046</v>
      </c>
      <c r="DE27" s="716">
        <v>-33908050497</v>
      </c>
      <c r="DF27" s="716">
        <v>7534522549</v>
      </c>
      <c r="DG27" s="716"/>
      <c r="DH27" s="716">
        <v>1418992363</v>
      </c>
      <c r="DI27" s="717"/>
      <c r="DK27" s="719">
        <f t="shared" ref="DK27:DV27" si="39">SUM(DK20:DK26)</f>
        <v>41442573046</v>
      </c>
      <c r="DL27" s="716">
        <f>SUM(DL20:DL26)</f>
        <v>-33908050497</v>
      </c>
      <c r="DM27" s="716">
        <f t="shared" si="39"/>
        <v>7534522549</v>
      </c>
      <c r="DN27" s="716">
        <f t="shared" si="39"/>
        <v>0</v>
      </c>
      <c r="DO27" s="716">
        <f t="shared" si="39"/>
        <v>0</v>
      </c>
      <c r="DP27" s="716">
        <f t="shared" si="39"/>
        <v>0</v>
      </c>
      <c r="DQ27" s="716">
        <f t="shared" si="39"/>
        <v>-130906828</v>
      </c>
      <c r="DR27" s="716">
        <f t="shared" si="39"/>
        <v>39974539543</v>
      </c>
      <c r="DS27" s="716">
        <f>SUM(DS20:DS26)</f>
        <v>-32570923822</v>
      </c>
      <c r="DT27" s="716">
        <f t="shared" si="39"/>
        <v>7403615721</v>
      </c>
      <c r="DU27" s="716"/>
      <c r="DV27" s="716">
        <f t="shared" si="39"/>
        <v>-130906828</v>
      </c>
      <c r="DW27" s="717"/>
    </row>
    <row r="28" spans="3:127" s="494" customFormat="1" ht="18" customHeight="1">
      <c r="M28" s="729"/>
      <c r="X28" s="729"/>
      <c r="AI28" s="729"/>
      <c r="AT28" s="729"/>
      <c r="AX28" s="540"/>
      <c r="BE28" s="729"/>
      <c r="BP28" s="729"/>
      <c r="CC28" s="729"/>
      <c r="CD28" s="729"/>
      <c r="CI28" s="540"/>
      <c r="CJ28" s="540"/>
      <c r="CK28" s="540"/>
      <c r="CL28" s="540"/>
      <c r="CM28" s="540"/>
      <c r="CN28" s="540"/>
      <c r="CO28" s="540"/>
      <c r="CP28" s="540" t="b">
        <f>CP27=T_BS!AL134</f>
        <v>1</v>
      </c>
      <c r="CQ28" s="730"/>
      <c r="CR28" s="731" t="b">
        <f>CR27=T_BS!AL135</f>
        <v>1</v>
      </c>
      <c r="CS28" s="540"/>
      <c r="CT28" s="540"/>
      <c r="CU28" s="540"/>
      <c r="CV28" s="732"/>
      <c r="CW28" s="540"/>
      <c r="CX28" s="495"/>
      <c r="CY28" s="540" t="b">
        <v>1</v>
      </c>
      <c r="CZ28" s="540"/>
      <c r="DA28" s="540"/>
      <c r="DB28" s="540"/>
      <c r="DC28" s="540"/>
      <c r="DD28" s="540" t="b">
        <v>1</v>
      </c>
      <c r="DE28" s="731" t="b">
        <v>1</v>
      </c>
      <c r="DF28" s="731"/>
      <c r="DG28" s="540"/>
      <c r="DH28" s="540"/>
      <c r="DI28" s="540"/>
      <c r="DK28" s="540" t="b">
        <f>DK27=DD27</f>
        <v>1</v>
      </c>
      <c r="DL28" s="540" t="b">
        <f>DL27=DE27</f>
        <v>1</v>
      </c>
      <c r="DM28" s="540" t="b">
        <f>DM27=DF27</f>
        <v>1</v>
      </c>
      <c r="DN28" s="540"/>
      <c r="DO28" s="540"/>
      <c r="DP28" s="540"/>
      <c r="DQ28" s="540"/>
      <c r="DR28" s="540" t="b">
        <f>T_BS!$X134=DR27</f>
        <v>1</v>
      </c>
      <c r="DS28" s="731" t="b">
        <f>DS27=T_BS!$X135</f>
        <v>1</v>
      </c>
      <c r="DT28" s="731" t="b">
        <f>DT27=T_BS!X134+T_BS!X135</f>
        <v>1</v>
      </c>
      <c r="DU28" s="540"/>
      <c r="DV28" s="540"/>
      <c r="DW28" s="540"/>
    </row>
    <row r="29" spans="3:127" s="494" customFormat="1" ht="18" customHeight="1">
      <c r="M29" s="729"/>
      <c r="X29" s="729"/>
      <c r="AI29" s="729"/>
      <c r="AT29" s="729"/>
      <c r="AX29" s="540"/>
      <c r="BE29" s="729"/>
      <c r="BP29" s="729"/>
      <c r="CC29" s="729"/>
      <c r="CD29" s="729"/>
      <c r="CQ29" s="733"/>
      <c r="CR29" s="729"/>
      <c r="CV29" s="558"/>
      <c r="CX29" s="519"/>
      <c r="DE29" s="729"/>
      <c r="DF29" s="729"/>
      <c r="DL29" s="519"/>
      <c r="DS29" s="729"/>
      <c r="DT29" s="729"/>
    </row>
    <row r="30" spans="3:127" ht="18" customHeight="1">
      <c r="AD30" s="498">
        <v>2447102013.5100002</v>
      </c>
      <c r="AH30" s="734" t="s">
        <v>1627</v>
      </c>
      <c r="AI30" s="735">
        <v>4096993217</v>
      </c>
      <c r="AO30" s="498" t="s">
        <v>456</v>
      </c>
      <c r="AP30" s="736">
        <v>10.6976</v>
      </c>
      <c r="AS30" s="734" t="s">
        <v>1627</v>
      </c>
      <c r="AT30" s="735">
        <v>4096993217</v>
      </c>
      <c r="AZ30" s="498" t="s">
        <v>456</v>
      </c>
      <c r="BA30" s="736">
        <v>10.9626</v>
      </c>
      <c r="BD30" s="734" t="s">
        <v>1627</v>
      </c>
      <c r="BE30" s="735">
        <v>4096993217</v>
      </c>
      <c r="BK30" s="498" t="s">
        <v>456</v>
      </c>
      <c r="BL30" s="736">
        <v>11.132899999999999</v>
      </c>
      <c r="BO30" s="734" t="s">
        <v>1627</v>
      </c>
      <c r="BP30" s="735">
        <v>4096993217</v>
      </c>
      <c r="BW30" s="498" t="s">
        <v>456</v>
      </c>
      <c r="BX30" s="737">
        <f>'5.1'!S18</f>
        <v>11.167199999999999</v>
      </c>
      <c r="CA30" s="738" t="s">
        <v>1627</v>
      </c>
      <c r="CB30" s="739">
        <f>CC25</f>
        <v>4096993217</v>
      </c>
      <c r="CC30" s="735"/>
      <c r="CK30" s="740" t="s">
        <v>456</v>
      </c>
      <c r="CL30" s="741">
        <f>'5.1'!T18</f>
        <v>11.050700000000001</v>
      </c>
      <c r="CO30" s="742" t="s">
        <v>1627</v>
      </c>
      <c r="CP30" s="739">
        <f>CQ25</f>
        <v>4096993217</v>
      </c>
      <c r="CQ30" s="743"/>
      <c r="CX30" s="744" t="s">
        <v>456</v>
      </c>
      <c r="CY30" s="745">
        <v>10.4145</v>
      </c>
      <c r="DC30" s="738" t="s">
        <v>1627</v>
      </c>
      <c r="DD30" s="739">
        <v>4096993217</v>
      </c>
      <c r="DE30" s="575"/>
      <c r="DF30" s="743"/>
      <c r="DG30" s="575"/>
      <c r="DL30" s="740" t="s">
        <v>456</v>
      </c>
      <c r="DM30" s="741">
        <f>'4.0'!AB7</f>
        <v>9.8899000000000008</v>
      </c>
      <c r="DQ30" s="738" t="s">
        <v>1627</v>
      </c>
      <c r="DR30" s="739">
        <f>DT25</f>
        <v>4096993217</v>
      </c>
      <c r="DS30" s="575"/>
      <c r="DT30" s="743"/>
      <c r="DU30" s="575"/>
    </row>
    <row r="31" spans="3:127" ht="18" customHeight="1">
      <c r="AH31" s="734" t="s">
        <v>1628</v>
      </c>
      <c r="AI31" s="735">
        <v>484923306</v>
      </c>
      <c r="AO31" s="498" t="s">
        <v>455</v>
      </c>
      <c r="AP31" s="746">
        <v>10.6347</v>
      </c>
      <c r="AS31" s="734" t="s">
        <v>1628</v>
      </c>
      <c r="AT31" s="735">
        <v>484923306</v>
      </c>
      <c r="AZ31" s="498" t="s">
        <v>455</v>
      </c>
      <c r="BA31" s="746">
        <v>11.308299999999999</v>
      </c>
      <c r="BD31" s="734" t="s">
        <v>1628</v>
      </c>
      <c r="BE31" s="735">
        <v>484923306</v>
      </c>
      <c r="BK31" s="498" t="s">
        <v>455</v>
      </c>
      <c r="BL31" s="746">
        <v>11.160500000000001</v>
      </c>
      <c r="BO31" s="734" t="s">
        <v>1628</v>
      </c>
      <c r="BP31" s="735">
        <v>484923306</v>
      </c>
      <c r="BW31" s="498" t="s">
        <v>455</v>
      </c>
      <c r="BX31" s="747">
        <f>'5.1'!S17</f>
        <v>11.1206</v>
      </c>
      <c r="CA31" s="738" t="s">
        <v>1628</v>
      </c>
      <c r="CB31" s="739">
        <f>CC26</f>
        <v>484923306</v>
      </c>
      <c r="CC31" s="735"/>
      <c r="CK31" s="740" t="s">
        <v>455</v>
      </c>
      <c r="CL31" s="748">
        <f>'5.1'!T17</f>
        <v>10.5426</v>
      </c>
      <c r="CO31" s="742" t="s">
        <v>1628</v>
      </c>
      <c r="CP31" s="739">
        <f>CQ26</f>
        <v>0</v>
      </c>
      <c r="CQ31" s="743"/>
      <c r="CX31" s="744" t="s">
        <v>455</v>
      </c>
      <c r="CY31" s="749">
        <v>10.3024</v>
      </c>
      <c r="DC31" s="738" t="s">
        <v>1628</v>
      </c>
      <c r="DD31" s="739">
        <v>0</v>
      </c>
      <c r="DE31" s="575"/>
      <c r="DF31" s="743"/>
      <c r="DG31" s="575"/>
      <c r="DL31" s="740" t="s">
        <v>455</v>
      </c>
      <c r="DM31" s="748">
        <f>'4.0'!AB6</f>
        <v>9.6119000000000003</v>
      </c>
      <c r="DQ31" s="738" t="s">
        <v>1628</v>
      </c>
      <c r="DR31" s="739">
        <f>DT26</f>
        <v>0</v>
      </c>
      <c r="DS31" s="575"/>
      <c r="DT31" s="743"/>
      <c r="DU31" s="575"/>
    </row>
    <row r="32" spans="3:127" ht="18" customHeight="1">
      <c r="AH32" s="734" t="s">
        <v>494</v>
      </c>
      <c r="AI32" s="735">
        <f>SUM(AI30:AI31,AI27)</f>
        <v>28273135167</v>
      </c>
      <c r="AS32" s="734" t="s">
        <v>494</v>
      </c>
      <c r="AT32" s="735">
        <f>SUM(AT30:AT31,AT27)</f>
        <v>6617914056</v>
      </c>
      <c r="BD32" s="734" t="s">
        <v>494</v>
      </c>
      <c r="BE32" s="735">
        <f>SUM(BE30:BE31,BE27)</f>
        <v>6745616937</v>
      </c>
      <c r="BO32" s="734" t="s">
        <v>494</v>
      </c>
      <c r="BP32" s="735">
        <v>6717596619</v>
      </c>
      <c r="BU32" s="498">
        <v>17757739327</v>
      </c>
      <c r="BW32" s="498" t="s">
        <v>1959</v>
      </c>
      <c r="BX32" s="746">
        <v>10.6347</v>
      </c>
      <c r="CA32" s="750" t="s">
        <v>1982</v>
      </c>
      <c r="CB32" s="750">
        <f>CC20+CC21</f>
        <v>2128115749</v>
      </c>
      <c r="CC32" s="735"/>
      <c r="CK32" s="740" t="s">
        <v>1959</v>
      </c>
      <c r="CL32" s="748">
        <v>10.6347</v>
      </c>
      <c r="CO32" s="742" t="s">
        <v>1982</v>
      </c>
      <c r="CP32" s="750">
        <f>CQ20+CQ21+CQ22</f>
        <v>2018536969</v>
      </c>
      <c r="CQ32" s="743"/>
      <c r="CX32" s="744" t="s">
        <v>1959</v>
      </c>
      <c r="CY32" s="749">
        <v>10.542599995868979</v>
      </c>
      <c r="DC32" s="750" t="s">
        <v>1982</v>
      </c>
      <c r="DD32" s="750">
        <v>3437529332</v>
      </c>
      <c r="DE32" s="575"/>
      <c r="DF32" s="743"/>
      <c r="DG32" s="575"/>
      <c r="DL32" s="740" t="s">
        <v>1959</v>
      </c>
      <c r="DM32" s="748">
        <f>DM20/DM7</f>
        <v>10.302400003004397</v>
      </c>
      <c r="DQ32" s="750" t="s">
        <v>2880</v>
      </c>
      <c r="DR32" s="750">
        <f>DT20+DT21+DT22+DT23</f>
        <v>3306622504</v>
      </c>
      <c r="DS32" s="575"/>
      <c r="DT32" s="743"/>
      <c r="DU32" s="575"/>
    </row>
    <row r="33" spans="34:125" ht="18" customHeight="1" thickBot="1">
      <c r="AH33" s="751" t="s">
        <v>1629</v>
      </c>
      <c r="AI33" s="752"/>
      <c r="AS33" s="751" t="s">
        <v>1629</v>
      </c>
      <c r="AT33" s="752"/>
      <c r="BD33" s="751" t="s">
        <v>1629</v>
      </c>
      <c r="BE33" s="752"/>
      <c r="BO33" s="751" t="s">
        <v>1629</v>
      </c>
      <c r="BP33" s="752" t="b">
        <v>1</v>
      </c>
      <c r="BU33" s="498">
        <v>-13175822804</v>
      </c>
      <c r="BX33" s="746">
        <v>11.160500000000001</v>
      </c>
      <c r="CA33" s="734" t="s">
        <v>494</v>
      </c>
      <c r="CB33" s="735">
        <f>SUM(CB30:CB32)</f>
        <v>6710032272</v>
      </c>
      <c r="CC33" s="753"/>
      <c r="CL33" s="746"/>
      <c r="CO33" s="754" t="s">
        <v>494</v>
      </c>
      <c r="CP33" s="735">
        <f>SUM(CP30:CP32)</f>
        <v>6115530186</v>
      </c>
      <c r="CQ33" s="755"/>
      <c r="CZ33" s="746"/>
      <c r="DC33" s="734" t="s">
        <v>494</v>
      </c>
      <c r="DD33" s="735">
        <v>7534522549</v>
      </c>
      <c r="DE33" s="575"/>
      <c r="DF33" s="755"/>
      <c r="DG33" s="575"/>
      <c r="DN33" s="746"/>
      <c r="DQ33" s="734" t="s">
        <v>494</v>
      </c>
      <c r="DR33" s="735">
        <f>SUM(DR30:DR32)</f>
        <v>7403615721</v>
      </c>
      <c r="DS33" s="575"/>
      <c r="DT33" s="755"/>
      <c r="DU33" s="575"/>
    </row>
    <row r="34" spans="34:125" ht="18" customHeight="1" thickTop="1" thickBot="1">
      <c r="CA34" s="751" t="s">
        <v>1629</v>
      </c>
      <c r="CB34" s="752"/>
      <c r="CO34" s="756" t="s">
        <v>1629</v>
      </c>
      <c r="CP34" s="752" t="b">
        <f>(T_BS!$AL134+T_BS!$AL135)=CP33</f>
        <v>1</v>
      </c>
      <c r="CQ34" s="575"/>
      <c r="DC34" s="751" t="s">
        <v>1629</v>
      </c>
      <c r="DD34" s="752" t="b">
        <v>1</v>
      </c>
      <c r="DE34" s="575"/>
      <c r="DF34" s="575"/>
      <c r="DG34" s="575"/>
      <c r="DQ34" s="751" t="s">
        <v>1629</v>
      </c>
      <c r="DR34" s="752" t="b">
        <f>(T_BS!$X134+T_BS!$X135)=DR33</f>
        <v>1</v>
      </c>
      <c r="DS34" s="575"/>
      <c r="DT34" s="575"/>
      <c r="DU34" s="575"/>
    </row>
    <row r="35" spans="34:125" ht="18" customHeight="1" thickTop="1">
      <c r="DS35" s="575"/>
      <c r="DT35" s="575"/>
      <c r="DU35" s="575"/>
    </row>
    <row r="36" spans="34:125" ht="18" customHeight="1">
      <c r="AT36" s="498">
        <v>5485464260</v>
      </c>
      <c r="BM36" s="498" t="s">
        <v>460</v>
      </c>
      <c r="BN36" s="498" t="s">
        <v>1960</v>
      </c>
      <c r="BO36" s="498" t="s">
        <v>1961</v>
      </c>
      <c r="BP36" s="498" t="s">
        <v>557</v>
      </c>
      <c r="BY36" s="498" t="s">
        <v>1804</v>
      </c>
      <c r="BZ36" s="498" t="s">
        <v>1962</v>
      </c>
      <c r="CA36" s="498" t="s">
        <v>1963</v>
      </c>
      <c r="CB36" s="498" t="s">
        <v>1964</v>
      </c>
      <c r="CC36" s="498" t="s">
        <v>1965</v>
      </c>
    </row>
    <row r="37" spans="34:125" ht="18" customHeight="1">
      <c r="BL37" s="498" t="s">
        <v>129</v>
      </c>
      <c r="BM37" s="498">
        <v>21748156283</v>
      </c>
      <c r="BN37" s="498">
        <v>-20593687255</v>
      </c>
      <c r="BO37" s="498">
        <v>-961368268</v>
      </c>
      <c r="BP37" s="498">
        <v>2115837296</v>
      </c>
      <c r="BU37" s="498">
        <f>+CB7*$BX$33+CB21+CB24+CB25+CB22+CB26</f>
        <v>41802401435.087502</v>
      </c>
      <c r="BV37" s="498">
        <f>+CC7*$BX$33+CC21+CC24+CC25+CC22+CC26</f>
        <v>6717596619.4795284</v>
      </c>
      <c r="BW37" s="498">
        <f>+CD7*$BX$33+CD21+CD24+CD25+CD22+CD26</f>
        <v>-35084804815.607971</v>
      </c>
      <c r="BX37" s="498" t="s">
        <v>1803</v>
      </c>
      <c r="BY37" s="498">
        <f>+G20</f>
        <v>21748156283</v>
      </c>
      <c r="BZ37" s="498">
        <f>+BU20</f>
        <v>22609841988</v>
      </c>
      <c r="CA37" s="498">
        <f>+CD20</f>
        <v>-21534613904</v>
      </c>
      <c r="CB37" s="498">
        <f>BZ37+CA37-CC37</f>
        <v>-1033044865</v>
      </c>
      <c r="CC37" s="498">
        <f>+CC20</f>
        <v>2108272949</v>
      </c>
    </row>
    <row r="38" spans="34:125" ht="18" customHeight="1">
      <c r="BL38" s="498" t="s">
        <v>1966</v>
      </c>
      <c r="BM38" s="498">
        <v>6676985115</v>
      </c>
      <c r="BN38" s="498">
        <v>-1912539733</v>
      </c>
      <c r="BO38" s="498">
        <v>-456283061</v>
      </c>
      <c r="BP38" s="498">
        <v>5220728443</v>
      </c>
      <c r="BV38" s="498">
        <f>+BU37+BW37-BV37</f>
        <v>0</v>
      </c>
      <c r="BX38" s="498" t="s">
        <v>1967</v>
      </c>
      <c r="BY38" s="498">
        <v>6676985115</v>
      </c>
      <c r="BZ38" s="498">
        <v>5320226579</v>
      </c>
      <c r="CA38" s="498">
        <v>-2095087333</v>
      </c>
      <c r="CB38" s="498">
        <f>BZ38+CA38-CC38</f>
        <v>-2095087333</v>
      </c>
      <c r="CC38" s="498">
        <v>5320226579</v>
      </c>
    </row>
    <row r="39" spans="34:125" ht="18" customHeight="1">
      <c r="BL39" s="498" t="s">
        <v>1968</v>
      </c>
      <c r="BM39" s="498">
        <v>-2324258519</v>
      </c>
      <c r="BN39" s="498">
        <v>665755050</v>
      </c>
      <c r="BO39" s="498">
        <v>158832140</v>
      </c>
      <c r="BP39" s="498">
        <v>-1817335609</v>
      </c>
      <c r="BX39" s="498" t="s">
        <v>1969</v>
      </c>
      <c r="BY39" s="498">
        <v>-2324258519</v>
      </c>
      <c r="BZ39" s="498">
        <v>-1787367279</v>
      </c>
      <c r="CA39" s="498">
        <v>729299866</v>
      </c>
      <c r="CB39" s="498">
        <f>BZ39+CA39-CC39</f>
        <v>729299866</v>
      </c>
      <c r="CC39" s="498">
        <v>-1787367279</v>
      </c>
    </row>
    <row r="40" spans="34:125" ht="18" customHeight="1">
      <c r="BL40" s="498" t="s">
        <v>1699</v>
      </c>
      <c r="BM40" s="498">
        <v>3899117116</v>
      </c>
      <c r="BX40" s="498" t="s">
        <v>1811</v>
      </c>
      <c r="BY40" s="498">
        <f>BY41-BY39-BY38-BY37</f>
        <v>3899117116</v>
      </c>
    </row>
    <row r="41" spans="34:125" ht="18" customHeight="1">
      <c r="BL41" s="498" t="s">
        <v>1970</v>
      </c>
      <c r="BM41" s="498">
        <v>29999999995</v>
      </c>
      <c r="BX41" s="498" t="s">
        <v>1971</v>
      </c>
      <c r="BY41" s="498">
        <v>29999999995</v>
      </c>
    </row>
    <row r="42" spans="34:125" ht="18" customHeight="1">
      <c r="BQ42" s="2127" t="s">
        <v>1972</v>
      </c>
      <c r="BR42" s="2128"/>
      <c r="BS42" s="2128"/>
      <c r="BT42" s="2128"/>
      <c r="BU42" s="2128"/>
      <c r="BV42" s="2129"/>
    </row>
    <row r="43" spans="34:125" ht="18" customHeight="1">
      <c r="BM43" s="498">
        <v>21748156283</v>
      </c>
      <c r="BN43" s="498">
        <v>29999999995</v>
      </c>
      <c r="BQ43" s="2130" t="s">
        <v>1973</v>
      </c>
      <c r="BR43" s="2132" t="s">
        <v>1974</v>
      </c>
      <c r="BS43" s="2133"/>
      <c r="BT43" s="2133"/>
      <c r="BU43" s="2134"/>
      <c r="BV43" s="757" t="s">
        <v>1975</v>
      </c>
      <c r="BY43" s="498">
        <f>+BY37</f>
        <v>21748156283</v>
      </c>
      <c r="BZ43" s="498">
        <f>BY41</f>
        <v>29999999995</v>
      </c>
    </row>
    <row r="44" spans="34:125" ht="18" customHeight="1">
      <c r="BM44" s="498">
        <v>6676985115</v>
      </c>
      <c r="BN44" s="498">
        <v>2324258519</v>
      </c>
      <c r="BQ44" s="2131"/>
      <c r="BR44" s="758" t="s">
        <v>1976</v>
      </c>
      <c r="BS44" s="758" t="s">
        <v>1977</v>
      </c>
      <c r="BT44" s="758" t="s">
        <v>1978</v>
      </c>
      <c r="BU44" s="758" t="s">
        <v>1979</v>
      </c>
      <c r="BV44" s="757" t="s">
        <v>1979</v>
      </c>
      <c r="BY44" s="498">
        <f>+BY38</f>
        <v>6676985115</v>
      </c>
      <c r="BZ44" s="498">
        <f>-BY39</f>
        <v>2324258519</v>
      </c>
    </row>
    <row r="45" spans="34:125" ht="18" customHeight="1">
      <c r="BM45" s="498">
        <v>3899117116</v>
      </c>
      <c r="BQ45" s="759" t="s">
        <v>110</v>
      </c>
      <c r="BR45" s="760">
        <v>12030230</v>
      </c>
      <c r="BS45" s="760">
        <v>-8647632</v>
      </c>
      <c r="BT45" s="760">
        <v>-2107185</v>
      </c>
      <c r="BU45" s="760">
        <v>1275413</v>
      </c>
      <c r="BV45" s="761">
        <v>1265448</v>
      </c>
      <c r="BY45" s="498">
        <f>BZ44+BZ43-BY43-BY44</f>
        <v>3899117116</v>
      </c>
    </row>
    <row r="46" spans="34:125" ht="18" customHeight="1">
      <c r="BM46" s="498">
        <v>32324258514</v>
      </c>
      <c r="BN46" s="498">
        <v>32324258514</v>
      </c>
      <c r="BQ46" s="759" t="s">
        <v>649</v>
      </c>
      <c r="BR46" s="760">
        <v>1414634</v>
      </c>
      <c r="BS46" s="760">
        <v>-715719</v>
      </c>
      <c r="BT46" s="762" t="s">
        <v>611</v>
      </c>
      <c r="BU46" s="760">
        <v>698915</v>
      </c>
      <c r="BV46" s="761">
        <v>652261</v>
      </c>
      <c r="BY46" s="498">
        <f>+BY43+BY44+BY45</f>
        <v>32324258514</v>
      </c>
      <c r="BZ46" s="498">
        <f>+BZ43+BZ44</f>
        <v>32324258514</v>
      </c>
    </row>
    <row r="47" spans="34:125" ht="18" customHeight="1">
      <c r="BQ47" s="759" t="s">
        <v>123</v>
      </c>
      <c r="BR47" s="760">
        <v>18523148</v>
      </c>
      <c r="BS47" s="760">
        <v>-9159477</v>
      </c>
      <c r="BT47" s="760">
        <v>-5553041</v>
      </c>
      <c r="BU47" s="760">
        <v>3810630</v>
      </c>
      <c r="BV47" s="761">
        <v>4044415</v>
      </c>
    </row>
    <row r="48" spans="34:125" ht="18" customHeight="1">
      <c r="BL48" s="498" t="s">
        <v>1970</v>
      </c>
      <c r="BM48" s="498">
        <v>29999999995</v>
      </c>
      <c r="BQ48" s="759" t="s">
        <v>1923</v>
      </c>
      <c r="BR48" s="760">
        <v>462235</v>
      </c>
      <c r="BS48" s="762" t="s">
        <v>611</v>
      </c>
      <c r="BT48" s="762" t="s">
        <v>611</v>
      </c>
      <c r="BU48" s="760">
        <v>462235</v>
      </c>
      <c r="BV48" s="763" t="s">
        <v>611</v>
      </c>
      <c r="BX48" s="498" t="str">
        <f>BX41</f>
        <v>인수대가</v>
      </c>
      <c r="BY48" s="498">
        <f>BY41</f>
        <v>29999999995</v>
      </c>
    </row>
    <row r="49" spans="64:77" ht="18" customHeight="1">
      <c r="BL49" s="498" t="s">
        <v>1745</v>
      </c>
      <c r="BM49" s="498">
        <v>-24071000000</v>
      </c>
      <c r="BQ49" s="764" t="s">
        <v>650</v>
      </c>
      <c r="BR49" s="760">
        <v>25615738</v>
      </c>
      <c r="BS49" s="760">
        <v>-13459163</v>
      </c>
      <c r="BT49" s="762" t="s">
        <v>611</v>
      </c>
      <c r="BU49" s="760">
        <v>12156575</v>
      </c>
      <c r="BV49" s="761">
        <v>14018587</v>
      </c>
      <c r="BX49" s="498" t="s">
        <v>1980</v>
      </c>
      <c r="BY49" s="498">
        <v>-24071000000</v>
      </c>
    </row>
    <row r="50" spans="64:77" ht="18" customHeight="1">
      <c r="BM50" s="498">
        <v>5928999995</v>
      </c>
      <c r="BQ50" s="764" t="s">
        <v>129</v>
      </c>
      <c r="BR50" s="765">
        <v>41802401</v>
      </c>
      <c r="BS50" s="766" t="s">
        <v>611</v>
      </c>
      <c r="BT50" s="765">
        <v>-35084805</v>
      </c>
      <c r="BU50" s="760">
        <f>+BR50+BT50</f>
        <v>6717596</v>
      </c>
      <c r="BV50" s="761">
        <v>6617914</v>
      </c>
      <c r="BY50" s="498">
        <f>+BY48+BY49</f>
        <v>5928999995</v>
      </c>
    </row>
    <row r="51" spans="64:77" ht="18" customHeight="1">
      <c r="BQ51" s="767" t="s">
        <v>1981</v>
      </c>
      <c r="BR51" s="768">
        <f>SUM(BR45:BR50)</f>
        <v>99848386</v>
      </c>
      <c r="BS51" s="768">
        <f>SUM(BS45:BS50)</f>
        <v>-31981991</v>
      </c>
      <c r="BT51" s="768">
        <f>SUM(BT45:BT50)</f>
        <v>-42745031</v>
      </c>
      <c r="BU51" s="768">
        <f>SUM(BU45:BU50)</f>
        <v>25121364</v>
      </c>
      <c r="BV51" s="769">
        <v>26598625</v>
      </c>
    </row>
  </sheetData>
  <mergeCells count="21">
    <mergeCell ref="D5:E5"/>
    <mergeCell ref="D17:E17"/>
    <mergeCell ref="BQ42:BV42"/>
    <mergeCell ref="BQ43:BQ44"/>
    <mergeCell ref="BR43:BU43"/>
    <mergeCell ref="BU5:CG5"/>
    <mergeCell ref="AC5:AL5"/>
    <mergeCell ref="AN5:AW5"/>
    <mergeCell ref="BJ5:BS5"/>
    <mergeCell ref="AY5:BH5"/>
    <mergeCell ref="AC17:AL17"/>
    <mergeCell ref="AN17:AW17"/>
    <mergeCell ref="AY17:BH17"/>
    <mergeCell ref="BJ17:BS17"/>
    <mergeCell ref="DK5:DW5"/>
    <mergeCell ref="DK17:DW17"/>
    <mergeCell ref="BU17:CG17"/>
    <mergeCell ref="CI5:CU5"/>
    <mergeCell ref="CI17:CU17"/>
    <mergeCell ref="CW5:DI5"/>
    <mergeCell ref="CW17:DI17"/>
  </mergeCells>
  <phoneticPr fontId="21" type="noConversion"/>
  <pageMargins left="0.7" right="0.7" top="0.75" bottom="0.75" header="0.3" footer="0.3"/>
  <pageSetup orientation="portrait" r:id="rId1"/>
  <ignoredErrors>
    <ignoredError sqref="M30:P31 M7:P13 M15:P17 P14 M28:P28 P27 M19:P26 O18:P18" formulaRange="1"/>
    <ignoredError sqref="DN11 DN20 DK18:DT18 DV18:DW18 CP12:CQ13 CQ30:CR32 CQ21:CR21 CQ28 DU10:DV10 DK15:DW17 DN12 DU12:DV12 DU21:DV23 DK19:DS19 DU19:DW19 DN13 CP15:CQ15 CR24:CR27 CQ24:CQ27 CQ22 DN21 DN22 DP20 DP21 DP22 DP11 DP12 DP13 DN10 DU11:DV11 DU13 DN23 DU20:DV20" formula="1"/>
    <ignoredError sqref="CQ23" formula="1" formulaRange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D4:AJ23"/>
  <sheetViews>
    <sheetView showGridLines="0" zoomScaleNormal="100" workbookViewId="0">
      <selection activeCell="AH25" sqref="AH25"/>
    </sheetView>
  </sheetViews>
  <sheetFormatPr defaultColWidth="8.75" defaultRowHeight="18" customHeight="1" outlineLevelCol="1"/>
  <cols>
    <col min="1" max="3" width="2.375" style="5" customWidth="1"/>
    <col min="4" max="4" width="15.375" style="5" customWidth="1"/>
    <col min="5" max="5" width="16" style="5" bestFit="1" customWidth="1"/>
    <col min="6" max="6" width="14.75" style="5" customWidth="1" outlineLevel="1"/>
    <col min="7" max="16" width="14.75" style="5" hidden="1" customWidth="1" outlineLevel="1"/>
    <col min="17" max="26" width="14.75" style="5" hidden="1" customWidth="1"/>
    <col min="27" max="36" width="14.75" style="5" customWidth="1"/>
    <col min="37" max="16384" width="8.75" style="5"/>
  </cols>
  <sheetData>
    <row r="4" spans="4:36" ht="18" customHeight="1" thickBot="1">
      <c r="D4" s="25" t="s">
        <v>474</v>
      </c>
    </row>
    <row r="5" spans="4:36" s="8" customFormat="1" ht="18" customHeight="1">
      <c r="D5" s="75" t="s">
        <v>458</v>
      </c>
      <c r="E5" s="76" t="s">
        <v>459</v>
      </c>
      <c r="F5" s="76" t="s">
        <v>471</v>
      </c>
      <c r="G5" s="76" t="s">
        <v>466</v>
      </c>
      <c r="H5" s="76" t="s">
        <v>460</v>
      </c>
      <c r="I5" s="76" t="s">
        <v>461</v>
      </c>
      <c r="J5" s="76" t="s">
        <v>462</v>
      </c>
      <c r="K5" s="76" t="s">
        <v>463</v>
      </c>
      <c r="L5" s="76" t="s">
        <v>464</v>
      </c>
      <c r="M5" s="76" t="s">
        <v>394</v>
      </c>
      <c r="N5" s="76" t="s">
        <v>483</v>
      </c>
      <c r="O5" s="76" t="s">
        <v>465</v>
      </c>
      <c r="P5" s="77" t="s">
        <v>477</v>
      </c>
      <c r="Q5" s="76" t="s">
        <v>466</v>
      </c>
      <c r="R5" s="76" t="s">
        <v>460</v>
      </c>
      <c r="S5" s="76" t="s">
        <v>461</v>
      </c>
      <c r="T5" s="76" t="s">
        <v>462</v>
      </c>
      <c r="U5" s="76" t="s">
        <v>463</v>
      </c>
      <c r="V5" s="76" t="s">
        <v>464</v>
      </c>
      <c r="W5" s="76" t="s">
        <v>395</v>
      </c>
      <c r="X5" s="76" t="s">
        <v>483</v>
      </c>
      <c r="Y5" s="76" t="s">
        <v>465</v>
      </c>
      <c r="Z5" s="77" t="s">
        <v>477</v>
      </c>
      <c r="AA5" s="76" t="s">
        <v>466</v>
      </c>
      <c r="AB5" s="76" t="s">
        <v>460</v>
      </c>
      <c r="AC5" s="76" t="s">
        <v>461</v>
      </c>
      <c r="AD5" s="76" t="s">
        <v>462</v>
      </c>
      <c r="AE5" s="76" t="s">
        <v>463</v>
      </c>
      <c r="AF5" s="76" t="s">
        <v>464</v>
      </c>
      <c r="AG5" s="76" t="s">
        <v>395</v>
      </c>
      <c r="AH5" s="76" t="s">
        <v>483</v>
      </c>
      <c r="AI5" s="76" t="s">
        <v>465</v>
      </c>
      <c r="AJ5" s="77" t="s">
        <v>477</v>
      </c>
    </row>
    <row r="6" spans="4:36" ht="18" customHeight="1">
      <c r="D6" s="36" t="s">
        <v>15</v>
      </c>
      <c r="E6" s="34" t="s">
        <v>428</v>
      </c>
      <c r="F6" s="38" t="s">
        <v>472</v>
      </c>
      <c r="G6" s="34">
        <v>2126044175</v>
      </c>
      <c r="H6" s="34">
        <v>2126044175</v>
      </c>
      <c r="I6" s="34">
        <v>0</v>
      </c>
      <c r="J6" s="34">
        <v>0</v>
      </c>
      <c r="K6" s="34">
        <v>0</v>
      </c>
      <c r="L6" s="34">
        <v>0</v>
      </c>
      <c r="M6" s="34">
        <f>SUM(H6:L6)</f>
        <v>2126044175</v>
      </c>
      <c r="N6" s="34">
        <v>0</v>
      </c>
      <c r="O6" s="34">
        <f>M6-H6</f>
        <v>0</v>
      </c>
      <c r="P6" s="35"/>
      <c r="Q6" s="34">
        <v>2126044175</v>
      </c>
      <c r="R6" s="34">
        <f>M6</f>
        <v>2126044175</v>
      </c>
      <c r="S6" s="34"/>
      <c r="T6" s="34"/>
      <c r="U6" s="34"/>
      <c r="V6" s="34"/>
      <c r="W6" s="34">
        <f>SUM(R6:V6)</f>
        <v>2126044175</v>
      </c>
      <c r="X6" s="34">
        <v>0</v>
      </c>
      <c r="Y6" s="34">
        <f>W6-R6</f>
        <v>0</v>
      </c>
      <c r="Z6" s="35"/>
      <c r="AA6" s="34">
        <v>2126044175</v>
      </c>
      <c r="AB6" s="34">
        <f>W6</f>
        <v>2126044175</v>
      </c>
      <c r="AC6" s="34"/>
      <c r="AD6" s="34"/>
      <c r="AE6" s="34"/>
      <c r="AF6" s="34"/>
      <c r="AG6" s="34">
        <f>SUM(AB6:AF6)</f>
        <v>2126044175</v>
      </c>
      <c r="AH6" s="34">
        <v>0</v>
      </c>
      <c r="AI6" s="34">
        <f>AG6-AB6</f>
        <v>0</v>
      </c>
      <c r="AJ6" s="35"/>
    </row>
    <row r="7" spans="4:36" ht="18" customHeight="1">
      <c r="D7" s="36" t="s">
        <v>15</v>
      </c>
      <c r="E7" s="34" t="s">
        <v>467</v>
      </c>
      <c r="F7" s="38" t="s">
        <v>473</v>
      </c>
      <c r="G7" s="34">
        <f>'1.0'!F7</f>
        <v>19842800</v>
      </c>
      <c r="H7" s="34">
        <v>19842800</v>
      </c>
      <c r="I7" s="34">
        <v>0</v>
      </c>
      <c r="J7" s="34">
        <v>0</v>
      </c>
      <c r="K7" s="34">
        <v>0</v>
      </c>
      <c r="L7" s="34">
        <v>0</v>
      </c>
      <c r="M7" s="34">
        <f>SUM(H7:L7)</f>
        <v>19842800</v>
      </c>
      <c r="N7" s="34">
        <v>0</v>
      </c>
      <c r="O7" s="34">
        <f>M7-H7</f>
        <v>0</v>
      </c>
      <c r="P7" s="35"/>
      <c r="Q7" s="34">
        <f>'1.0'!AB7</f>
        <v>0</v>
      </c>
      <c r="R7" s="34">
        <f>M7</f>
        <v>19842800</v>
      </c>
      <c r="S7" s="34"/>
      <c r="T7" s="34"/>
      <c r="U7" s="34"/>
      <c r="V7" s="34"/>
      <c r="W7" s="34">
        <f>SUM(R7:V7)</f>
        <v>19842800</v>
      </c>
      <c r="X7" s="34">
        <v>0</v>
      </c>
      <c r="Y7" s="34">
        <f>W7-R7</f>
        <v>0</v>
      </c>
      <c r="Z7" s="35"/>
      <c r="AA7" s="34">
        <f>'1.0'!AL7</f>
        <v>0</v>
      </c>
      <c r="AB7" s="34">
        <f>W7</f>
        <v>19842800</v>
      </c>
      <c r="AC7" s="34"/>
      <c r="AD7" s="34"/>
      <c r="AE7" s="34"/>
      <c r="AF7" s="34"/>
      <c r="AG7" s="34">
        <f>SUM(AB7:AF7)</f>
        <v>19842800</v>
      </c>
      <c r="AH7" s="34">
        <v>0</v>
      </c>
      <c r="AI7" s="34">
        <f>AG7-AB7</f>
        <v>0</v>
      </c>
      <c r="AJ7" s="35"/>
    </row>
    <row r="8" spans="4:36" ht="18" customHeight="1">
      <c r="D8" s="36" t="s">
        <v>15</v>
      </c>
      <c r="E8" s="34" t="s">
        <v>479</v>
      </c>
      <c r="F8" s="38" t="s">
        <v>473</v>
      </c>
      <c r="G8" s="34">
        <v>13175822804</v>
      </c>
      <c r="H8" s="34">
        <v>13175822804</v>
      </c>
      <c r="I8" s="34">
        <v>0</v>
      </c>
      <c r="J8" s="34">
        <v>-13175822804</v>
      </c>
      <c r="K8" s="34"/>
      <c r="L8" s="34"/>
      <c r="M8" s="34">
        <f>SUM(H8:L8)</f>
        <v>0</v>
      </c>
      <c r="N8" s="34">
        <v>0</v>
      </c>
      <c r="O8" s="34">
        <f>M8-H8</f>
        <v>-13175822804</v>
      </c>
      <c r="P8" s="78" t="s">
        <v>468</v>
      </c>
      <c r="Q8" s="34">
        <v>13175822804</v>
      </c>
      <c r="R8" s="34">
        <f>M8</f>
        <v>0</v>
      </c>
      <c r="S8" s="34"/>
      <c r="T8" s="34"/>
      <c r="U8" s="34"/>
      <c r="V8" s="34"/>
      <c r="W8" s="34">
        <f>SUM(R8:V8)</f>
        <v>0</v>
      </c>
      <c r="X8" s="34">
        <v>0</v>
      </c>
      <c r="Y8" s="34">
        <f>W8-R8</f>
        <v>0</v>
      </c>
      <c r="Z8" s="78"/>
      <c r="AA8" s="34">
        <v>13175822804</v>
      </c>
      <c r="AB8" s="34">
        <f>W8</f>
        <v>0</v>
      </c>
      <c r="AC8" s="34"/>
      <c r="AD8" s="34"/>
      <c r="AE8" s="34"/>
      <c r="AF8" s="34"/>
      <c r="AG8" s="34">
        <f>SUM(AB8:AF8)</f>
        <v>0</v>
      </c>
      <c r="AH8" s="34">
        <v>0</v>
      </c>
      <c r="AI8" s="34">
        <f>AG8-AB8</f>
        <v>0</v>
      </c>
      <c r="AJ8" s="78"/>
    </row>
    <row r="9" spans="4:36" ht="18" customHeight="1">
      <c r="D9" s="36" t="s">
        <v>15</v>
      </c>
      <c r="E9" s="34" t="s">
        <v>216</v>
      </c>
      <c r="F9" s="38" t="s">
        <v>473</v>
      </c>
      <c r="G9" s="34">
        <v>4096993217</v>
      </c>
      <c r="H9" s="34">
        <v>0</v>
      </c>
      <c r="I9" s="34">
        <v>4096993217</v>
      </c>
      <c r="J9" s="34"/>
      <c r="K9" s="34"/>
      <c r="L9" s="34"/>
      <c r="M9" s="34">
        <f>SUM(H9:L9)</f>
        <v>4096993217</v>
      </c>
      <c r="N9" s="34"/>
      <c r="O9" s="34">
        <f>M9-H9</f>
        <v>4096993217</v>
      </c>
      <c r="P9" s="78" t="s">
        <v>469</v>
      </c>
      <c r="Q9" s="34">
        <v>4096993217</v>
      </c>
      <c r="R9" s="34">
        <f>M9</f>
        <v>4096993217</v>
      </c>
      <c r="S9" s="34">
        <v>-4096993217</v>
      </c>
      <c r="T9" s="34"/>
      <c r="U9" s="34"/>
      <c r="V9" s="34"/>
      <c r="W9" s="34">
        <f>SUM(R9:V9)</f>
        <v>0</v>
      </c>
      <c r="X9" s="34"/>
      <c r="Y9" s="34">
        <f>W9-R9</f>
        <v>-4096993217</v>
      </c>
      <c r="Z9" s="78" t="s">
        <v>1533</v>
      </c>
      <c r="AA9" s="34">
        <v>4096993217</v>
      </c>
      <c r="AB9" s="34">
        <f>W9</f>
        <v>0</v>
      </c>
      <c r="AC9" s="34">
        <v>-4096993217</v>
      </c>
      <c r="AD9" s="34"/>
      <c r="AE9" s="34"/>
      <c r="AF9" s="34"/>
      <c r="AG9" s="34">
        <f>SUM(AB9:AF9)</f>
        <v>-4096993217</v>
      </c>
      <c r="AH9" s="34"/>
      <c r="AI9" s="34">
        <f>AG9-AB9</f>
        <v>-4096993217</v>
      </c>
      <c r="AJ9" s="78" t="s">
        <v>1533</v>
      </c>
    </row>
    <row r="10" spans="4:36" ht="18" customHeight="1" thickBot="1">
      <c r="D10" s="79" t="s">
        <v>15</v>
      </c>
      <c r="E10" s="80" t="s">
        <v>470</v>
      </c>
      <c r="F10" s="81" t="s">
        <v>473</v>
      </c>
      <c r="G10" s="80">
        <v>297103293</v>
      </c>
      <c r="H10" s="80">
        <v>297103293</v>
      </c>
      <c r="I10" s="80"/>
      <c r="J10" s="80">
        <v>-294995310</v>
      </c>
      <c r="K10" s="80"/>
      <c r="L10" s="80">
        <v>-2107983</v>
      </c>
      <c r="M10" s="80">
        <f>SUM(H10:L10)</f>
        <v>0</v>
      </c>
      <c r="N10" s="80"/>
      <c r="O10" s="80">
        <f>M10-H10</f>
        <v>-297103293</v>
      </c>
      <c r="P10" s="82"/>
      <c r="Q10" s="80">
        <v>297103293</v>
      </c>
      <c r="R10" s="34">
        <f>M10</f>
        <v>0</v>
      </c>
      <c r="S10" s="80"/>
      <c r="T10" s="80"/>
      <c r="U10" s="80"/>
      <c r="V10" s="80"/>
      <c r="W10" s="34">
        <f>SUM(R10:V10)</f>
        <v>0</v>
      </c>
      <c r="X10" s="80"/>
      <c r="Y10" s="80">
        <f>W10-R10</f>
        <v>0</v>
      </c>
      <c r="Z10" s="82"/>
      <c r="AA10" s="80">
        <v>297103293</v>
      </c>
      <c r="AB10" s="34">
        <f>W10</f>
        <v>0</v>
      </c>
      <c r="AC10" s="80"/>
      <c r="AD10" s="80"/>
      <c r="AE10" s="80"/>
      <c r="AF10" s="80"/>
      <c r="AG10" s="34">
        <f>SUM(AB10:AF10)</f>
        <v>0</v>
      </c>
      <c r="AH10" s="80"/>
      <c r="AI10" s="80">
        <f>AG10-AB10</f>
        <v>0</v>
      </c>
      <c r="AJ10" s="82"/>
    </row>
    <row r="11" spans="4:36" ht="18" customHeight="1" thickBot="1">
      <c r="D11" s="83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5"/>
      <c r="Q11" s="84"/>
      <c r="R11" s="84"/>
      <c r="S11" s="84"/>
      <c r="T11" s="84"/>
      <c r="U11" s="84"/>
      <c r="V11" s="84"/>
      <c r="W11" s="84"/>
      <c r="X11" s="84"/>
      <c r="Y11" s="84"/>
      <c r="Z11" s="85"/>
      <c r="AA11" s="84"/>
      <c r="AB11" s="84"/>
      <c r="AC11" s="84"/>
      <c r="AD11" s="84"/>
      <c r="AE11" s="84"/>
      <c r="AF11" s="84"/>
      <c r="AG11" s="84"/>
      <c r="AH11" s="84"/>
      <c r="AI11" s="84"/>
      <c r="AJ11" s="85"/>
    </row>
    <row r="13" spans="4:36" ht="18" customHeight="1" thickBot="1">
      <c r="D13" s="25" t="s">
        <v>475</v>
      </c>
    </row>
    <row r="14" spans="4:36" s="8" customFormat="1" ht="18" customHeight="1">
      <c r="D14" s="75" t="s">
        <v>458</v>
      </c>
      <c r="E14" s="76" t="s">
        <v>459</v>
      </c>
      <c r="F14" s="76" t="s">
        <v>471</v>
      </c>
      <c r="G14" s="76" t="s">
        <v>466</v>
      </c>
      <c r="H14" s="76" t="s">
        <v>460</v>
      </c>
      <c r="I14" s="76" t="s">
        <v>461</v>
      </c>
      <c r="J14" s="76" t="s">
        <v>462</v>
      </c>
      <c r="K14" s="76" t="s">
        <v>463</v>
      </c>
      <c r="L14" s="76" t="s">
        <v>464</v>
      </c>
      <c r="M14" s="76" t="s">
        <v>394</v>
      </c>
      <c r="N14" s="76"/>
      <c r="O14" s="76" t="s">
        <v>465</v>
      </c>
      <c r="P14" s="77" t="s">
        <v>477</v>
      </c>
      <c r="Q14" s="76" t="s">
        <v>466</v>
      </c>
      <c r="R14" s="76" t="s">
        <v>460</v>
      </c>
      <c r="S14" s="76" t="s">
        <v>461</v>
      </c>
      <c r="T14" s="76" t="s">
        <v>462</v>
      </c>
      <c r="U14" s="76" t="s">
        <v>463</v>
      </c>
      <c r="V14" s="76" t="s">
        <v>464</v>
      </c>
      <c r="W14" s="76" t="s">
        <v>395</v>
      </c>
      <c r="X14" s="76"/>
      <c r="Y14" s="76" t="s">
        <v>465</v>
      </c>
      <c r="Z14" s="77" t="s">
        <v>477</v>
      </c>
      <c r="AA14" s="76" t="s">
        <v>466</v>
      </c>
      <c r="AB14" s="76" t="s">
        <v>460</v>
      </c>
      <c r="AC14" s="76" t="s">
        <v>461</v>
      </c>
      <c r="AD14" s="76" t="s">
        <v>462</v>
      </c>
      <c r="AE14" s="76" t="s">
        <v>463</v>
      </c>
      <c r="AF14" s="76" t="s">
        <v>464</v>
      </c>
      <c r="AG14" s="76" t="s">
        <v>396</v>
      </c>
      <c r="AH14" s="76"/>
      <c r="AI14" s="76" t="s">
        <v>465</v>
      </c>
      <c r="AJ14" s="77" t="s">
        <v>477</v>
      </c>
    </row>
    <row r="15" spans="4:36" s="8" customFormat="1" ht="18" customHeight="1">
      <c r="D15" s="86" t="s">
        <v>472</v>
      </c>
      <c r="E15" s="87" t="s">
        <v>455</v>
      </c>
      <c r="F15" s="87"/>
      <c r="G15" s="87"/>
      <c r="H15" s="87"/>
      <c r="I15" s="87"/>
      <c r="J15" s="87"/>
      <c r="K15" s="87"/>
      <c r="L15" s="87" t="s">
        <v>534</v>
      </c>
      <c r="M15" s="88">
        <f>'5.1'!L17</f>
        <v>10.1318</v>
      </c>
      <c r="N15" s="88"/>
      <c r="O15" s="87"/>
      <c r="P15" s="89"/>
      <c r="Q15" s="87"/>
      <c r="R15" s="87"/>
      <c r="S15" s="87"/>
      <c r="T15" s="87"/>
      <c r="U15" s="87"/>
      <c r="V15" s="87" t="s">
        <v>534</v>
      </c>
      <c r="W15" s="88">
        <f>'5.1'!M17</f>
        <v>10.282400000000001</v>
      </c>
      <c r="X15" s="88"/>
      <c r="Y15" s="87"/>
      <c r="Z15" s="89"/>
      <c r="AA15" s="87"/>
      <c r="AB15" s="87"/>
      <c r="AC15" s="87"/>
      <c r="AD15" s="87"/>
      <c r="AE15" s="87"/>
      <c r="AF15" s="87" t="s">
        <v>534</v>
      </c>
      <c r="AG15" s="88">
        <f>'5.1'!W17</f>
        <v>10.5426</v>
      </c>
      <c r="AH15" s="88"/>
      <c r="AI15" s="87"/>
      <c r="AJ15" s="89"/>
    </row>
    <row r="16" spans="4:36" ht="18" customHeight="1">
      <c r="D16" s="36" t="s">
        <v>15</v>
      </c>
      <c r="E16" s="34" t="s">
        <v>428</v>
      </c>
      <c r="F16" s="38" t="s">
        <v>473</v>
      </c>
      <c r="G16" s="34">
        <v>21748156283</v>
      </c>
      <c r="H16" s="34">
        <v>21748156283</v>
      </c>
      <c r="I16" s="34"/>
      <c r="J16" s="34"/>
      <c r="K16" s="34"/>
      <c r="L16" s="34">
        <v>-207501911</v>
      </c>
      <c r="M16" s="34">
        <f>SUM(H16:L16)</f>
        <v>21540654372</v>
      </c>
      <c r="N16" s="34"/>
      <c r="O16" s="34">
        <f>M16-H16</f>
        <v>-207501911</v>
      </c>
      <c r="P16" s="78" t="s">
        <v>476</v>
      </c>
      <c r="Q16" s="34">
        <v>21748156283</v>
      </c>
      <c r="R16" s="34">
        <f>M16</f>
        <v>21540654372</v>
      </c>
      <c r="S16" s="34"/>
      <c r="T16" s="34"/>
      <c r="U16" s="34"/>
      <c r="V16" s="34">
        <v>320182253</v>
      </c>
      <c r="W16" s="34">
        <f>SUM(R16:V16)</f>
        <v>21860836625</v>
      </c>
      <c r="X16" s="34"/>
      <c r="Y16" s="34">
        <f>W16-R16</f>
        <v>320182253</v>
      </c>
      <c r="Z16" s="78"/>
      <c r="AA16" s="34">
        <f>Q16</f>
        <v>21748156283</v>
      </c>
      <c r="AB16" s="34">
        <f>M16</f>
        <v>21540654372</v>
      </c>
      <c r="AC16" s="34">
        <f t="shared" ref="AC16:AF20" si="0">S16</f>
        <v>0</v>
      </c>
      <c r="AD16" s="34">
        <f t="shared" si="0"/>
        <v>0</v>
      </c>
      <c r="AE16" s="34">
        <f t="shared" si="0"/>
        <v>0</v>
      </c>
      <c r="AF16" s="34">
        <v>0</v>
      </c>
      <c r="AG16" s="34">
        <f>SUM(AB16:AF16)</f>
        <v>21540654372</v>
      </c>
      <c r="AH16" s="34"/>
      <c r="AI16" s="34">
        <f>AG16-AB16</f>
        <v>0</v>
      </c>
      <c r="AJ16" s="78"/>
    </row>
    <row r="17" spans="4:36" ht="18" customHeight="1">
      <c r="D17" s="36" t="s">
        <v>15</v>
      </c>
      <c r="E17" s="34" t="s">
        <v>467</v>
      </c>
      <c r="F17" s="38" t="s">
        <v>473</v>
      </c>
      <c r="G17" s="34">
        <v>19842800</v>
      </c>
      <c r="H17" s="34">
        <v>19842800</v>
      </c>
      <c r="I17" s="34"/>
      <c r="J17" s="34"/>
      <c r="K17" s="34"/>
      <c r="L17" s="34"/>
      <c r="M17" s="34">
        <f>SUM(H17:L17)</f>
        <v>19842800</v>
      </c>
      <c r="N17" s="34"/>
      <c r="O17" s="34">
        <f>M17-H17</f>
        <v>0</v>
      </c>
      <c r="P17" s="78"/>
      <c r="Q17" s="34">
        <v>19842800</v>
      </c>
      <c r="R17" s="34">
        <f>M17</f>
        <v>19842800</v>
      </c>
      <c r="S17" s="34"/>
      <c r="T17" s="34"/>
      <c r="U17" s="34"/>
      <c r="V17" s="34"/>
      <c r="W17" s="34">
        <f>SUM(R17:V17)</f>
        <v>19842800</v>
      </c>
      <c r="X17" s="34"/>
      <c r="Y17" s="34">
        <f>W17-R17</f>
        <v>0</v>
      </c>
      <c r="Z17" s="78"/>
      <c r="AA17" s="34">
        <f t="shared" ref="AA17:AB20" si="1">Q17</f>
        <v>19842800</v>
      </c>
      <c r="AB17" s="34">
        <f t="shared" si="1"/>
        <v>19842800</v>
      </c>
      <c r="AC17" s="34">
        <f t="shared" si="0"/>
        <v>0</v>
      </c>
      <c r="AD17" s="34">
        <f t="shared" si="0"/>
        <v>0</v>
      </c>
      <c r="AE17" s="34">
        <f t="shared" si="0"/>
        <v>0</v>
      </c>
      <c r="AF17" s="34">
        <f t="shared" si="0"/>
        <v>0</v>
      </c>
      <c r="AG17" s="34">
        <f>SUM(AB17:AF17)</f>
        <v>19842800</v>
      </c>
      <c r="AH17" s="34"/>
      <c r="AI17" s="34">
        <f>AG17-AB17</f>
        <v>0</v>
      </c>
      <c r="AJ17" s="78"/>
    </row>
    <row r="18" spans="4:36" ht="18" customHeight="1">
      <c r="D18" s="36" t="s">
        <v>15</v>
      </c>
      <c r="E18" s="34" t="s">
        <v>479</v>
      </c>
      <c r="F18" s="38" t="s">
        <v>473</v>
      </c>
      <c r="G18" s="34">
        <v>13175822804</v>
      </c>
      <c r="H18" s="34">
        <f>G18</f>
        <v>13175822804</v>
      </c>
      <c r="I18" s="34"/>
      <c r="J18" s="34">
        <v>-13175822804</v>
      </c>
      <c r="K18" s="34"/>
      <c r="L18" s="34"/>
      <c r="M18" s="34">
        <f>SUM(H18:L18)</f>
        <v>0</v>
      </c>
      <c r="N18" s="34"/>
      <c r="O18" s="34">
        <f>M18-H18</f>
        <v>-13175822804</v>
      </c>
      <c r="P18" s="78" t="s">
        <v>468</v>
      </c>
      <c r="Q18" s="34">
        <v>13175822804</v>
      </c>
      <c r="R18" s="34">
        <f>M18</f>
        <v>0</v>
      </c>
      <c r="S18" s="34"/>
      <c r="T18" s="34"/>
      <c r="U18" s="34"/>
      <c r="V18" s="34"/>
      <c r="W18" s="34">
        <f>SUM(R18:V18)</f>
        <v>0</v>
      </c>
      <c r="X18" s="34"/>
      <c r="Y18" s="34">
        <f>W18-R18</f>
        <v>0</v>
      </c>
      <c r="Z18" s="78"/>
      <c r="AA18" s="34">
        <f t="shared" si="1"/>
        <v>13175822804</v>
      </c>
      <c r="AB18" s="34">
        <f t="shared" si="1"/>
        <v>0</v>
      </c>
      <c r="AC18" s="34">
        <f t="shared" si="0"/>
        <v>0</v>
      </c>
      <c r="AD18" s="34">
        <f t="shared" si="0"/>
        <v>0</v>
      </c>
      <c r="AE18" s="34">
        <f t="shared" si="0"/>
        <v>0</v>
      </c>
      <c r="AF18" s="34">
        <f t="shared" si="0"/>
        <v>0</v>
      </c>
      <c r="AG18" s="34">
        <f>SUM(AB18:AF18)</f>
        <v>0</v>
      </c>
      <c r="AH18" s="34"/>
      <c r="AI18" s="34">
        <f>AG18-AB18</f>
        <v>0</v>
      </c>
      <c r="AJ18" s="78"/>
    </row>
    <row r="19" spans="4:36" ht="18" customHeight="1">
      <c r="D19" s="36" t="s">
        <v>15</v>
      </c>
      <c r="E19" s="34" t="s">
        <v>216</v>
      </c>
      <c r="F19" s="38" t="s">
        <v>473</v>
      </c>
      <c r="G19" s="34">
        <v>4096993217</v>
      </c>
      <c r="H19" s="34">
        <v>0</v>
      </c>
      <c r="I19" s="34">
        <v>4096993217</v>
      </c>
      <c r="J19" s="34">
        <v>0</v>
      </c>
      <c r="K19" s="34"/>
      <c r="L19" s="34"/>
      <c r="M19" s="34">
        <f>SUM(H19:L19)</f>
        <v>4096993217</v>
      </c>
      <c r="N19" s="34"/>
      <c r="O19" s="34">
        <f>M19-H19</f>
        <v>4096993217</v>
      </c>
      <c r="P19" s="78" t="s">
        <v>469</v>
      </c>
      <c r="Q19" s="34">
        <v>4096993217</v>
      </c>
      <c r="R19" s="34">
        <f>M19</f>
        <v>4096993217</v>
      </c>
      <c r="S19" s="34">
        <f>-R19</f>
        <v>-4096993217</v>
      </c>
      <c r="T19" s="34"/>
      <c r="U19" s="34"/>
      <c r="V19" s="34"/>
      <c r="W19" s="34">
        <f>SUM(R19:V19)</f>
        <v>0</v>
      </c>
      <c r="X19" s="34"/>
      <c r="Y19" s="34">
        <f>W19-R19</f>
        <v>-4096993217</v>
      </c>
      <c r="Z19" s="78" t="s">
        <v>1533</v>
      </c>
      <c r="AA19" s="34">
        <f t="shared" si="1"/>
        <v>4096993217</v>
      </c>
      <c r="AB19" s="34">
        <f t="shared" si="1"/>
        <v>4096993217</v>
      </c>
      <c r="AC19" s="34">
        <f t="shared" si="0"/>
        <v>-4096993217</v>
      </c>
      <c r="AD19" s="34">
        <f t="shared" si="0"/>
        <v>0</v>
      </c>
      <c r="AE19" s="34">
        <f t="shared" si="0"/>
        <v>0</v>
      </c>
      <c r="AF19" s="34">
        <f t="shared" si="0"/>
        <v>0</v>
      </c>
      <c r="AG19" s="34">
        <f>SUM(AB19:AF19)</f>
        <v>0</v>
      </c>
      <c r="AH19" s="34"/>
      <c r="AI19" s="34">
        <f>AG19-AB19</f>
        <v>-4096993217</v>
      </c>
      <c r="AJ19" s="78" t="s">
        <v>1533</v>
      </c>
    </row>
    <row r="20" spans="4:36" ht="18" customHeight="1">
      <c r="D20" s="36" t="s">
        <v>15</v>
      </c>
      <c r="E20" s="34" t="s">
        <v>470</v>
      </c>
      <c r="F20" s="38" t="s">
        <v>473</v>
      </c>
      <c r="G20" s="34">
        <v>297103293</v>
      </c>
      <c r="H20" s="34">
        <v>297103293</v>
      </c>
      <c r="I20" s="34"/>
      <c r="J20" s="34">
        <v>-294995310</v>
      </c>
      <c r="K20" s="34"/>
      <c r="L20" s="34">
        <v>-2107983</v>
      </c>
      <c r="M20" s="34">
        <f>SUM(H20:L20)</f>
        <v>0</v>
      </c>
      <c r="N20" s="34"/>
      <c r="O20" s="34">
        <f>M20-H20</f>
        <v>-297103293</v>
      </c>
      <c r="P20" s="78" t="s">
        <v>480</v>
      </c>
      <c r="Q20" s="34">
        <v>297103293</v>
      </c>
      <c r="R20" s="34">
        <f>M20</f>
        <v>0</v>
      </c>
      <c r="S20" s="34"/>
      <c r="T20" s="34"/>
      <c r="U20" s="34"/>
      <c r="V20" s="34"/>
      <c r="W20" s="34">
        <f>SUM(R20:V20)</f>
        <v>0</v>
      </c>
      <c r="X20" s="34"/>
      <c r="Y20" s="34">
        <f>W20-R20</f>
        <v>0</v>
      </c>
      <c r="Z20" s="78"/>
      <c r="AA20" s="34">
        <f t="shared" si="1"/>
        <v>297103293</v>
      </c>
      <c r="AB20" s="34">
        <f t="shared" si="1"/>
        <v>0</v>
      </c>
      <c r="AC20" s="34">
        <f t="shared" si="0"/>
        <v>0</v>
      </c>
      <c r="AD20" s="34">
        <f t="shared" si="0"/>
        <v>0</v>
      </c>
      <c r="AE20" s="34">
        <f t="shared" si="0"/>
        <v>0</v>
      </c>
      <c r="AF20" s="34">
        <f t="shared" si="0"/>
        <v>0</v>
      </c>
      <c r="AG20" s="34">
        <f>SUM(AB20:AF20)</f>
        <v>0</v>
      </c>
      <c r="AH20" s="34"/>
      <c r="AI20" s="34">
        <f>AG20-AB20</f>
        <v>0</v>
      </c>
      <c r="AJ20" s="78"/>
    </row>
    <row r="21" spans="4:36" s="4" customFormat="1" ht="18" customHeight="1" thickBot="1">
      <c r="D21" s="90" t="s">
        <v>427</v>
      </c>
      <c r="E21" s="91"/>
      <c r="F21" s="92"/>
      <c r="G21" s="91">
        <f>SUM(G16:G20)</f>
        <v>39337918397</v>
      </c>
      <c r="H21" s="91">
        <f t="shared" ref="H21:M21" si="2">SUM(H16:H20)</f>
        <v>35240925180</v>
      </c>
      <c r="I21" s="91">
        <f t="shared" si="2"/>
        <v>4096993217</v>
      </c>
      <c r="J21" s="91">
        <f t="shared" si="2"/>
        <v>-13470818114</v>
      </c>
      <c r="K21" s="91">
        <f t="shared" si="2"/>
        <v>0</v>
      </c>
      <c r="L21" s="91">
        <f t="shared" si="2"/>
        <v>-209609894</v>
      </c>
      <c r="M21" s="91">
        <f t="shared" si="2"/>
        <v>25657490389</v>
      </c>
      <c r="N21" s="91"/>
      <c r="O21" s="91"/>
      <c r="P21" s="93"/>
      <c r="Q21" s="91">
        <f>SUM(Q16:Q20)</f>
        <v>39337918397</v>
      </c>
      <c r="R21" s="91">
        <f t="shared" ref="R21:W21" si="3">SUM(R16:R20)</f>
        <v>25657490389</v>
      </c>
      <c r="S21" s="91">
        <f t="shared" si="3"/>
        <v>-4096993217</v>
      </c>
      <c r="T21" s="91">
        <f t="shared" si="3"/>
        <v>0</v>
      </c>
      <c r="U21" s="91">
        <f t="shared" si="3"/>
        <v>0</v>
      </c>
      <c r="V21" s="91">
        <f t="shared" si="3"/>
        <v>320182253</v>
      </c>
      <c r="W21" s="91">
        <f t="shared" si="3"/>
        <v>21880679425</v>
      </c>
      <c r="X21" s="91"/>
      <c r="Y21" s="91"/>
      <c r="Z21" s="93"/>
      <c r="AA21" s="91">
        <f>SUM(AA16:AA20)</f>
        <v>39337918397</v>
      </c>
      <c r="AB21" s="91">
        <f t="shared" ref="AB21:AG21" si="4">SUM(AB16:AB20)</f>
        <v>25657490389</v>
      </c>
      <c r="AC21" s="91">
        <f t="shared" si="4"/>
        <v>-4096993217</v>
      </c>
      <c r="AD21" s="91">
        <f t="shared" si="4"/>
        <v>0</v>
      </c>
      <c r="AE21" s="91">
        <f t="shared" si="4"/>
        <v>0</v>
      </c>
      <c r="AF21" s="91">
        <f t="shared" si="4"/>
        <v>0</v>
      </c>
      <c r="AG21" s="91">
        <f t="shared" si="4"/>
        <v>21560497172</v>
      </c>
      <c r="AH21" s="91"/>
      <c r="AI21" s="91"/>
      <c r="AJ21" s="93"/>
    </row>
    <row r="22" spans="4:36" s="4" customFormat="1" ht="18" customHeight="1">
      <c r="M22" s="94">
        <f>M16/M6</f>
        <v>10.131799999875355</v>
      </c>
      <c r="W22" s="94">
        <f>W16/W6</f>
        <v>10.282399999990593</v>
      </c>
      <c r="AG22" s="94"/>
    </row>
    <row r="23" spans="4:36" ht="18" customHeight="1">
      <c r="W23" s="5">
        <f>W22-'5.1'!M17</f>
        <v>-9.4075858214637265E-12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002060"/>
  </sheetPr>
  <dimension ref="D4:F18"/>
  <sheetViews>
    <sheetView showGridLines="0" zoomScale="85" zoomScaleNormal="85" workbookViewId="0">
      <selection activeCell="E16" sqref="E16"/>
    </sheetView>
  </sheetViews>
  <sheetFormatPr defaultColWidth="9.125" defaultRowHeight="17.100000000000001" customHeight="1"/>
  <cols>
    <col min="1" max="3" width="2.75" style="5" customWidth="1"/>
    <col min="4" max="17" width="20.75" style="5" customWidth="1"/>
    <col min="18" max="16384" width="9.125" style="5"/>
  </cols>
  <sheetData>
    <row r="4" spans="4:6" ht="17.100000000000001" customHeight="1">
      <c r="D4" s="4" t="s">
        <v>1762</v>
      </c>
    </row>
    <row r="5" spans="4:6" s="4" customFormat="1" ht="17.100000000000001" customHeight="1" thickBot="1">
      <c r="D5" s="247"/>
      <c r="E5" s="248" t="s">
        <v>453</v>
      </c>
    </row>
    <row r="6" spans="4:6" ht="17.100000000000001" customHeight="1">
      <c r="D6" s="5" t="s">
        <v>1699</v>
      </c>
      <c r="E6" s="5">
        <v>479716747</v>
      </c>
      <c r="F6" s="5" t="s">
        <v>1774</v>
      </c>
    </row>
    <row r="7" spans="4:6" ht="17.100000000000001" customHeight="1">
      <c r="D7" s="5" t="s">
        <v>1740</v>
      </c>
      <c r="E7" s="5">
        <v>-443862200</v>
      </c>
      <c r="F7" s="5" t="s">
        <v>1773</v>
      </c>
    </row>
    <row r="8" spans="4:6" ht="17.100000000000001" customHeight="1">
      <c r="D8" s="5" t="s">
        <v>1741</v>
      </c>
      <c r="E8" s="5">
        <v>0</v>
      </c>
    </row>
    <row r="9" spans="4:6" ht="17.100000000000001" customHeight="1">
      <c r="D9" s="5" t="s">
        <v>218</v>
      </c>
      <c r="E9" s="5">
        <v>5807400</v>
      </c>
      <c r="F9" s="5" t="s">
        <v>1775</v>
      </c>
    </row>
    <row r="10" spans="4:6" ht="17.100000000000001" customHeight="1">
      <c r="D10" s="5" t="s">
        <v>129</v>
      </c>
      <c r="E10" s="5">
        <f>'5.2'!AO7</f>
        <v>2126044175</v>
      </c>
    </row>
    <row r="11" spans="4:6" ht="17.100000000000001" customHeight="1">
      <c r="D11" s="5" t="s">
        <v>1742</v>
      </c>
      <c r="E11" s="5">
        <f>'5.1'!P10</f>
        <v>500422500</v>
      </c>
    </row>
    <row r="12" spans="4:6" ht="17.100000000000001" customHeight="1">
      <c r="D12" s="5" t="s">
        <v>664</v>
      </c>
      <c r="E12" s="5">
        <f>-'5.1'!P13</f>
        <v>-174197075</v>
      </c>
    </row>
    <row r="13" spans="4:6" s="4" customFormat="1" ht="17.100000000000001" customHeight="1" thickBot="1">
      <c r="D13" s="225" t="s">
        <v>1743</v>
      </c>
      <c r="E13" s="225">
        <f>SUM(E6:E12)</f>
        <v>2493931547</v>
      </c>
    </row>
    <row r="14" spans="4:6" s="4" customFormat="1" ht="17.100000000000001" customHeight="1" thickTop="1">
      <c r="D14" s="168"/>
      <c r="E14" s="168"/>
    </row>
    <row r="15" spans="4:6" s="4" customFormat="1" ht="17.100000000000001" customHeight="1">
      <c r="D15" s="168" t="s">
        <v>1761</v>
      </c>
      <c r="E15" s="168">
        <v>557470033.75167131</v>
      </c>
      <c r="F15" s="4" t="s">
        <v>1776</v>
      </c>
    </row>
    <row r="16" spans="4:6" s="4" customFormat="1" ht="17.100000000000001" customHeight="1" thickBot="1">
      <c r="D16" s="247" t="s">
        <v>610</v>
      </c>
      <c r="E16" s="247">
        <f>E15-E13</f>
        <v>-1936461513.2483287</v>
      </c>
      <c r="F16" s="4" t="s">
        <v>1753</v>
      </c>
    </row>
    <row r="18" spans="5:5" ht="17.100000000000001" customHeight="1">
      <c r="E18" s="5">
        <f>+'5.2'!AQ19</f>
        <v>0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2060"/>
  </sheetPr>
  <dimension ref="D3:G16"/>
  <sheetViews>
    <sheetView showGridLines="0" zoomScale="85" zoomScaleNormal="85" workbookViewId="0">
      <selection activeCell="O51" sqref="O51"/>
    </sheetView>
  </sheetViews>
  <sheetFormatPr defaultColWidth="8.75" defaultRowHeight="18" customHeight="1"/>
  <cols>
    <col min="1" max="3" width="2.375" style="3" customWidth="1"/>
    <col min="4" max="22" width="20.375" style="3" customWidth="1"/>
    <col min="23" max="16384" width="8.75" style="3"/>
  </cols>
  <sheetData>
    <row r="3" spans="4:7" s="2" customFormat="1" ht="18" customHeight="1">
      <c r="D3" s="2" t="s">
        <v>552</v>
      </c>
    </row>
    <row r="4" spans="4:7" s="2" customFormat="1" ht="18" customHeight="1" thickBot="1">
      <c r="D4" s="2" t="s">
        <v>539</v>
      </c>
    </row>
    <row r="5" spans="4:7" ht="18" customHeight="1">
      <c r="D5" s="226" t="s">
        <v>540</v>
      </c>
      <c r="E5" s="227" t="s">
        <v>414</v>
      </c>
      <c r="F5" s="227" t="s">
        <v>541</v>
      </c>
      <c r="G5" s="228">
        <v>43100</v>
      </c>
    </row>
    <row r="6" spans="4:7" s="233" customFormat="1" ht="18" customHeight="1">
      <c r="D6" s="229"/>
      <c r="E6" s="230" t="s">
        <v>542</v>
      </c>
      <c r="F6" s="231" t="s">
        <v>543</v>
      </c>
      <c r="G6" s="232"/>
    </row>
    <row r="7" spans="4:7" s="233" customFormat="1" ht="18" customHeight="1">
      <c r="D7" s="229"/>
      <c r="E7" s="230" t="s">
        <v>542</v>
      </c>
      <c r="F7" s="231" t="s">
        <v>544</v>
      </c>
      <c r="G7" s="232"/>
    </row>
    <row r="8" spans="4:7" s="233" customFormat="1" ht="18" customHeight="1">
      <c r="D8" s="229"/>
      <c r="E8" s="230" t="s">
        <v>542</v>
      </c>
      <c r="F8" s="231" t="s">
        <v>9</v>
      </c>
      <c r="G8" s="232"/>
    </row>
    <row r="9" spans="4:7" s="233" customFormat="1" ht="18" customHeight="1">
      <c r="D9" s="229"/>
      <c r="E9" s="230" t="s">
        <v>542</v>
      </c>
      <c r="F9" s="231" t="s">
        <v>545</v>
      </c>
      <c r="G9" s="232"/>
    </row>
    <row r="10" spans="4:7" s="233" customFormat="1" ht="18" customHeight="1">
      <c r="D10" s="229"/>
      <c r="E10" s="230" t="s">
        <v>542</v>
      </c>
      <c r="F10" s="231" t="s">
        <v>546</v>
      </c>
      <c r="G10" s="232"/>
    </row>
    <row r="11" spans="4:7" s="233" customFormat="1" ht="18" customHeight="1">
      <c r="D11" s="229"/>
      <c r="E11" s="230" t="s">
        <v>547</v>
      </c>
      <c r="F11" s="231" t="s">
        <v>228</v>
      </c>
      <c r="G11" s="232"/>
    </row>
    <row r="12" spans="4:7" s="233" customFormat="1" ht="18" customHeight="1">
      <c r="D12" s="229"/>
      <c r="E12" s="230" t="s">
        <v>547</v>
      </c>
      <c r="F12" s="231" t="s">
        <v>548</v>
      </c>
      <c r="G12" s="232"/>
    </row>
    <row r="13" spans="4:7" s="233" customFormat="1" ht="18" customHeight="1">
      <c r="D13" s="229"/>
      <c r="E13" s="230" t="s">
        <v>547</v>
      </c>
      <c r="F13" s="231" t="s">
        <v>382</v>
      </c>
      <c r="G13" s="232"/>
    </row>
    <row r="14" spans="4:7" s="233" customFormat="1" ht="18" customHeight="1">
      <c r="D14" s="229"/>
      <c r="E14" s="230" t="s">
        <v>547</v>
      </c>
      <c r="F14" s="231" t="s">
        <v>549</v>
      </c>
      <c r="G14" s="232"/>
    </row>
    <row r="15" spans="4:7" s="233" customFormat="1" ht="18" customHeight="1">
      <c r="D15" s="229"/>
      <c r="E15" s="230" t="s">
        <v>547</v>
      </c>
      <c r="F15" s="231" t="s">
        <v>550</v>
      </c>
      <c r="G15" s="232"/>
    </row>
    <row r="16" spans="4:7" s="233" customFormat="1" ht="18" customHeight="1" thickBot="1">
      <c r="D16" s="234"/>
      <c r="E16" s="235" t="s">
        <v>537</v>
      </c>
      <c r="F16" s="236" t="s">
        <v>551</v>
      </c>
      <c r="G16" s="237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FF00"/>
  </sheetPr>
  <dimension ref="D4:AM51"/>
  <sheetViews>
    <sheetView showGridLines="0" zoomScale="80" zoomScaleNormal="80" workbookViewId="0">
      <pane xSplit="5" ySplit="5" topLeftCell="O21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ColWidth="8.75" defaultRowHeight="18" customHeight="1" outlineLevelCol="1"/>
  <cols>
    <col min="1" max="3" width="2.375" style="498" customWidth="1"/>
    <col min="4" max="4" width="15.125" style="498" customWidth="1"/>
    <col min="5" max="5" width="25.375" style="498" customWidth="1"/>
    <col min="6" max="10" width="17.125" style="498" hidden="1" customWidth="1" outlineLevel="1"/>
    <col min="11" max="14" width="17.625" style="498" hidden="1" customWidth="1" outlineLevel="1"/>
    <col min="15" max="15" width="17.625" style="498" customWidth="1" collapsed="1"/>
    <col min="16" max="22" width="17.625" style="498" customWidth="1"/>
    <col min="23" max="23" width="30.625" style="566" customWidth="1"/>
    <col min="24" max="24" width="2.625" style="498" customWidth="1"/>
    <col min="25" max="25" width="10.125" style="498" customWidth="1"/>
    <col min="26" max="26" width="17.625" style="498" customWidth="1"/>
    <col min="27" max="28" width="20.375" style="498" customWidth="1"/>
    <col min="29" max="29" width="46.25" style="498" bestFit="1" customWidth="1"/>
    <col min="30" max="31" width="8.75" style="498"/>
    <col min="32" max="33" width="8.75" style="498" customWidth="1"/>
    <col min="34" max="34" width="11.25" style="498" customWidth="1"/>
    <col min="35" max="37" width="8.75" style="498" customWidth="1"/>
    <col min="38" max="38" width="11.25" style="498" customWidth="1"/>
    <col min="39" max="39" width="8.75" style="498" customWidth="1"/>
    <col min="40" max="16384" width="8.75" style="498"/>
  </cols>
  <sheetData>
    <row r="4" spans="4:39" s="540" customFormat="1" ht="18" customHeight="1" thickBot="1">
      <c r="F4" s="540" t="b">
        <v>1</v>
      </c>
      <c r="G4" s="540" t="b">
        <v>1</v>
      </c>
      <c r="H4" s="540" t="b">
        <v>1</v>
      </c>
      <c r="I4" s="540" t="b">
        <v>1</v>
      </c>
      <c r="J4" s="540" t="b">
        <f>SUM(J6:J38)=0</f>
        <v>1</v>
      </c>
      <c r="K4" s="540" t="b">
        <f>SUM(K6:K38)=0</f>
        <v>1</v>
      </c>
      <c r="L4" s="540" t="b">
        <f>SUM(L6:L38)=0</f>
        <v>1</v>
      </c>
      <c r="M4" s="540" t="b">
        <f>SUM(M6:M38)=0</f>
        <v>1</v>
      </c>
      <c r="N4" s="540" t="b">
        <f>SUM(N6:N38)=0</f>
        <v>1</v>
      </c>
      <c r="O4" s="540" t="b">
        <f>SUM(O6:O39)=0</f>
        <v>1</v>
      </c>
      <c r="P4" s="540" t="b">
        <f>SUM(P6:P39)=0</f>
        <v>1</v>
      </c>
      <c r="Q4" s="540" t="b">
        <f>SUM(Q6:Q39)=0</f>
        <v>1</v>
      </c>
      <c r="R4" s="540" t="b">
        <f>SUM(R6:R39)=0</f>
        <v>1</v>
      </c>
      <c r="S4" s="540" t="b">
        <f t="shared" ref="S4:U4" si="0">SUM(S6:S39)=0</f>
        <v>1</v>
      </c>
      <c r="T4" s="540" t="b">
        <f t="shared" si="0"/>
        <v>1</v>
      </c>
      <c r="U4" s="540" t="b">
        <f t="shared" si="0"/>
        <v>1</v>
      </c>
      <c r="V4" s="540" t="b">
        <f>SUM(V6:V39)=0</f>
        <v>1</v>
      </c>
      <c r="W4" s="632"/>
    </row>
    <row r="5" spans="4:39" ht="18" customHeight="1">
      <c r="D5" s="489" t="s">
        <v>16</v>
      </c>
      <c r="E5" s="490" t="s">
        <v>19</v>
      </c>
      <c r="F5" s="490" t="s">
        <v>2334</v>
      </c>
      <c r="G5" s="490" t="s">
        <v>2335</v>
      </c>
      <c r="H5" s="490" t="s">
        <v>2336</v>
      </c>
      <c r="I5" s="490" t="s">
        <v>2337</v>
      </c>
      <c r="J5" s="491" t="s">
        <v>2338</v>
      </c>
      <c r="K5" s="489" t="s">
        <v>2476</v>
      </c>
      <c r="L5" s="490" t="s">
        <v>2477</v>
      </c>
      <c r="M5" s="490" t="s">
        <v>2306</v>
      </c>
      <c r="N5" s="491" t="s">
        <v>2478</v>
      </c>
      <c r="O5" s="492" t="s">
        <v>2479</v>
      </c>
      <c r="P5" s="490" t="s">
        <v>2474</v>
      </c>
      <c r="Q5" s="490" t="s">
        <v>2475</v>
      </c>
      <c r="R5" s="493" t="s">
        <v>2480</v>
      </c>
      <c r="S5" s="489" t="s">
        <v>2576</v>
      </c>
      <c r="T5" s="1897" t="s">
        <v>2814</v>
      </c>
      <c r="U5" s="490" t="s">
        <v>2896</v>
      </c>
      <c r="V5" s="1927" t="str">
        <f>'5.0'!V5</f>
        <v>FY2022.Q4</v>
      </c>
      <c r="Y5" s="595" t="s">
        <v>1787</v>
      </c>
      <c r="Z5" s="596" t="s">
        <v>1786</v>
      </c>
      <c r="AA5" s="596" t="s">
        <v>1788</v>
      </c>
      <c r="AB5" s="633" t="s">
        <v>1789</v>
      </c>
    </row>
    <row r="6" spans="4:39" s="543" customFormat="1" ht="18" customHeight="1">
      <c r="D6" s="634" t="s">
        <v>555</v>
      </c>
      <c r="E6" s="635"/>
      <c r="F6" s="635"/>
      <c r="G6" s="635"/>
      <c r="H6" s="635"/>
      <c r="I6" s="635"/>
      <c r="J6" s="636"/>
      <c r="K6" s="637"/>
      <c r="L6" s="635"/>
      <c r="M6" s="635"/>
      <c r="N6" s="636"/>
      <c r="O6" s="638"/>
      <c r="P6" s="635"/>
      <c r="Q6" s="635"/>
      <c r="R6" s="639"/>
      <c r="S6" s="637"/>
      <c r="T6" s="1898"/>
      <c r="U6" s="635"/>
      <c r="V6" s="636"/>
      <c r="W6" s="640"/>
      <c r="Y6" s="641" t="str">
        <f>+D6</f>
        <v>ENT,  INC., groovers jp 매출재분류 (연결관점에서는 Inc.의 매출이 제품매출)</v>
      </c>
      <c r="Z6" s="642"/>
      <c r="AA6" s="642"/>
      <c r="AB6" s="643"/>
    </row>
    <row r="7" spans="4:39" s="543" customFormat="1" ht="18" customHeight="1">
      <c r="D7" s="644">
        <v>410100</v>
      </c>
      <c r="E7" s="645" t="s">
        <v>229</v>
      </c>
      <c r="F7" s="646">
        <v>0</v>
      </c>
      <c r="G7" s="646"/>
      <c r="H7" s="646"/>
      <c r="I7" s="646">
        <v>2078319232</v>
      </c>
      <c r="J7" s="647">
        <f>SUM(T_IS!H7:H10)</f>
        <v>35284658346</v>
      </c>
      <c r="K7" s="648">
        <v>0</v>
      </c>
      <c r="L7" s="646"/>
      <c r="M7" s="646">
        <v>396878458</v>
      </c>
      <c r="N7" s="647">
        <v>404060038</v>
      </c>
      <c r="O7" s="649">
        <v>1545014</v>
      </c>
      <c r="P7" s="646">
        <v>2818760</v>
      </c>
      <c r="Q7" s="646">
        <v>3527446</v>
      </c>
      <c r="R7" s="650">
        <v>3664967</v>
      </c>
      <c r="S7" s="648">
        <v>3644873</v>
      </c>
      <c r="T7" s="1926">
        <v>3565411</v>
      </c>
      <c r="U7" s="646">
        <v>3487498</v>
      </c>
      <c r="V7" s="671">
        <f>-V8</f>
        <v>3487498</v>
      </c>
      <c r="W7" s="577"/>
      <c r="Y7" s="651">
        <f>+D7</f>
        <v>410100</v>
      </c>
      <c r="Z7" s="652" t="str">
        <f>+E7</f>
        <v>상품매출</v>
      </c>
      <c r="AA7" s="653">
        <f>IF(V7&gt;0,V7,0)</f>
        <v>3487498</v>
      </c>
      <c r="AB7" s="654">
        <f>IF(V7&lt;0,-V7,0)</f>
        <v>0</v>
      </c>
    </row>
    <row r="8" spans="4:39" s="543" customFormat="1" ht="18" customHeight="1">
      <c r="D8" s="644">
        <v>410200</v>
      </c>
      <c r="E8" s="645" t="s">
        <v>230</v>
      </c>
      <c r="F8" s="646">
        <v>0</v>
      </c>
      <c r="G8" s="646"/>
      <c r="H8" s="646"/>
      <c r="I8" s="646">
        <v>-2078319232</v>
      </c>
      <c r="J8" s="647">
        <f>-J7</f>
        <v>-35284658346</v>
      </c>
      <c r="K8" s="648">
        <v>0</v>
      </c>
      <c r="L8" s="646"/>
      <c r="M8" s="646">
        <v>-396878458</v>
      </c>
      <c r="N8" s="647">
        <v>-404060038</v>
      </c>
      <c r="O8" s="649">
        <v>-1545014</v>
      </c>
      <c r="P8" s="646">
        <v>-2818760</v>
      </c>
      <c r="Q8" s="646">
        <v>-3527446</v>
      </c>
      <c r="R8" s="650">
        <v>-3664967</v>
      </c>
      <c r="S8" s="648">
        <v>-3644873</v>
      </c>
      <c r="T8" s="1926">
        <v>-3565411</v>
      </c>
      <c r="U8" s="646">
        <v>-3487498</v>
      </c>
      <c r="V8" s="671">
        <f>-'4.0'!AM10</f>
        <v>-3487498</v>
      </c>
      <c r="W8" s="577"/>
      <c r="Y8" s="651">
        <f>+D8</f>
        <v>410200</v>
      </c>
      <c r="Z8" s="652" t="str">
        <f>+E8</f>
        <v>제품매출</v>
      </c>
      <c r="AA8" s="653">
        <f>IF(V8&gt;0,V8,0)</f>
        <v>0</v>
      </c>
      <c r="AB8" s="654">
        <f>IF(V8&lt;0,-V8,0)</f>
        <v>3487498</v>
      </c>
      <c r="AC8" s="566" t="s">
        <v>1999</v>
      </c>
    </row>
    <row r="9" spans="4:39" s="543" customFormat="1" ht="18" customHeight="1">
      <c r="D9" s="644" t="s">
        <v>239</v>
      </c>
      <c r="E9" s="645" t="s">
        <v>240</v>
      </c>
      <c r="F9" s="646">
        <v>-3045560336</v>
      </c>
      <c r="G9" s="646">
        <v>-1368838901</v>
      </c>
      <c r="H9" s="646">
        <v>-5081605792</v>
      </c>
      <c r="I9" s="646">
        <v>-1389098959</v>
      </c>
      <c r="J9" s="647">
        <f>-SUM(T_IS!H27:H27)</f>
        <v>-29741070421</v>
      </c>
      <c r="K9" s="648">
        <v>0</v>
      </c>
      <c r="L9" s="646"/>
      <c r="M9" s="646">
        <v>-222095445</v>
      </c>
      <c r="N9" s="647">
        <v>-187060762</v>
      </c>
      <c r="O9" s="649">
        <v>-766358</v>
      </c>
      <c r="P9" s="646">
        <v>-1398163</v>
      </c>
      <c r="Q9" s="646">
        <v>-1749681</v>
      </c>
      <c r="R9" s="650">
        <v>-1817892</v>
      </c>
      <c r="S9" s="648">
        <v>-1807924</v>
      </c>
      <c r="T9" s="1926">
        <v>-1768510</v>
      </c>
      <c r="U9" s="646">
        <v>-1729864</v>
      </c>
      <c r="V9" s="671">
        <f>-'4.0'!AN10</f>
        <v>-1729864</v>
      </c>
      <c r="W9" s="577"/>
      <c r="Y9" s="651" t="str">
        <f>+D9</f>
        <v>420090</v>
      </c>
      <c r="Z9" s="652" t="str">
        <f>+E9</f>
        <v>상품매출원가</v>
      </c>
      <c r="AA9" s="653">
        <f>IF(V9&gt;0,V9,0)</f>
        <v>0</v>
      </c>
      <c r="AB9" s="654">
        <f>IF(V9&lt;0,-V9,0)</f>
        <v>1729864</v>
      </c>
      <c r="AC9" s="566" t="s">
        <v>2016</v>
      </c>
    </row>
    <row r="10" spans="4:39" ht="18" customHeight="1">
      <c r="D10" s="655" t="s">
        <v>241</v>
      </c>
      <c r="E10" s="572" t="s">
        <v>242</v>
      </c>
      <c r="F10" s="552">
        <v>3045560336</v>
      </c>
      <c r="G10" s="552">
        <v>1368838901</v>
      </c>
      <c r="H10" s="552">
        <v>5081605792</v>
      </c>
      <c r="I10" s="646">
        <v>1389098959</v>
      </c>
      <c r="J10" s="647">
        <f>-J9</f>
        <v>29741070421</v>
      </c>
      <c r="K10" s="648">
        <v>0</v>
      </c>
      <c r="L10" s="646"/>
      <c r="M10" s="646">
        <v>222095445</v>
      </c>
      <c r="N10" s="647">
        <v>187060762</v>
      </c>
      <c r="O10" s="649">
        <v>766358</v>
      </c>
      <c r="P10" s="646">
        <v>1398163</v>
      </c>
      <c r="Q10" s="646">
        <v>1749681</v>
      </c>
      <c r="R10" s="650">
        <v>1817892</v>
      </c>
      <c r="S10" s="648">
        <v>1807924</v>
      </c>
      <c r="T10" s="1926">
        <v>1768510</v>
      </c>
      <c r="U10" s="646">
        <v>1729864</v>
      </c>
      <c r="V10" s="671">
        <f>-V9</f>
        <v>1729864</v>
      </c>
      <c r="W10" s="577">
        <f>ROUND(W9*'4.0'!$AD$15,)</f>
        <v>0</v>
      </c>
      <c r="X10" s="543"/>
      <c r="Y10" s="651" t="str">
        <f>+D10</f>
        <v>420199</v>
      </c>
      <c r="Z10" s="652" t="str">
        <f>+E10</f>
        <v>제품매출원가</v>
      </c>
      <c r="AA10" s="653">
        <f>IF(V10&gt;0,V10,0)</f>
        <v>1729864</v>
      </c>
      <c r="AB10" s="654">
        <f>IF(V10&lt;0,-V10,0)</f>
        <v>0</v>
      </c>
      <c r="AC10" s="566"/>
    </row>
    <row r="11" spans="4:39" ht="18" customHeight="1">
      <c r="D11" s="656" t="s">
        <v>1793</v>
      </c>
      <c r="E11" s="572" t="s">
        <v>1991</v>
      </c>
      <c r="F11" s="552"/>
      <c r="G11" s="552"/>
      <c r="H11" s="552"/>
      <c r="I11" s="646"/>
      <c r="J11" s="647"/>
      <c r="K11" s="648"/>
      <c r="L11" s="646"/>
      <c r="M11" s="646">
        <v>45943748</v>
      </c>
      <c r="N11" s="647">
        <v>35034683</v>
      </c>
      <c r="O11" s="649">
        <v>33299885</v>
      </c>
      <c r="P11" s="646">
        <v>121934153</v>
      </c>
      <c r="Q11" s="646">
        <v>125885220</v>
      </c>
      <c r="R11" s="650">
        <v>122470305</v>
      </c>
      <c r="S11" s="648">
        <v>117507963</v>
      </c>
      <c r="T11" s="1926">
        <v>111568671</v>
      </c>
      <c r="U11" s="646">
        <v>116405185</v>
      </c>
      <c r="V11" s="671">
        <f>'4.0'!V11</f>
        <v>112541681</v>
      </c>
      <c r="W11" s="577"/>
      <c r="X11" s="543"/>
      <c r="Y11" s="651" t="s">
        <v>1793</v>
      </c>
      <c r="Z11" s="652" t="s">
        <v>1991</v>
      </c>
      <c r="AA11" s="653">
        <f>V11</f>
        <v>112541681</v>
      </c>
      <c r="AB11" s="654"/>
      <c r="AC11" s="566" t="s">
        <v>2021</v>
      </c>
    </row>
    <row r="12" spans="4:39" ht="18" customHeight="1">
      <c r="D12" s="656" t="s">
        <v>1993</v>
      </c>
      <c r="E12" s="572" t="s">
        <v>1992</v>
      </c>
      <c r="F12" s="552"/>
      <c r="G12" s="552"/>
      <c r="H12" s="552"/>
      <c r="I12" s="646"/>
      <c r="J12" s="647"/>
      <c r="K12" s="648"/>
      <c r="L12" s="646"/>
      <c r="M12" s="646">
        <v>-45943748</v>
      </c>
      <c r="N12" s="647">
        <v>-35034683</v>
      </c>
      <c r="O12" s="649">
        <v>-33299885</v>
      </c>
      <c r="P12" s="646">
        <v>-121934153</v>
      </c>
      <c r="Q12" s="646">
        <v>-125885220</v>
      </c>
      <c r="R12" s="650">
        <v>-122470305</v>
      </c>
      <c r="S12" s="648">
        <v>-117507963</v>
      </c>
      <c r="T12" s="1926">
        <v>-111568671</v>
      </c>
      <c r="U12" s="646">
        <v>-116405185</v>
      </c>
      <c r="V12" s="671">
        <f>-V11</f>
        <v>-112541681</v>
      </c>
      <c r="W12" s="577"/>
      <c r="X12" s="543"/>
      <c r="Y12" s="651" t="s">
        <v>1993</v>
      </c>
      <c r="Z12" s="652" t="s">
        <v>1992</v>
      </c>
      <c r="AA12" s="653"/>
      <c r="AB12" s="654">
        <f>-V12</f>
        <v>112541681</v>
      </c>
      <c r="AC12" s="566" t="s">
        <v>2021</v>
      </c>
      <c r="AF12" s="498" t="s">
        <v>1858</v>
      </c>
      <c r="AI12" s="498" t="s">
        <v>1990</v>
      </c>
      <c r="AK12" s="498" t="s">
        <v>2013</v>
      </c>
    </row>
    <row r="13" spans="4:39" s="543" customFormat="1" ht="18" customHeight="1">
      <c r="D13" s="634" t="s">
        <v>464</v>
      </c>
      <c r="E13" s="657"/>
      <c r="F13" s="635"/>
      <c r="G13" s="635"/>
      <c r="H13" s="635"/>
      <c r="I13" s="635"/>
      <c r="J13" s="636"/>
      <c r="K13" s="637"/>
      <c r="L13" s="635"/>
      <c r="M13" s="635"/>
      <c r="N13" s="636"/>
      <c r="O13" s="638"/>
      <c r="P13" s="635"/>
      <c r="Q13" s="635"/>
      <c r="R13" s="639"/>
      <c r="S13" s="637"/>
      <c r="T13" s="1898"/>
      <c r="U13" s="635"/>
      <c r="V13" s="636"/>
      <c r="W13" s="640"/>
      <c r="Y13" s="658"/>
      <c r="Z13" s="659"/>
      <c r="AA13" s="642"/>
      <c r="AB13" s="643"/>
      <c r="AF13" s="543" t="s">
        <v>2012</v>
      </c>
      <c r="AH13" s="543">
        <v>100</v>
      </c>
      <c r="AI13" s="543" t="s">
        <v>1992</v>
      </c>
      <c r="AJ13" s="543">
        <v>100</v>
      </c>
      <c r="AL13" s="543" t="s">
        <v>2012</v>
      </c>
      <c r="AM13" s="543" t="e">
        <f>AH13-AG27+#REF!</f>
        <v>#REF!</v>
      </c>
    </row>
    <row r="14" spans="4:39" s="543" customFormat="1" ht="18" customHeight="1">
      <c r="D14" s="644" t="s">
        <v>301</v>
      </c>
      <c r="E14" s="645" t="s">
        <v>302</v>
      </c>
      <c r="F14" s="646">
        <v>-3197875</v>
      </c>
      <c r="G14" s="646">
        <v>0</v>
      </c>
      <c r="H14" s="646">
        <v>16711699</v>
      </c>
      <c r="I14" s="646">
        <v>-79655580</v>
      </c>
      <c r="J14" s="647"/>
      <c r="K14" s="648"/>
      <c r="L14" s="646"/>
      <c r="M14" s="646"/>
      <c r="N14" s="647"/>
      <c r="O14" s="649"/>
      <c r="P14" s="646"/>
      <c r="Q14" s="646"/>
      <c r="R14" s="650"/>
      <c r="S14" s="648"/>
      <c r="T14" s="1926"/>
      <c r="U14" s="646"/>
      <c r="V14" s="647"/>
      <c r="W14" s="640"/>
      <c r="Y14" s="651"/>
      <c r="Z14" s="652"/>
      <c r="AA14" s="653"/>
      <c r="AB14" s="654"/>
      <c r="AF14" s="543" t="s">
        <v>2011</v>
      </c>
      <c r="AG14" s="543">
        <v>80</v>
      </c>
      <c r="AL14" s="543" t="s">
        <v>2014</v>
      </c>
      <c r="AM14" s="543">
        <f>AJ17-AG43</f>
        <v>0</v>
      </c>
    </row>
    <row r="15" spans="4:39" s="543" customFormat="1" ht="18" customHeight="1">
      <c r="D15" s="644" t="s">
        <v>295</v>
      </c>
      <c r="E15" s="645" t="s">
        <v>296</v>
      </c>
      <c r="F15" s="646">
        <v>3197875</v>
      </c>
      <c r="G15" s="646">
        <v>0</v>
      </c>
      <c r="H15" s="646">
        <v>-16711699</v>
      </c>
      <c r="I15" s="646">
        <v>79655580</v>
      </c>
      <c r="J15" s="647"/>
      <c r="K15" s="648"/>
      <c r="L15" s="646"/>
      <c r="M15" s="646"/>
      <c r="N15" s="647"/>
      <c r="O15" s="649"/>
      <c r="P15" s="646"/>
      <c r="Q15" s="646"/>
      <c r="R15" s="650"/>
      <c r="S15" s="648"/>
      <c r="T15" s="1926"/>
      <c r="U15" s="646"/>
      <c r="V15" s="647"/>
      <c r="W15" s="640"/>
      <c r="Y15" s="651"/>
      <c r="Z15" s="652"/>
      <c r="AA15" s="653"/>
      <c r="AB15" s="654"/>
      <c r="AF15" s="543" t="s">
        <v>1991</v>
      </c>
      <c r="AH15" s="543">
        <v>80</v>
      </c>
      <c r="AL15" s="543" t="s">
        <v>1992</v>
      </c>
      <c r="AM15" s="543">
        <f>25-AH38</f>
        <v>0</v>
      </c>
    </row>
    <row r="16" spans="4:39" s="543" customFormat="1" ht="18" customHeight="1">
      <c r="D16" s="634" t="s">
        <v>464</v>
      </c>
      <c r="E16" s="657"/>
      <c r="F16" s="635"/>
      <c r="G16" s="635"/>
      <c r="H16" s="635"/>
      <c r="I16" s="635"/>
      <c r="J16" s="636"/>
      <c r="K16" s="637"/>
      <c r="L16" s="635"/>
      <c r="M16" s="635"/>
      <c r="N16" s="636"/>
      <c r="O16" s="638"/>
      <c r="P16" s="635"/>
      <c r="Q16" s="635"/>
      <c r="R16" s="639"/>
      <c r="S16" s="637"/>
      <c r="T16" s="1898"/>
      <c r="U16" s="635"/>
      <c r="V16" s="636"/>
      <c r="W16" s="640"/>
      <c r="Y16" s="658" t="s">
        <v>1797</v>
      </c>
      <c r="Z16" s="659"/>
      <c r="AA16" s="642"/>
      <c r="AB16" s="643"/>
      <c r="AL16" s="543" t="s">
        <v>2011</v>
      </c>
      <c r="AM16" s="543">
        <f>AG14-AH28+AG29+AG32-AH35</f>
        <v>60</v>
      </c>
    </row>
    <row r="17" spans="4:39" s="543" customFormat="1" ht="18" customHeight="1">
      <c r="D17" s="660" t="s">
        <v>1794</v>
      </c>
      <c r="E17" s="645" t="s">
        <v>26</v>
      </c>
      <c r="F17" s="646"/>
      <c r="G17" s="646"/>
      <c r="H17" s="646"/>
      <c r="I17" s="646"/>
      <c r="J17" s="647">
        <v>-327031541</v>
      </c>
      <c r="K17" s="648">
        <v>-345748871</v>
      </c>
      <c r="L17" s="646">
        <v>-339552857</v>
      </c>
      <c r="M17" s="646">
        <v>-359515514</v>
      </c>
      <c r="N17" s="647">
        <v>-282047680</v>
      </c>
      <c r="O17" s="649">
        <v>-240418751</v>
      </c>
      <c r="P17" s="646">
        <v>-133158070</v>
      </c>
      <c r="Q17" s="646">
        <v>-55857371</v>
      </c>
      <c r="R17" s="650"/>
      <c r="S17" s="648">
        <v>0</v>
      </c>
      <c r="T17" s="1926">
        <v>0</v>
      </c>
      <c r="U17" s="646">
        <v>0</v>
      </c>
      <c r="V17" s="671">
        <f>-V18</f>
        <v>0</v>
      </c>
      <c r="W17" s="577"/>
      <c r="Y17" s="661" t="str">
        <f t="shared" ref="Y17:Z20" si="1">+D17</f>
        <v>111731</v>
      </c>
      <c r="Z17" s="662" t="str">
        <f t="shared" si="1"/>
        <v>외상매출금(외화)</v>
      </c>
      <c r="AA17" s="663">
        <f>IF(V17&gt;0,V17,0)</f>
        <v>0</v>
      </c>
      <c r="AB17" s="664">
        <f>IF(V17&lt;0,-V17,0)</f>
        <v>0</v>
      </c>
      <c r="AF17" s="543" t="s">
        <v>2014</v>
      </c>
      <c r="AJ17" s="543">
        <v>120</v>
      </c>
      <c r="AL17" s="543" t="s">
        <v>1994</v>
      </c>
      <c r="AM17" s="543">
        <f>AI18-AH33+AG36</f>
        <v>0</v>
      </c>
    </row>
    <row r="18" spans="4:39" s="543" customFormat="1" ht="18" customHeight="1">
      <c r="D18" s="660" t="s">
        <v>1796</v>
      </c>
      <c r="E18" s="645" t="s">
        <v>33</v>
      </c>
      <c r="F18" s="646"/>
      <c r="G18" s="646"/>
      <c r="H18" s="646"/>
      <c r="I18" s="646"/>
      <c r="J18" s="647">
        <f>-J17</f>
        <v>327031541</v>
      </c>
      <c r="K18" s="648">
        <v>345748871</v>
      </c>
      <c r="L18" s="646">
        <v>339552857</v>
      </c>
      <c r="M18" s="646">
        <v>359515514</v>
      </c>
      <c r="N18" s="647">
        <v>282047680</v>
      </c>
      <c r="O18" s="649">
        <v>240418751</v>
      </c>
      <c r="P18" s="646">
        <v>133158070</v>
      </c>
      <c r="Q18" s="646">
        <v>55857371</v>
      </c>
      <c r="R18" s="650"/>
      <c r="S18" s="648">
        <v>0</v>
      </c>
      <c r="T18" s="1926">
        <v>0</v>
      </c>
      <c r="U18" s="646">
        <v>0</v>
      </c>
      <c r="V18" s="671">
        <f>W18</f>
        <v>0</v>
      </c>
      <c r="W18" s="577">
        <v>0</v>
      </c>
      <c r="Y18" s="644" t="str">
        <f t="shared" si="1"/>
        <v>112113</v>
      </c>
      <c r="Z18" s="645" t="str">
        <f t="shared" si="1"/>
        <v>미수금(외화_일반)</v>
      </c>
      <c r="AA18" s="646">
        <f>IF(V18&gt;0,V18,0)</f>
        <v>0</v>
      </c>
      <c r="AB18" s="647">
        <f>IF(V18&lt;0,-V18,0)</f>
        <v>0</v>
      </c>
      <c r="AF18" s="543" t="s">
        <v>1994</v>
      </c>
      <c r="AI18" s="543">
        <v>75</v>
      </c>
      <c r="AL18" s="543" t="s">
        <v>1991</v>
      </c>
      <c r="AM18" s="543">
        <f>-5+AG39</f>
        <v>20</v>
      </c>
    </row>
    <row r="19" spans="4:39" s="543" customFormat="1" ht="18" customHeight="1">
      <c r="D19" s="660" t="s">
        <v>1795</v>
      </c>
      <c r="E19" s="645" t="s">
        <v>1692</v>
      </c>
      <c r="F19" s="646"/>
      <c r="G19" s="646"/>
      <c r="H19" s="646"/>
      <c r="I19" s="646"/>
      <c r="J19" s="647">
        <v>-300136621</v>
      </c>
      <c r="K19" s="648">
        <v>-230497964</v>
      </c>
      <c r="L19" s="646">
        <v>-141484785</v>
      </c>
      <c r="M19" s="646">
        <v>-55315563</v>
      </c>
      <c r="N19" s="647"/>
      <c r="O19" s="649">
        <v>0</v>
      </c>
      <c r="P19" s="646"/>
      <c r="Q19" s="646">
        <v>0</v>
      </c>
      <c r="R19" s="650"/>
      <c r="S19" s="648">
        <v>0</v>
      </c>
      <c r="T19" s="1926">
        <v>0</v>
      </c>
      <c r="U19" s="646">
        <v>0</v>
      </c>
      <c r="V19" s="671">
        <f>-V20</f>
        <v>0</v>
      </c>
      <c r="W19" s="577"/>
      <c r="Y19" s="644" t="str">
        <f t="shared" si="1"/>
        <v>121800</v>
      </c>
      <c r="Z19" s="645" t="str">
        <f t="shared" si="1"/>
        <v>외상매출금(외화_비유동)</v>
      </c>
      <c r="AA19" s="646">
        <f>IF(V19&gt;0,V19,0)</f>
        <v>0</v>
      </c>
      <c r="AB19" s="647">
        <f>IF(V19&lt;0,-V19,0)</f>
        <v>0</v>
      </c>
      <c r="AF19" s="543" t="s">
        <v>1992</v>
      </c>
      <c r="AJ19" s="543">
        <v>75</v>
      </c>
    </row>
    <row r="20" spans="4:39" s="543" customFormat="1" ht="18" customHeight="1">
      <c r="D20" s="644" t="s">
        <v>1777</v>
      </c>
      <c r="E20" s="645" t="s">
        <v>1778</v>
      </c>
      <c r="F20" s="646"/>
      <c r="G20" s="646"/>
      <c r="H20" s="646"/>
      <c r="I20" s="646"/>
      <c r="J20" s="647">
        <f>-J19</f>
        <v>300136621</v>
      </c>
      <c r="K20" s="648">
        <v>230497964</v>
      </c>
      <c r="L20" s="646">
        <v>141484785</v>
      </c>
      <c r="M20" s="646">
        <v>55315563</v>
      </c>
      <c r="N20" s="647"/>
      <c r="O20" s="649">
        <v>0</v>
      </c>
      <c r="P20" s="646"/>
      <c r="Q20" s="646">
        <v>0</v>
      </c>
      <c r="R20" s="650"/>
      <c r="S20" s="648">
        <v>0</v>
      </c>
      <c r="T20" s="1926">
        <v>0</v>
      </c>
      <c r="U20" s="646">
        <v>0</v>
      </c>
      <c r="V20" s="671">
        <f>W20</f>
        <v>0</v>
      </c>
      <c r="W20" s="577"/>
      <c r="Y20" s="644" t="str">
        <f t="shared" si="1"/>
        <v>121805**</v>
      </c>
      <c r="Z20" s="645" t="str">
        <f t="shared" si="1"/>
        <v>장기미수금</v>
      </c>
      <c r="AA20" s="646">
        <f>IF(V20&gt;0,V20,0)</f>
        <v>0</v>
      </c>
      <c r="AB20" s="647">
        <f>IF(V20&lt;0,-V20,0)</f>
        <v>0</v>
      </c>
    </row>
    <row r="21" spans="4:39" s="543" customFormat="1" ht="18" customHeight="1">
      <c r="D21" s="644"/>
      <c r="E21" s="645"/>
      <c r="F21" s="646"/>
      <c r="G21" s="646"/>
      <c r="H21" s="646"/>
      <c r="I21" s="646"/>
      <c r="J21" s="647"/>
      <c r="K21" s="648"/>
      <c r="L21" s="646"/>
      <c r="M21" s="646"/>
      <c r="N21" s="647"/>
      <c r="O21" s="649"/>
      <c r="P21" s="646"/>
      <c r="Q21" s="646"/>
      <c r="R21" s="650"/>
      <c r="S21" s="648"/>
      <c r="T21" s="1926"/>
      <c r="U21" s="646"/>
      <c r="V21" s="671"/>
      <c r="W21" s="577"/>
      <c r="Y21" s="644"/>
      <c r="Z21" s="645"/>
      <c r="AA21" s="646"/>
      <c r="AB21" s="647"/>
      <c r="AF21" s="665" t="s">
        <v>2012</v>
      </c>
      <c r="AG21" s="665"/>
      <c r="AH21" s="665">
        <f>AJ17</f>
        <v>120</v>
      </c>
    </row>
    <row r="22" spans="4:39" ht="18" customHeight="1">
      <c r="D22" s="634" t="s">
        <v>1837</v>
      </c>
      <c r="E22" s="657"/>
      <c r="F22" s="635"/>
      <c r="G22" s="635"/>
      <c r="H22" s="635"/>
      <c r="I22" s="635"/>
      <c r="J22" s="636"/>
      <c r="K22" s="637"/>
      <c r="L22" s="635"/>
      <c r="M22" s="635"/>
      <c r="N22" s="636"/>
      <c r="O22" s="638"/>
      <c r="P22" s="635"/>
      <c r="Q22" s="635"/>
      <c r="R22" s="639"/>
      <c r="S22" s="637"/>
      <c r="T22" s="1898"/>
      <c r="U22" s="635"/>
      <c r="V22" s="636"/>
      <c r="Y22" s="655"/>
      <c r="Z22" s="572"/>
      <c r="AA22" s="552"/>
      <c r="AB22" s="553"/>
      <c r="AF22" s="665" t="s">
        <v>2011</v>
      </c>
      <c r="AG22" s="665">
        <f>AH15*0.75</f>
        <v>60</v>
      </c>
      <c r="AH22" s="665"/>
    </row>
    <row r="23" spans="4:39" ht="18" customHeight="1">
      <c r="D23" s="655"/>
      <c r="E23" s="572" t="s">
        <v>1838</v>
      </c>
      <c r="F23" s="552"/>
      <c r="G23" s="552"/>
      <c r="H23" s="552"/>
      <c r="I23" s="552"/>
      <c r="J23" s="553"/>
      <c r="K23" s="551"/>
      <c r="L23" s="552"/>
      <c r="M23" s="552"/>
      <c r="N23" s="553"/>
      <c r="O23" s="666"/>
      <c r="P23" s="552"/>
      <c r="Q23" s="552"/>
      <c r="R23" s="667"/>
      <c r="S23" s="551"/>
      <c r="T23" s="1902"/>
      <c r="U23" s="552"/>
      <c r="V23" s="671"/>
      <c r="Y23" s="655"/>
      <c r="Z23" s="572"/>
      <c r="AA23" s="668"/>
      <c r="AB23" s="553"/>
      <c r="AF23" s="665" t="s">
        <v>1991</v>
      </c>
      <c r="AG23" s="665"/>
      <c r="AH23" s="665">
        <f>AG22</f>
        <v>60</v>
      </c>
    </row>
    <row r="24" spans="4:39" s="575" customFormat="1" ht="18" customHeight="1">
      <c r="D24" s="669" t="s">
        <v>263</v>
      </c>
      <c r="E24" s="670" t="s">
        <v>264</v>
      </c>
      <c r="F24" s="668"/>
      <c r="G24" s="668"/>
      <c r="H24" s="668"/>
      <c r="I24" s="668"/>
      <c r="J24" s="671"/>
      <c r="K24" s="672">
        <v>-2711392</v>
      </c>
      <c r="L24" s="668">
        <v>-5930949</v>
      </c>
      <c r="M24" s="668">
        <v>-9296142</v>
      </c>
      <c r="N24" s="671">
        <v>-12629042</v>
      </c>
      <c r="O24" s="673">
        <v>-3734972</v>
      </c>
      <c r="P24" s="668">
        <v>-7218575</v>
      </c>
      <c r="Q24" s="668">
        <v>-10969890</v>
      </c>
      <c r="R24" s="674">
        <v>-14553885</v>
      </c>
      <c r="S24" s="672">
        <v>-3863409</v>
      </c>
      <c r="T24" s="876">
        <v>-7362104</v>
      </c>
      <c r="U24" s="668">
        <v>-11037735</v>
      </c>
      <c r="V24" s="1951">
        <f>AA24</f>
        <v>-12262036</v>
      </c>
      <c r="W24" s="577"/>
      <c r="Y24" s="669" t="s">
        <v>263</v>
      </c>
      <c r="Z24" s="670" t="s">
        <v>264</v>
      </c>
      <c r="AA24" s="675">
        <v>-12262036</v>
      </c>
      <c r="AB24" s="671">
        <f>IF(W24&gt;0,W24,0)</f>
        <v>0</v>
      </c>
    </row>
    <row r="25" spans="4:39" s="575" customFormat="1" ht="18" customHeight="1">
      <c r="D25" s="669" t="s">
        <v>269</v>
      </c>
      <c r="E25" s="670" t="s">
        <v>270</v>
      </c>
      <c r="F25" s="668"/>
      <c r="G25" s="668"/>
      <c r="H25" s="668"/>
      <c r="I25" s="668"/>
      <c r="J25" s="671"/>
      <c r="K25" s="672">
        <v>-10713861</v>
      </c>
      <c r="L25" s="668">
        <v>-21427722</v>
      </c>
      <c r="M25" s="668">
        <v>-32141583</v>
      </c>
      <c r="N25" s="671">
        <v>-42855444</v>
      </c>
      <c r="O25" s="673">
        <v>-4971287</v>
      </c>
      <c r="P25" s="668">
        <v>-7071287</v>
      </c>
      <c r="Q25" s="668">
        <v>-10737287</v>
      </c>
      <c r="R25" s="674">
        <v>-13359287</v>
      </c>
      <c r="S25" s="672">
        <v>-2622000</v>
      </c>
      <c r="T25" s="876">
        <v>-5104000</v>
      </c>
      <c r="U25" s="668">
        <v>-7516000</v>
      </c>
      <c r="V25" s="1951">
        <f>AA25</f>
        <v>-8320000</v>
      </c>
      <c r="W25" s="577"/>
      <c r="Y25" s="669" t="s">
        <v>269</v>
      </c>
      <c r="Z25" s="670" t="s">
        <v>270</v>
      </c>
      <c r="AA25" s="675">
        <v>-8320000</v>
      </c>
      <c r="AB25" s="671">
        <f>IF(W25&gt;0,W25,0)</f>
        <v>0</v>
      </c>
      <c r="AF25" s="575" t="s">
        <v>2015</v>
      </c>
      <c r="AG25" s="575">
        <f>AH15-AG22</f>
        <v>20</v>
      </c>
    </row>
    <row r="26" spans="4:39" s="575" customFormat="1" ht="18" customHeight="1">
      <c r="D26" s="669">
        <v>630000</v>
      </c>
      <c r="E26" s="670" t="s">
        <v>276</v>
      </c>
      <c r="F26" s="668"/>
      <c r="G26" s="668"/>
      <c r="H26" s="668"/>
      <c r="I26" s="668"/>
      <c r="J26" s="671"/>
      <c r="K26" s="672">
        <v>-7684551</v>
      </c>
      <c r="L26" s="668">
        <v>-14413581</v>
      </c>
      <c r="M26" s="668">
        <v>-20964931</v>
      </c>
      <c r="N26" s="671">
        <v>-27221131</v>
      </c>
      <c r="O26" s="673">
        <v>-6183590</v>
      </c>
      <c r="P26" s="668">
        <v>-9676590</v>
      </c>
      <c r="Q26" s="668">
        <v>-12745590</v>
      </c>
      <c r="R26" s="674">
        <v>-16238590</v>
      </c>
      <c r="S26" s="672">
        <v>-4297600</v>
      </c>
      <c r="T26" s="876">
        <v>-8765600</v>
      </c>
      <c r="U26" s="668">
        <v>-23108600</v>
      </c>
      <c r="V26" s="1951">
        <f>AA26</f>
        <v>-23157600</v>
      </c>
      <c r="W26" s="577"/>
      <c r="Y26" s="669">
        <v>630000</v>
      </c>
      <c r="Z26" s="670" t="s">
        <v>276</v>
      </c>
      <c r="AA26" s="675">
        <v>-23157600</v>
      </c>
      <c r="AB26" s="671">
        <f>IF(W26&gt;0,W26,0)</f>
        <v>0</v>
      </c>
    </row>
    <row r="27" spans="4:39" s="575" customFormat="1" ht="18" customHeight="1">
      <c r="D27" s="669" t="s">
        <v>1833</v>
      </c>
      <c r="E27" s="670" t="s">
        <v>1686</v>
      </c>
      <c r="F27" s="668"/>
      <c r="G27" s="668"/>
      <c r="H27" s="668"/>
      <c r="I27" s="668"/>
      <c r="J27" s="671"/>
      <c r="K27" s="672">
        <v>11373201</v>
      </c>
      <c r="L27" s="668">
        <v>22807062</v>
      </c>
      <c r="M27" s="668">
        <v>34240923</v>
      </c>
      <c r="N27" s="671">
        <v>45674784</v>
      </c>
      <c r="O27" s="673">
        <v>5637877</v>
      </c>
      <c r="P27" s="668">
        <v>5637877</v>
      </c>
      <c r="Q27" s="668">
        <v>5137877</v>
      </c>
      <c r="R27" s="674">
        <v>5137877</v>
      </c>
      <c r="S27" s="672">
        <v>795300</v>
      </c>
      <c r="T27" s="876">
        <v>795300</v>
      </c>
      <c r="U27" s="668">
        <v>795300</v>
      </c>
      <c r="V27" s="1951">
        <f>AA27</f>
        <v>795300</v>
      </c>
      <c r="W27" s="577"/>
      <c r="Y27" s="669" t="s">
        <v>1833</v>
      </c>
      <c r="Z27" s="670" t="s">
        <v>1686</v>
      </c>
      <c r="AA27" s="675">
        <v>795300</v>
      </c>
      <c r="AB27" s="671">
        <f>IF(W27&gt;0,W27,0)</f>
        <v>0</v>
      </c>
      <c r="AF27" s="575" t="s">
        <v>2012</v>
      </c>
      <c r="AG27" s="575">
        <f>AH13</f>
        <v>100</v>
      </c>
    </row>
    <row r="28" spans="4:39" s="575" customFormat="1" ht="18" customHeight="1">
      <c r="D28" s="669" t="s">
        <v>1835</v>
      </c>
      <c r="E28" s="670" t="s">
        <v>1687</v>
      </c>
      <c r="F28" s="668"/>
      <c r="G28" s="668"/>
      <c r="H28" s="668"/>
      <c r="I28" s="668"/>
      <c r="J28" s="671"/>
      <c r="K28" s="672">
        <v>9736603</v>
      </c>
      <c r="L28" s="668">
        <v>18965190</v>
      </c>
      <c r="M28" s="668">
        <v>28161733</v>
      </c>
      <c r="N28" s="671">
        <v>37030833</v>
      </c>
      <c r="O28" s="673">
        <v>9251972</v>
      </c>
      <c r="P28" s="668">
        <v>18328575</v>
      </c>
      <c r="Q28" s="668">
        <v>29314890</v>
      </c>
      <c r="R28" s="674">
        <v>39013885</v>
      </c>
      <c r="S28" s="672">
        <v>9987709</v>
      </c>
      <c r="T28" s="876">
        <v>20436404</v>
      </c>
      <c r="U28" s="668">
        <v>40867035</v>
      </c>
      <c r="V28" s="1951">
        <f>AA28</f>
        <v>42944336</v>
      </c>
      <c r="W28" s="577"/>
      <c r="Y28" s="669" t="s">
        <v>1835</v>
      </c>
      <c r="Z28" s="670" t="s">
        <v>1687</v>
      </c>
      <c r="AA28" s="675">
        <v>42944336</v>
      </c>
      <c r="AB28" s="671">
        <f>IF(W28&gt;0,W28,0)</f>
        <v>0</v>
      </c>
      <c r="AF28" s="575" t="s">
        <v>2011</v>
      </c>
      <c r="AH28" s="575">
        <v>100</v>
      </c>
    </row>
    <row r="29" spans="4:39" s="575" customFormat="1" ht="18" customHeight="1">
      <c r="D29" s="669"/>
      <c r="E29" s="670"/>
      <c r="F29" s="668"/>
      <c r="G29" s="668"/>
      <c r="H29" s="668"/>
      <c r="I29" s="668"/>
      <c r="J29" s="671"/>
      <c r="K29" s="672"/>
      <c r="L29" s="668"/>
      <c r="M29" s="668"/>
      <c r="N29" s="671"/>
      <c r="O29" s="673"/>
      <c r="P29" s="668"/>
      <c r="Q29" s="668"/>
      <c r="R29" s="674"/>
      <c r="S29" s="672"/>
      <c r="T29" s="876"/>
      <c r="U29" s="668"/>
      <c r="V29" s="671"/>
      <c r="W29" s="577"/>
      <c r="Y29" s="669"/>
      <c r="Z29" s="670"/>
      <c r="AA29" s="668"/>
      <c r="AB29" s="671"/>
      <c r="AF29" s="575" t="s">
        <v>2011</v>
      </c>
      <c r="AG29" s="575">
        <f>(AH13-AJ19)*0.2</f>
        <v>5</v>
      </c>
    </row>
    <row r="30" spans="4:39" ht="18" customHeight="1">
      <c r="D30" s="634" t="s">
        <v>1862</v>
      </c>
      <c r="E30" s="635"/>
      <c r="F30" s="635"/>
      <c r="G30" s="635"/>
      <c r="H30" s="635"/>
      <c r="I30" s="635"/>
      <c r="J30" s="636"/>
      <c r="K30" s="637"/>
      <c r="L30" s="635"/>
      <c r="M30" s="635"/>
      <c r="N30" s="636"/>
      <c r="O30" s="638"/>
      <c r="P30" s="635"/>
      <c r="Q30" s="635"/>
      <c r="R30" s="639"/>
      <c r="S30" s="637"/>
      <c r="T30" s="1898"/>
      <c r="U30" s="635"/>
      <c r="V30" s="636"/>
      <c r="Y30" s="655"/>
      <c r="Z30" s="572"/>
      <c r="AA30" s="552"/>
      <c r="AB30" s="553"/>
      <c r="AF30" s="498" t="s">
        <v>1991</v>
      </c>
      <c r="AH30" s="498">
        <f>AG29</f>
        <v>5</v>
      </c>
    </row>
    <row r="31" spans="4:39" ht="18" customHeight="1">
      <c r="D31" s="676" t="s">
        <v>68</v>
      </c>
      <c r="E31" s="580" t="s">
        <v>69</v>
      </c>
      <c r="F31" s="552"/>
      <c r="G31" s="552"/>
      <c r="H31" s="552"/>
      <c r="I31" s="552"/>
      <c r="J31" s="553"/>
      <c r="K31" s="551">
        <v>-131288210</v>
      </c>
      <c r="L31" s="552"/>
      <c r="M31" s="552">
        <v>0</v>
      </c>
      <c r="N31" s="553"/>
      <c r="O31" s="666"/>
      <c r="P31" s="552">
        <v>-354388</v>
      </c>
      <c r="Q31" s="552">
        <v>-354388</v>
      </c>
      <c r="R31" s="667">
        <v>0</v>
      </c>
      <c r="S31" s="551">
        <v>0</v>
      </c>
      <c r="T31" s="1902">
        <v>0</v>
      </c>
      <c r="U31" s="552">
        <v>0</v>
      </c>
      <c r="V31" s="671">
        <f>-T_BS!L73</f>
        <v>0</v>
      </c>
      <c r="W31" s="577" t="s">
        <v>1797</v>
      </c>
      <c r="Y31" s="676" t="s">
        <v>68</v>
      </c>
      <c r="Z31" s="572" t="s">
        <v>1860</v>
      </c>
      <c r="AA31" s="552"/>
      <c r="AB31" s="553"/>
    </row>
    <row r="32" spans="4:39" ht="18" customHeight="1">
      <c r="D32" s="676">
        <v>112111</v>
      </c>
      <c r="E32" s="580" t="s">
        <v>32</v>
      </c>
      <c r="F32" s="552"/>
      <c r="G32" s="552"/>
      <c r="H32" s="552"/>
      <c r="I32" s="552"/>
      <c r="J32" s="553"/>
      <c r="K32" s="551">
        <v>-837945</v>
      </c>
      <c r="L32" s="552"/>
      <c r="M32" s="552">
        <v>0</v>
      </c>
      <c r="N32" s="553"/>
      <c r="O32" s="666"/>
      <c r="P32" s="552">
        <v>354388</v>
      </c>
      <c r="Q32" s="552">
        <v>354388</v>
      </c>
      <c r="R32" s="667">
        <v>0</v>
      </c>
      <c r="S32" s="551">
        <v>0</v>
      </c>
      <c r="T32" s="1902">
        <v>0</v>
      </c>
      <c r="U32" s="552">
        <v>0</v>
      </c>
      <c r="V32" s="671">
        <f>-V31</f>
        <v>0</v>
      </c>
      <c r="W32" s="577" t="s">
        <v>1797</v>
      </c>
      <c r="Y32" s="676">
        <v>220000</v>
      </c>
      <c r="Z32" s="572" t="s">
        <v>1861</v>
      </c>
      <c r="AA32" s="552"/>
      <c r="AB32" s="553"/>
      <c r="AF32" s="543" t="s">
        <v>2011</v>
      </c>
      <c r="AG32" s="498">
        <f>AH28</f>
        <v>100</v>
      </c>
    </row>
    <row r="33" spans="4:34" ht="18" customHeight="1">
      <c r="D33" s="676">
        <v>219000</v>
      </c>
      <c r="E33" s="572" t="s">
        <v>1859</v>
      </c>
      <c r="F33" s="552"/>
      <c r="G33" s="552"/>
      <c r="H33" s="552"/>
      <c r="I33" s="552"/>
      <c r="J33" s="553"/>
      <c r="K33" s="551">
        <v>132126155</v>
      </c>
      <c r="L33" s="552"/>
      <c r="M33" s="552"/>
      <c r="N33" s="553"/>
      <c r="O33" s="666"/>
      <c r="P33" s="552"/>
      <c r="Q33" s="552"/>
      <c r="R33" s="667"/>
      <c r="S33" s="551"/>
      <c r="T33" s="1902"/>
      <c r="U33" s="552"/>
      <c r="V33" s="671"/>
      <c r="W33" s="577"/>
      <c r="Y33" s="676">
        <v>219000</v>
      </c>
      <c r="Z33" s="572" t="s">
        <v>1859</v>
      </c>
      <c r="AA33" s="552"/>
      <c r="AB33" s="553"/>
      <c r="AF33" s="498" t="s">
        <v>1994</v>
      </c>
      <c r="AH33" s="498">
        <f>AG32</f>
        <v>100</v>
      </c>
    </row>
    <row r="34" spans="4:34" ht="18" customHeight="1">
      <c r="D34" s="655"/>
      <c r="E34" s="572"/>
      <c r="F34" s="552"/>
      <c r="G34" s="552"/>
      <c r="H34" s="552"/>
      <c r="I34" s="552"/>
      <c r="J34" s="553"/>
      <c r="K34" s="551"/>
      <c r="L34" s="552"/>
      <c r="M34" s="552"/>
      <c r="N34" s="553"/>
      <c r="O34" s="666"/>
      <c r="P34" s="552"/>
      <c r="Q34" s="552"/>
      <c r="R34" s="667"/>
      <c r="S34" s="551"/>
      <c r="T34" s="1902"/>
      <c r="U34" s="552"/>
      <c r="V34" s="671"/>
      <c r="W34" s="577"/>
      <c r="Y34" s="655"/>
      <c r="Z34" s="572"/>
      <c r="AA34" s="552"/>
      <c r="AB34" s="553"/>
    </row>
    <row r="35" spans="4:34" s="575" customFormat="1" ht="18" customHeight="1">
      <c r="D35" s="677">
        <v>112900</v>
      </c>
      <c r="E35" s="678" t="s">
        <v>67</v>
      </c>
      <c r="F35" s="668"/>
      <c r="G35" s="668"/>
      <c r="H35" s="668"/>
      <c r="I35" s="668"/>
      <c r="J35" s="671"/>
      <c r="K35" s="672"/>
      <c r="L35" s="668"/>
      <c r="M35" s="668">
        <v>-88020205</v>
      </c>
      <c r="N35" s="671"/>
      <c r="O35" s="673"/>
      <c r="P35" s="668">
        <v>-198792456</v>
      </c>
      <c r="Q35" s="668">
        <v>-298621750</v>
      </c>
      <c r="R35" s="674">
        <v>-367910377</v>
      </c>
      <c r="S35" s="672">
        <v>-125402519</v>
      </c>
      <c r="T35" s="876">
        <v>-449781130</v>
      </c>
      <c r="U35" s="668">
        <v>-1118114734</v>
      </c>
      <c r="V35" s="671">
        <f>IF(T_BS!L72&lt;T_BS!L203,-T_BS!L72,-T_BS!L203)</f>
        <v>-1128563830</v>
      </c>
      <c r="W35" s="577" t="s">
        <v>2197</v>
      </c>
      <c r="Y35" s="677">
        <v>112900</v>
      </c>
      <c r="Z35" s="678" t="s">
        <v>67</v>
      </c>
      <c r="AA35" s="668">
        <f>IF(V35&gt;0,V35,0)</f>
        <v>0</v>
      </c>
      <c r="AB35" s="671">
        <f>IF(V35&lt;0,-V35,0)</f>
        <v>1128563830</v>
      </c>
      <c r="AF35" s="575" t="s">
        <v>2011</v>
      </c>
      <c r="AH35" s="575">
        <v>25</v>
      </c>
    </row>
    <row r="36" spans="4:34" s="575" customFormat="1" ht="18" customHeight="1">
      <c r="D36" s="677">
        <v>219000</v>
      </c>
      <c r="E36" s="678" t="s">
        <v>179</v>
      </c>
      <c r="F36" s="668"/>
      <c r="G36" s="668"/>
      <c r="H36" s="668"/>
      <c r="I36" s="668"/>
      <c r="J36" s="671"/>
      <c r="K36" s="672"/>
      <c r="L36" s="668"/>
      <c r="M36" s="668">
        <v>88020205</v>
      </c>
      <c r="N36" s="671"/>
      <c r="O36" s="673"/>
      <c r="P36" s="668">
        <v>198792456</v>
      </c>
      <c r="Q36" s="668">
        <v>298621750</v>
      </c>
      <c r="R36" s="674">
        <v>367910377</v>
      </c>
      <c r="S36" s="672">
        <v>125402519</v>
      </c>
      <c r="T36" s="876">
        <v>449781130</v>
      </c>
      <c r="U36" s="668">
        <v>1118114734</v>
      </c>
      <c r="V36" s="671">
        <f>-V35</f>
        <v>1128563830</v>
      </c>
      <c r="W36" s="577"/>
      <c r="Y36" s="677">
        <v>219000</v>
      </c>
      <c r="Z36" s="678" t="s">
        <v>179</v>
      </c>
      <c r="AA36" s="668">
        <f>IF(V36&gt;0,V36,0)</f>
        <v>1128563830</v>
      </c>
      <c r="AB36" s="671">
        <f>IF(V36&lt;0,-V36,0)</f>
        <v>0</v>
      </c>
      <c r="AF36" s="575" t="s">
        <v>1994</v>
      </c>
      <c r="AG36" s="575">
        <f>AH35</f>
        <v>25</v>
      </c>
    </row>
    <row r="37" spans="4:34" s="575" customFormat="1" ht="18" customHeight="1">
      <c r="D37" s="669"/>
      <c r="E37" s="670"/>
      <c r="F37" s="668"/>
      <c r="G37" s="668"/>
      <c r="H37" s="668"/>
      <c r="I37" s="668"/>
      <c r="J37" s="671"/>
      <c r="K37" s="672"/>
      <c r="L37" s="668"/>
      <c r="M37" s="668"/>
      <c r="N37" s="671"/>
      <c r="O37" s="673"/>
      <c r="P37" s="668"/>
      <c r="Q37" s="668"/>
      <c r="R37" s="674"/>
      <c r="S37" s="672"/>
      <c r="T37" s="876"/>
      <c r="U37" s="668"/>
      <c r="V37" s="671"/>
      <c r="W37" s="577"/>
      <c r="Y37" s="669"/>
      <c r="Z37" s="670"/>
      <c r="AA37" s="668"/>
      <c r="AB37" s="671"/>
    </row>
    <row r="38" spans="4:34" s="575" customFormat="1" ht="18" customHeight="1">
      <c r="D38" s="677">
        <v>112900</v>
      </c>
      <c r="E38" s="678" t="s">
        <v>67</v>
      </c>
      <c r="F38" s="668"/>
      <c r="G38" s="668"/>
      <c r="H38" s="668"/>
      <c r="I38" s="668"/>
      <c r="J38" s="671"/>
      <c r="K38" s="672"/>
      <c r="L38" s="668"/>
      <c r="M38" s="668"/>
      <c r="N38" s="671"/>
      <c r="O38" s="673">
        <v>-73004535</v>
      </c>
      <c r="P38" s="668"/>
      <c r="Q38" s="668"/>
      <c r="R38" s="674"/>
      <c r="S38" s="672"/>
      <c r="T38" s="876"/>
      <c r="U38" s="668"/>
      <c r="V38" s="671"/>
      <c r="W38" s="577" t="s">
        <v>2037</v>
      </c>
      <c r="Y38" s="677">
        <v>112900</v>
      </c>
      <c r="Z38" s="678" t="s">
        <v>67</v>
      </c>
      <c r="AA38" s="668">
        <f>IF(V38&gt;0,V38,0)</f>
        <v>0</v>
      </c>
      <c r="AB38" s="671">
        <f>IF(V38&lt;0,-V38,0)</f>
        <v>0</v>
      </c>
      <c r="AF38" s="575" t="s">
        <v>1992</v>
      </c>
      <c r="AH38" s="575">
        <f>AH13-AJ19</f>
        <v>25</v>
      </c>
    </row>
    <row r="39" spans="4:34" s="575" customFormat="1" ht="18" customHeight="1">
      <c r="D39" s="677">
        <v>219000</v>
      </c>
      <c r="E39" s="678" t="s">
        <v>179</v>
      </c>
      <c r="F39" s="668"/>
      <c r="G39" s="668"/>
      <c r="H39" s="668"/>
      <c r="I39" s="668"/>
      <c r="J39" s="671"/>
      <c r="K39" s="672"/>
      <c r="L39" s="668"/>
      <c r="M39" s="668"/>
      <c r="N39" s="671"/>
      <c r="O39" s="673">
        <v>73004535</v>
      </c>
      <c r="P39" s="668"/>
      <c r="Q39" s="668"/>
      <c r="R39" s="674"/>
      <c r="S39" s="672"/>
      <c r="T39" s="876"/>
      <c r="U39" s="668"/>
      <c r="V39" s="671"/>
      <c r="W39" s="577"/>
      <c r="Y39" s="677">
        <v>219000</v>
      </c>
      <c r="Z39" s="678" t="s">
        <v>179</v>
      </c>
      <c r="AA39" s="668">
        <f>IF(V39&gt;0,V39,0)</f>
        <v>0</v>
      </c>
      <c r="AB39" s="671">
        <f>IF(V39&lt;0,-V39,0)</f>
        <v>0</v>
      </c>
      <c r="AF39" s="575" t="s">
        <v>1991</v>
      </c>
      <c r="AG39" s="575">
        <f>AH38</f>
        <v>25</v>
      </c>
    </row>
    <row r="40" spans="4:34" s="575" customFormat="1" ht="18" customHeight="1">
      <c r="D40" s="669"/>
      <c r="E40" s="670"/>
      <c r="F40" s="668"/>
      <c r="G40" s="668"/>
      <c r="H40" s="668"/>
      <c r="I40" s="668"/>
      <c r="J40" s="671"/>
      <c r="K40" s="672"/>
      <c r="L40" s="668"/>
      <c r="M40" s="668"/>
      <c r="N40" s="671"/>
      <c r="O40" s="673"/>
      <c r="P40" s="668"/>
      <c r="Q40" s="668"/>
      <c r="R40" s="674"/>
      <c r="S40" s="672"/>
      <c r="T40" s="876"/>
      <c r="U40" s="668"/>
      <c r="V40" s="671"/>
      <c r="W40" s="577"/>
      <c r="Y40" s="669"/>
      <c r="Z40" s="670"/>
      <c r="AA40" s="668"/>
      <c r="AB40" s="671"/>
    </row>
    <row r="41" spans="4:34" s="575" customFormat="1" ht="18" customHeight="1">
      <c r="D41" s="677">
        <v>900019</v>
      </c>
      <c r="E41" s="678" t="s">
        <v>81</v>
      </c>
      <c r="F41" s="668"/>
      <c r="G41" s="668"/>
      <c r="H41" s="668"/>
      <c r="I41" s="668"/>
      <c r="J41" s="671"/>
      <c r="K41" s="672"/>
      <c r="L41" s="668"/>
      <c r="M41" s="668"/>
      <c r="N41" s="671"/>
      <c r="O41" s="673"/>
      <c r="P41" s="668">
        <v>-20000000</v>
      </c>
      <c r="Q41" s="668">
        <v>-20000000</v>
      </c>
      <c r="R41" s="674">
        <v>-20000000</v>
      </c>
      <c r="S41" s="672">
        <v>-20000000</v>
      </c>
      <c r="T41" s="876">
        <v>-20000000</v>
      </c>
      <c r="U41" s="668">
        <v>-20000000</v>
      </c>
      <c r="V41" s="671">
        <f>-V43</f>
        <v>-20000000</v>
      </c>
      <c r="W41" s="577" t="s">
        <v>2058</v>
      </c>
      <c r="Y41" s="669">
        <v>900019</v>
      </c>
      <c r="Z41" s="670" t="s">
        <v>81</v>
      </c>
      <c r="AA41" s="668"/>
      <c r="AB41" s="671">
        <f>-V41</f>
        <v>20000000</v>
      </c>
    </row>
    <row r="42" spans="4:34" s="575" customFormat="1" ht="18" customHeight="1">
      <c r="D42" s="677" t="s">
        <v>295</v>
      </c>
      <c r="E42" s="678" t="s">
        <v>296</v>
      </c>
      <c r="F42" s="668"/>
      <c r="G42" s="668"/>
      <c r="H42" s="668"/>
      <c r="I42" s="668"/>
      <c r="J42" s="671"/>
      <c r="K42" s="672"/>
      <c r="L42" s="668"/>
      <c r="M42" s="668"/>
      <c r="N42" s="671"/>
      <c r="O42" s="673"/>
      <c r="P42" s="668">
        <v>20000000</v>
      </c>
      <c r="Q42" s="668">
        <v>20000000</v>
      </c>
      <c r="R42" s="674">
        <v>20000000</v>
      </c>
      <c r="S42" s="672">
        <v>0</v>
      </c>
      <c r="T42" s="876">
        <v>0</v>
      </c>
      <c r="U42" s="668">
        <v>0</v>
      </c>
      <c r="V42" s="671">
        <v>0</v>
      </c>
      <c r="W42" s="577" t="s">
        <v>2406</v>
      </c>
      <c r="Y42" s="669"/>
      <c r="Z42" s="670"/>
      <c r="AA42" s="668"/>
      <c r="AB42" s="671"/>
    </row>
    <row r="43" spans="4:34" s="575" customFormat="1" ht="18" customHeight="1">
      <c r="D43" s="677" t="s">
        <v>1354</v>
      </c>
      <c r="E43" s="678" t="s">
        <v>207</v>
      </c>
      <c r="F43" s="668"/>
      <c r="G43" s="668"/>
      <c r="H43" s="668"/>
      <c r="I43" s="668"/>
      <c r="J43" s="671"/>
      <c r="K43" s="672"/>
      <c r="L43" s="668"/>
      <c r="M43" s="668"/>
      <c r="N43" s="671"/>
      <c r="O43" s="673"/>
      <c r="P43" s="668"/>
      <c r="Q43" s="668"/>
      <c r="R43" s="674"/>
      <c r="S43" s="672">
        <v>20000000</v>
      </c>
      <c r="T43" s="876">
        <v>20000000</v>
      </c>
      <c r="U43" s="668">
        <v>20000000</v>
      </c>
      <c r="V43" s="671">
        <v>20000000</v>
      </c>
      <c r="W43" s="577" t="s">
        <v>2057</v>
      </c>
      <c r="Y43" s="669" t="s">
        <v>295</v>
      </c>
      <c r="Z43" s="670" t="s">
        <v>296</v>
      </c>
      <c r="AA43" s="668">
        <f>V43</f>
        <v>20000000</v>
      </c>
      <c r="AB43" s="671"/>
      <c r="AF43" s="575" t="s">
        <v>2014</v>
      </c>
      <c r="AG43" s="575">
        <f>AJ17</f>
        <v>120</v>
      </c>
    </row>
    <row r="44" spans="4:34" s="575" customFormat="1" ht="18" customHeight="1">
      <c r="D44" s="669"/>
      <c r="E44" s="670"/>
      <c r="F44" s="668"/>
      <c r="G44" s="668"/>
      <c r="H44" s="668"/>
      <c r="I44" s="668"/>
      <c r="J44" s="671"/>
      <c r="K44" s="672"/>
      <c r="L44" s="668"/>
      <c r="M44" s="668"/>
      <c r="N44" s="671"/>
      <c r="O44" s="673"/>
      <c r="P44" s="668"/>
      <c r="Q44" s="668"/>
      <c r="R44" s="674"/>
      <c r="S44" s="672"/>
      <c r="T44" s="876"/>
      <c r="U44" s="668"/>
      <c r="V44" s="671"/>
      <c r="W44" s="577"/>
      <c r="Y44" s="669"/>
      <c r="Z44" s="670"/>
      <c r="AA44" s="668"/>
      <c r="AB44" s="671"/>
    </row>
    <row r="45" spans="4:34" s="575" customFormat="1" ht="18" customHeight="1">
      <c r="D45" s="669">
        <v>113100</v>
      </c>
      <c r="E45" s="670" t="s">
        <v>52</v>
      </c>
      <c r="F45" s="668"/>
      <c r="G45" s="668"/>
      <c r="H45" s="668"/>
      <c r="I45" s="668"/>
      <c r="J45" s="671"/>
      <c r="K45" s="672"/>
      <c r="L45" s="668"/>
      <c r="M45" s="668"/>
      <c r="N45" s="671"/>
      <c r="O45" s="673"/>
      <c r="P45" s="668">
        <v>-23940</v>
      </c>
      <c r="Q45" s="668">
        <v>-23940</v>
      </c>
      <c r="R45" s="674">
        <v>-115980</v>
      </c>
      <c r="S45" s="672">
        <v>-163740</v>
      </c>
      <c r="T45" s="876">
        <v>-48850</v>
      </c>
      <c r="U45" s="668">
        <v>0</v>
      </c>
      <c r="V45" s="671">
        <f>-T_BS!L211</f>
        <v>-56374</v>
      </c>
      <c r="W45" s="577" t="s">
        <v>2188</v>
      </c>
      <c r="Y45" s="679"/>
      <c r="Z45" s="680"/>
      <c r="AA45" s="681"/>
      <c r="AB45" s="682"/>
    </row>
    <row r="46" spans="4:34" s="575" customFormat="1" ht="18" customHeight="1">
      <c r="D46" s="669">
        <v>113101</v>
      </c>
      <c r="E46" s="670" t="s">
        <v>53</v>
      </c>
      <c r="F46" s="668"/>
      <c r="G46" s="668"/>
      <c r="H46" s="668"/>
      <c r="I46" s="668"/>
      <c r="J46" s="671"/>
      <c r="K46" s="672"/>
      <c r="L46" s="668"/>
      <c r="M46" s="668"/>
      <c r="N46" s="671"/>
      <c r="O46" s="673"/>
      <c r="P46" s="668">
        <v>0</v>
      </c>
      <c r="Q46" s="668">
        <v>0</v>
      </c>
      <c r="R46" s="674">
        <v>0</v>
      </c>
      <c r="S46" s="672">
        <v>0</v>
      </c>
      <c r="T46" s="876">
        <v>0</v>
      </c>
      <c r="U46" s="668">
        <v>0</v>
      </c>
      <c r="V46" s="671">
        <f>-T_BS!L54</f>
        <v>-5574570</v>
      </c>
      <c r="W46" s="577" t="s">
        <v>2188</v>
      </c>
      <c r="Y46" s="679"/>
      <c r="Z46" s="680"/>
      <c r="AA46" s="681"/>
      <c r="AB46" s="682"/>
    </row>
    <row r="47" spans="4:34" s="575" customFormat="1" ht="18" customHeight="1">
      <c r="D47" s="669">
        <v>113160</v>
      </c>
      <c r="E47" s="670" t="s">
        <v>54</v>
      </c>
      <c r="F47" s="668"/>
      <c r="G47" s="668"/>
      <c r="H47" s="668"/>
      <c r="I47" s="668"/>
      <c r="J47" s="671"/>
      <c r="K47" s="672"/>
      <c r="L47" s="668"/>
      <c r="M47" s="668"/>
      <c r="N47" s="671"/>
      <c r="O47" s="673"/>
      <c r="P47" s="668">
        <v>-1485651</v>
      </c>
      <c r="Q47" s="668">
        <v>-1541874</v>
      </c>
      <c r="R47" s="674">
        <v>-1501163</v>
      </c>
      <c r="S47" s="672">
        <v>-9640</v>
      </c>
      <c r="T47" s="876">
        <v>-223324</v>
      </c>
      <c r="U47" s="668">
        <v>0</v>
      </c>
      <c r="V47" s="671">
        <v>0</v>
      </c>
      <c r="W47" s="577" t="s">
        <v>2188</v>
      </c>
      <c r="Y47" s="679"/>
      <c r="Z47" s="680"/>
      <c r="AA47" s="681"/>
      <c r="AB47" s="682"/>
    </row>
    <row r="48" spans="4:34" s="575" customFormat="1" ht="18" customHeight="1">
      <c r="D48" s="669">
        <v>113161</v>
      </c>
      <c r="E48" s="670" t="s">
        <v>55</v>
      </c>
      <c r="F48" s="668"/>
      <c r="G48" s="668"/>
      <c r="H48" s="668"/>
      <c r="I48" s="668"/>
      <c r="J48" s="671"/>
      <c r="K48" s="672"/>
      <c r="L48" s="668"/>
      <c r="M48" s="668"/>
      <c r="N48" s="671"/>
      <c r="O48" s="673"/>
      <c r="P48" s="668">
        <v>-944340</v>
      </c>
      <c r="Q48" s="668">
        <v>0</v>
      </c>
      <c r="R48" s="674">
        <v>0</v>
      </c>
      <c r="S48" s="672">
        <v>0</v>
      </c>
      <c r="T48" s="876">
        <v>0</v>
      </c>
      <c r="U48" s="668">
        <v>0</v>
      </c>
      <c r="V48" s="671">
        <v>0</v>
      </c>
      <c r="W48" s="577" t="s">
        <v>2188</v>
      </c>
      <c r="Y48" s="679"/>
      <c r="Z48" s="680"/>
      <c r="AA48" s="681"/>
      <c r="AB48" s="682"/>
    </row>
    <row r="49" spans="4:28" s="575" customFormat="1" ht="18" customHeight="1">
      <c r="D49" s="669">
        <v>221001</v>
      </c>
      <c r="E49" s="670" t="s">
        <v>218</v>
      </c>
      <c r="F49" s="668"/>
      <c r="G49" s="668"/>
      <c r="H49" s="668"/>
      <c r="I49" s="668"/>
      <c r="J49" s="671"/>
      <c r="K49" s="672"/>
      <c r="L49" s="668"/>
      <c r="M49" s="668"/>
      <c r="N49" s="671"/>
      <c r="O49" s="673"/>
      <c r="P49" s="668">
        <v>1509591</v>
      </c>
      <c r="Q49" s="668">
        <v>1565814</v>
      </c>
      <c r="R49" s="674">
        <v>1617143</v>
      </c>
      <c r="S49" s="672">
        <v>173380</v>
      </c>
      <c r="T49" s="876">
        <v>272174</v>
      </c>
      <c r="U49" s="668">
        <v>0</v>
      </c>
      <c r="V49" s="671">
        <f>-V45-V47</f>
        <v>56374</v>
      </c>
      <c r="W49" s="577" t="s">
        <v>2188</v>
      </c>
      <c r="Y49" s="679"/>
      <c r="Z49" s="680"/>
      <c r="AA49" s="681"/>
      <c r="AB49" s="682"/>
    </row>
    <row r="50" spans="4:28" ht="18" customHeight="1">
      <c r="D50" s="655">
        <v>221002</v>
      </c>
      <c r="E50" s="572" t="s">
        <v>2056</v>
      </c>
      <c r="F50" s="552"/>
      <c r="G50" s="552"/>
      <c r="H50" s="552"/>
      <c r="I50" s="552"/>
      <c r="J50" s="553"/>
      <c r="K50" s="551"/>
      <c r="L50" s="552"/>
      <c r="M50" s="552"/>
      <c r="N50" s="553"/>
      <c r="O50" s="666"/>
      <c r="P50" s="552">
        <v>944340</v>
      </c>
      <c r="Q50" s="552">
        <v>0</v>
      </c>
      <c r="R50" s="667">
        <v>0</v>
      </c>
      <c r="S50" s="551">
        <v>0</v>
      </c>
      <c r="T50" s="1902">
        <v>0</v>
      </c>
      <c r="U50" s="552">
        <v>0</v>
      </c>
      <c r="V50" s="671">
        <f>-V46-V48</f>
        <v>5574570</v>
      </c>
      <c r="W50" s="577" t="s">
        <v>2188</v>
      </c>
      <c r="Y50" s="607"/>
      <c r="Z50" s="683"/>
      <c r="AA50" s="609"/>
      <c r="AB50" s="684"/>
    </row>
    <row r="51" spans="4:28" ht="18" customHeight="1" thickBot="1">
      <c r="D51" s="685"/>
      <c r="E51" s="686"/>
      <c r="F51" s="687"/>
      <c r="G51" s="687"/>
      <c r="H51" s="687"/>
      <c r="I51" s="687"/>
      <c r="J51" s="688"/>
      <c r="K51" s="689"/>
      <c r="L51" s="687"/>
      <c r="M51" s="687"/>
      <c r="N51" s="688"/>
      <c r="O51" s="690"/>
      <c r="P51" s="687"/>
      <c r="Q51" s="687"/>
      <c r="R51" s="691"/>
      <c r="S51" s="689"/>
      <c r="T51" s="1906"/>
      <c r="U51" s="687"/>
      <c r="V51" s="1917"/>
      <c r="W51" s="577"/>
      <c r="Y51" s="620"/>
      <c r="Z51" s="692"/>
      <c r="AA51" s="621"/>
      <c r="AB51" s="693"/>
    </row>
  </sheetData>
  <phoneticPr fontId="21" type="noConversion"/>
  <pageMargins left="0.7" right="0.7" top="0.75" bottom="0.75" header="0.3" footer="0.3"/>
  <pageSetup paperSize="9" orientation="portrait" r:id="rId1"/>
  <ignoredErrors>
    <ignoredError sqref="D31:D41 D9:E28 Y8:Z12 Y43:AA44 Y24:Z28 D44 Y29:AA41 D42:D43" numberStoredAsText="1"/>
    <ignoredError sqref="J7:J14" formulaRange="1"/>
    <ignoredError sqref="V11 V18:V19" formula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FFFF00"/>
  </sheetPr>
  <dimension ref="D4:V38"/>
  <sheetViews>
    <sheetView showGridLines="0" zoomScale="80" zoomScaleNormal="80" workbookViewId="0">
      <pane xSplit="5" ySplit="5" topLeftCell="O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ColWidth="8.75" defaultRowHeight="12" outlineLevelCol="1"/>
  <cols>
    <col min="1" max="3" width="2.375" style="498" customWidth="1"/>
    <col min="4" max="4" width="28.375" style="498" customWidth="1"/>
    <col min="5" max="5" width="38.75" style="498" bestFit="1" customWidth="1"/>
    <col min="6" max="6" width="20.375" style="498" hidden="1" customWidth="1"/>
    <col min="7" max="10" width="20.375" style="498" hidden="1" customWidth="1" outlineLevel="1"/>
    <col min="11" max="14" width="17.625" style="498" hidden="1" customWidth="1" outlineLevel="1"/>
    <col min="15" max="15" width="16.625" style="498" customWidth="1" collapsed="1"/>
    <col min="16" max="22" width="16.625" style="498" customWidth="1"/>
    <col min="23" max="28" width="20.375" style="498" customWidth="1"/>
    <col min="29" max="16384" width="8.75" style="498"/>
  </cols>
  <sheetData>
    <row r="4" spans="4:22" s="494" customFormat="1" ht="18" customHeight="1" thickBot="1">
      <c r="F4" s="540" t="e">
        <f t="shared" ref="F4:Q4" si="0">SUM(F7:F25)=0</f>
        <v>#REF!</v>
      </c>
      <c r="G4" s="540" t="b">
        <f t="shared" si="0"/>
        <v>1</v>
      </c>
      <c r="H4" s="540" t="b">
        <f t="shared" si="0"/>
        <v>1</v>
      </c>
      <c r="I4" s="540" t="b">
        <f t="shared" si="0"/>
        <v>1</v>
      </c>
      <c r="J4" s="540" t="b">
        <f t="shared" si="0"/>
        <v>1</v>
      </c>
      <c r="K4" s="540" t="b">
        <f t="shared" si="0"/>
        <v>1</v>
      </c>
      <c r="L4" s="540" t="b">
        <f t="shared" si="0"/>
        <v>1</v>
      </c>
      <c r="M4" s="540" t="b">
        <f t="shared" si="0"/>
        <v>1</v>
      </c>
      <c r="N4" s="540" t="b">
        <f t="shared" si="0"/>
        <v>1</v>
      </c>
      <c r="O4" s="540" t="b">
        <f t="shared" si="0"/>
        <v>1</v>
      </c>
      <c r="P4" s="540" t="b">
        <f t="shared" si="0"/>
        <v>1</v>
      </c>
      <c r="Q4" s="540" t="b">
        <f t="shared" si="0"/>
        <v>1</v>
      </c>
      <c r="R4" s="540" t="b">
        <f>SUM(R6:R24)=0</f>
        <v>1</v>
      </c>
      <c r="S4" s="540" t="b">
        <f>SUM(S6:S24)=0</f>
        <v>1</v>
      </c>
      <c r="T4" s="540" t="b">
        <f>SUM(T6:T24)=0</f>
        <v>1</v>
      </c>
      <c r="U4" s="540" t="b">
        <f>SUM(U6:U24)=0</f>
        <v>1</v>
      </c>
      <c r="V4" s="540" t="b">
        <f>SUM(V6:V24)=0</f>
        <v>1</v>
      </c>
    </row>
    <row r="5" spans="4:22" ht="18" customHeight="1">
      <c r="D5" s="595" t="s">
        <v>16</v>
      </c>
      <c r="E5" s="596" t="s">
        <v>19</v>
      </c>
      <c r="F5" s="596" t="s">
        <v>2367</v>
      </c>
      <c r="G5" s="596" t="s">
        <v>2357</v>
      </c>
      <c r="H5" s="596" t="s">
        <v>2358</v>
      </c>
      <c r="I5" s="596" t="s">
        <v>2359</v>
      </c>
      <c r="J5" s="597" t="s">
        <v>2338</v>
      </c>
      <c r="K5" s="598" t="s">
        <v>2481</v>
      </c>
      <c r="L5" s="599" t="s">
        <v>2477</v>
      </c>
      <c r="M5" s="600" t="s">
        <v>2482</v>
      </c>
      <c r="N5" s="601" t="s">
        <v>2483</v>
      </c>
      <c r="O5" s="602" t="s">
        <v>2484</v>
      </c>
      <c r="P5" s="603" t="s">
        <v>2474</v>
      </c>
      <c r="Q5" s="603" t="s">
        <v>2485</v>
      </c>
      <c r="R5" s="604" t="s">
        <v>2486</v>
      </c>
      <c r="S5" s="605" t="s">
        <v>2576</v>
      </c>
      <c r="T5" s="598" t="s">
        <v>2814</v>
      </c>
      <c r="U5" s="604" t="s">
        <v>2909</v>
      </c>
      <c r="V5" s="2055" t="str">
        <f>'6.0'!V5</f>
        <v>FY2022.Q4</v>
      </c>
    </row>
    <row r="6" spans="4:22" ht="18" customHeight="1">
      <c r="D6" s="607" t="s">
        <v>82</v>
      </c>
      <c r="E6" s="608" t="s">
        <v>2369</v>
      </c>
      <c r="F6" s="609"/>
      <c r="G6" s="609"/>
      <c r="H6" s="609"/>
      <c r="I6" s="609"/>
      <c r="J6" s="610"/>
      <c r="K6" s="611"/>
      <c r="L6" s="612"/>
      <c r="M6" s="613"/>
      <c r="N6" s="614"/>
      <c r="O6" s="615"/>
      <c r="P6" s="616"/>
      <c r="Q6" s="616"/>
      <c r="R6" s="617">
        <v>24157280</v>
      </c>
      <c r="S6" s="618">
        <v>24859744</v>
      </c>
      <c r="T6" s="611">
        <v>1022027213</v>
      </c>
      <c r="U6" s="617">
        <v>678306860</v>
      </c>
      <c r="V6" s="2056">
        <f>-SUM(V7:V13)+R6</f>
        <v>678306860</v>
      </c>
    </row>
    <row r="7" spans="4:22" ht="18" customHeight="1">
      <c r="D7" s="1828" t="s">
        <v>2368</v>
      </c>
      <c r="E7" s="608" t="s">
        <v>2681</v>
      </c>
      <c r="F7" s="609">
        <v>0</v>
      </c>
      <c r="G7" s="609"/>
      <c r="H7" s="609"/>
      <c r="I7" s="609"/>
      <c r="J7" s="610"/>
      <c r="K7" s="611"/>
      <c r="L7" s="612"/>
      <c r="M7" s="613"/>
      <c r="N7" s="614"/>
      <c r="O7" s="615"/>
      <c r="P7" s="616"/>
      <c r="Q7" s="616"/>
      <c r="R7" s="617">
        <v>-24157280</v>
      </c>
      <c r="S7" s="618">
        <v>-702464</v>
      </c>
      <c r="T7" s="611">
        <v>49566051</v>
      </c>
      <c r="U7" s="617">
        <v>51271898</v>
      </c>
      <c r="V7" s="2056">
        <v>51271898</v>
      </c>
    </row>
    <row r="8" spans="4:22" ht="18" customHeight="1">
      <c r="D8" s="1828" t="s">
        <v>373</v>
      </c>
      <c r="E8" s="608" t="s">
        <v>2686</v>
      </c>
      <c r="F8" s="609">
        <v>0</v>
      </c>
      <c r="G8" s="609"/>
      <c r="H8" s="609"/>
      <c r="I8" s="609"/>
      <c r="J8" s="610"/>
      <c r="K8" s="611"/>
      <c r="L8" s="612"/>
      <c r="M8" s="613"/>
      <c r="N8" s="614"/>
      <c r="O8" s="615"/>
      <c r="P8" s="616"/>
      <c r="Q8" s="616"/>
      <c r="R8" s="617"/>
      <c r="S8" s="618"/>
      <c r="T8" s="611">
        <v>-493375842</v>
      </c>
      <c r="U8" s="617">
        <v>-493375842</v>
      </c>
      <c r="V8" s="2056">
        <v>-493375842</v>
      </c>
    </row>
    <row r="9" spans="4:22" ht="18" customHeight="1">
      <c r="D9" s="1828" t="s">
        <v>371</v>
      </c>
      <c r="E9" s="608" t="s">
        <v>2682</v>
      </c>
      <c r="F9" s="609"/>
      <c r="G9" s="609"/>
      <c r="H9" s="609"/>
      <c r="I9" s="609"/>
      <c r="J9" s="610"/>
      <c r="K9" s="611"/>
      <c r="L9" s="612"/>
      <c r="M9" s="613"/>
      <c r="N9" s="614"/>
      <c r="O9" s="615"/>
      <c r="P9" s="616"/>
      <c r="Q9" s="616"/>
      <c r="R9" s="617"/>
      <c r="S9" s="618"/>
      <c r="T9" s="611">
        <v>303960513</v>
      </c>
      <c r="U9" s="617">
        <v>522815587</v>
      </c>
      <c r="V9" s="2056">
        <v>522815587</v>
      </c>
    </row>
    <row r="10" spans="4:22" ht="18" customHeight="1">
      <c r="D10" s="1828" t="s">
        <v>373</v>
      </c>
      <c r="E10" s="608" t="s">
        <v>2685</v>
      </c>
      <c r="F10" s="609"/>
      <c r="G10" s="609"/>
      <c r="H10" s="609"/>
      <c r="I10" s="609"/>
      <c r="J10" s="610"/>
      <c r="K10" s="611"/>
      <c r="L10" s="612"/>
      <c r="M10" s="613"/>
      <c r="N10" s="614"/>
      <c r="O10" s="615"/>
      <c r="P10" s="616"/>
      <c r="Q10" s="616"/>
      <c r="R10" s="617"/>
      <c r="S10" s="618"/>
      <c r="T10" s="611">
        <v>-926184068</v>
      </c>
      <c r="U10" s="617">
        <v>-926184068</v>
      </c>
      <c r="V10" s="2056">
        <v>-926184068</v>
      </c>
    </row>
    <row r="11" spans="4:22" ht="18" customHeight="1">
      <c r="D11" s="1828" t="s">
        <v>371</v>
      </c>
      <c r="E11" s="608" t="s">
        <v>2683</v>
      </c>
      <c r="F11" s="609"/>
      <c r="G11" s="609"/>
      <c r="H11" s="609"/>
      <c r="I11" s="609"/>
      <c r="J11" s="610"/>
      <c r="K11" s="611"/>
      <c r="L11" s="612"/>
      <c r="M11" s="613"/>
      <c r="N11" s="614"/>
      <c r="O11" s="615"/>
      <c r="P11" s="616"/>
      <c r="Q11" s="616"/>
      <c r="R11" s="617"/>
      <c r="S11" s="618"/>
      <c r="T11" s="611">
        <v>64818110</v>
      </c>
      <c r="U11" s="617">
        <v>192466368</v>
      </c>
      <c r="V11" s="2056">
        <v>192466368</v>
      </c>
    </row>
    <row r="12" spans="4:22" ht="18" customHeight="1">
      <c r="D12" s="1828" t="s">
        <v>373</v>
      </c>
      <c r="E12" s="608" t="s">
        <v>2684</v>
      </c>
      <c r="F12" s="609"/>
      <c r="G12" s="609"/>
      <c r="H12" s="609"/>
      <c r="I12" s="609"/>
      <c r="J12" s="610"/>
      <c r="K12" s="611"/>
      <c r="L12" s="612"/>
      <c r="M12" s="613"/>
      <c r="N12" s="614"/>
      <c r="O12" s="615"/>
      <c r="P12" s="616"/>
      <c r="Q12" s="616"/>
      <c r="R12" s="617"/>
      <c r="S12" s="618"/>
      <c r="T12" s="611">
        <v>5865724</v>
      </c>
      <c r="U12" s="617">
        <v>5865724</v>
      </c>
      <c r="V12" s="2056">
        <v>5865724</v>
      </c>
    </row>
    <row r="13" spans="4:22" ht="18" customHeight="1">
      <c r="D13" s="607" t="s">
        <v>1350</v>
      </c>
      <c r="E13" s="608" t="s">
        <v>200</v>
      </c>
      <c r="F13" s="609"/>
      <c r="G13" s="609"/>
      <c r="H13" s="609"/>
      <c r="I13" s="609"/>
      <c r="J13" s="610"/>
      <c r="K13" s="611"/>
      <c r="L13" s="612"/>
      <c r="M13" s="613"/>
      <c r="N13" s="614"/>
      <c r="O13" s="615"/>
      <c r="P13" s="616"/>
      <c r="Q13" s="616"/>
      <c r="R13" s="617"/>
      <c r="S13" s="618"/>
      <c r="T13" s="611">
        <v>-2520421</v>
      </c>
      <c r="U13" s="617">
        <v>-7009247</v>
      </c>
      <c r="V13" s="2056">
        <v>-7009247</v>
      </c>
    </row>
    <row r="14" spans="4:22" ht="18" customHeight="1">
      <c r="D14" s="607" t="s">
        <v>1354</v>
      </c>
      <c r="E14" s="608" t="s">
        <v>207</v>
      </c>
      <c r="F14" s="609" t="e">
        <f>-#REF!</f>
        <v>#REF!</v>
      </c>
      <c r="G14" s="609"/>
      <c r="H14" s="609"/>
      <c r="I14" s="609"/>
      <c r="J14" s="610"/>
      <c r="K14" s="611"/>
      <c r="L14" s="612"/>
      <c r="M14" s="613"/>
      <c r="N14" s="614"/>
      <c r="O14" s="615"/>
      <c r="P14" s="616"/>
      <c r="Q14" s="616"/>
      <c r="R14" s="617"/>
      <c r="S14" s="618">
        <v>-24157280</v>
      </c>
      <c r="T14" s="611">
        <v>-24157280</v>
      </c>
      <c r="U14" s="617">
        <v>-24157280</v>
      </c>
      <c r="V14" s="2056">
        <f>-R6</f>
        <v>-24157280</v>
      </c>
    </row>
    <row r="15" spans="4:22" ht="18" customHeight="1">
      <c r="D15" s="607" t="s">
        <v>1355</v>
      </c>
      <c r="E15" s="609" t="s">
        <v>209</v>
      </c>
      <c r="F15" s="609" t="e">
        <f>#REF!</f>
        <v>#REF!</v>
      </c>
      <c r="G15" s="609"/>
      <c r="H15" s="609"/>
      <c r="I15" s="609"/>
      <c r="J15" s="610"/>
      <c r="K15" s="611"/>
      <c r="L15" s="612"/>
      <c r="M15" s="613"/>
      <c r="N15" s="614"/>
      <c r="O15" s="615"/>
      <c r="P15" s="616"/>
      <c r="Q15" s="616"/>
      <c r="R15" s="617"/>
      <c r="S15" s="618"/>
      <c r="T15" s="611"/>
      <c r="U15" s="617"/>
      <c r="V15" s="2056"/>
    </row>
    <row r="16" spans="4:22" ht="18" customHeight="1" thickBot="1">
      <c r="D16" s="620" t="s">
        <v>478</v>
      </c>
      <c r="E16" s="621" t="s">
        <v>553</v>
      </c>
      <c r="F16" s="621" t="e">
        <f>-F15</f>
        <v>#REF!</v>
      </c>
      <c r="G16" s="621"/>
      <c r="H16" s="621"/>
      <c r="I16" s="621"/>
      <c r="J16" s="622"/>
      <c r="K16" s="623"/>
      <c r="L16" s="624"/>
      <c r="M16" s="625"/>
      <c r="N16" s="626"/>
      <c r="O16" s="627"/>
      <c r="P16" s="628"/>
      <c r="Q16" s="628"/>
      <c r="R16" s="629"/>
      <c r="S16" s="630"/>
      <c r="T16" s="623"/>
      <c r="U16" s="629"/>
      <c r="V16" s="2057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phoneticPr fontId="21" type="noConversion"/>
  <pageMargins left="0.7" right="0.7" top="0.75" bottom="0.75" header="0.3" footer="0.3"/>
  <pageSetup paperSize="9" orientation="portrait" r:id="rId1"/>
  <ignoredErrors>
    <ignoredError sqref="D13:D19 D6" numberStoredAsText="1"/>
    <ignoredError sqref="F15" formula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FFFF00"/>
  </sheetPr>
  <dimension ref="C2:O31"/>
  <sheetViews>
    <sheetView showGridLines="0" topLeftCell="C1" zoomScale="80" zoomScaleNormal="80" workbookViewId="0">
      <selection activeCell="K28" sqref="K28"/>
    </sheetView>
  </sheetViews>
  <sheetFormatPr defaultColWidth="8.75" defaultRowHeight="18" customHeight="1"/>
  <cols>
    <col min="1" max="2" width="2.375" style="498" customWidth="1"/>
    <col min="3" max="3" width="3.625" style="498" customWidth="1"/>
    <col min="4" max="4" width="20.375" style="565" customWidth="1"/>
    <col min="5" max="5" width="25.625" style="498" bestFit="1" customWidth="1"/>
    <col min="6" max="11" width="17.625" style="498" customWidth="1"/>
    <col min="12" max="12" width="2.375" style="498" customWidth="1"/>
    <col min="13" max="13" width="17.625" style="498" customWidth="1"/>
    <col min="14" max="14" width="16.25" style="498" bestFit="1" customWidth="1"/>
    <col min="15" max="20" width="20.375" style="498" customWidth="1"/>
    <col min="21" max="16384" width="8.75" style="498"/>
  </cols>
  <sheetData>
    <row r="2" spans="3:15" ht="18" customHeight="1">
      <c r="H2" s="509">
        <f>G2-F2</f>
        <v>0</v>
      </c>
    </row>
    <row r="3" spans="3:15" ht="18" customHeight="1" thickBot="1"/>
    <row r="4" spans="3:15" ht="18" customHeight="1">
      <c r="D4" s="567" t="s">
        <v>16</v>
      </c>
      <c r="E4" s="568" t="s">
        <v>19</v>
      </c>
      <c r="F4" s="568" t="s">
        <v>493</v>
      </c>
      <c r="G4" s="568" t="s">
        <v>494</v>
      </c>
      <c r="H4" s="568" t="s">
        <v>495</v>
      </c>
      <c r="I4" s="568" t="s">
        <v>477</v>
      </c>
      <c r="J4" s="568" t="s">
        <v>496</v>
      </c>
      <c r="K4" s="569" t="s">
        <v>497</v>
      </c>
      <c r="L4" s="494"/>
      <c r="M4" s="570" t="s">
        <v>1856</v>
      </c>
      <c r="N4" s="566"/>
    </row>
    <row r="5" spans="3:15" ht="18" customHeight="1">
      <c r="D5" s="571">
        <v>900019</v>
      </c>
      <c r="E5" s="572" t="s">
        <v>81</v>
      </c>
      <c r="F5" s="556">
        <v>75897896695</v>
      </c>
      <c r="G5" s="556">
        <f>SUM(J5:K5)</f>
        <v>0</v>
      </c>
      <c r="H5" s="509">
        <f t="shared" ref="H5:H24" si="0">G5-F5</f>
        <v>-75897896695</v>
      </c>
      <c r="I5" s="556"/>
      <c r="J5" s="573">
        <v>0</v>
      </c>
      <c r="K5" s="574">
        <v>0</v>
      </c>
      <c r="L5" s="575"/>
      <c r="M5" s="576">
        <f>SUMIF(T_BS!$D:$D,'8.0'!D5,T_BS!X:X)</f>
        <v>0</v>
      </c>
      <c r="N5" s="577"/>
      <c r="O5" s="575"/>
    </row>
    <row r="6" spans="3:15" ht="18" customHeight="1">
      <c r="D6" s="571" t="s">
        <v>1831</v>
      </c>
      <c r="E6" s="572" t="s">
        <v>1832</v>
      </c>
      <c r="F6" s="578">
        <v>-66468946700</v>
      </c>
      <c r="G6" s="578">
        <f>SUM(J6:K6)</f>
        <v>0</v>
      </c>
      <c r="H6" s="578">
        <f t="shared" si="0"/>
        <v>66468946700</v>
      </c>
      <c r="I6" s="578"/>
      <c r="J6" s="579">
        <v>0</v>
      </c>
      <c r="K6" s="574"/>
      <c r="L6" s="575"/>
      <c r="M6" s="576">
        <f>SUMIF(T_BS!$D:$D,'8.0'!D6,T_BS!X:X)</f>
        <v>0</v>
      </c>
      <c r="N6" s="577"/>
      <c r="O6" s="575"/>
    </row>
    <row r="7" spans="3:15" ht="18" customHeight="1">
      <c r="D7" s="571" t="s">
        <v>128</v>
      </c>
      <c r="E7" s="580" t="s">
        <v>129</v>
      </c>
      <c r="F7" s="578"/>
      <c r="G7" s="578">
        <f>'스튜디오돌핀(취득일BS)'!L4</f>
        <v>1464530117</v>
      </c>
      <c r="H7" s="578">
        <f t="shared" si="0"/>
        <v>1464530117</v>
      </c>
      <c r="I7" s="578"/>
      <c r="J7" s="579"/>
      <c r="K7" s="574"/>
      <c r="L7" s="575"/>
      <c r="M7" s="576"/>
      <c r="N7" s="577" t="s">
        <v>2187</v>
      </c>
      <c r="O7" s="575"/>
    </row>
    <row r="8" spans="3:15" ht="18" customHeight="1">
      <c r="D8" s="571">
        <v>310100</v>
      </c>
      <c r="E8" s="572" t="s">
        <v>190</v>
      </c>
      <c r="F8" s="578">
        <v>-65966337500</v>
      </c>
      <c r="G8" s="578">
        <f t="shared" ref="G8:G24" si="1">SUM(J8:K8)</f>
        <v>-28429923500</v>
      </c>
      <c r="H8" s="578">
        <f t="shared" si="0"/>
        <v>37536414000</v>
      </c>
      <c r="I8" s="578"/>
      <c r="J8" s="579">
        <f>-T_BS!H231</f>
        <v>-28429923500</v>
      </c>
      <c r="K8" s="574"/>
      <c r="L8" s="575"/>
      <c r="M8" s="576">
        <f>-SUMIF(T_BS!$D:$D,'8.0'!D8,T_BS!X:X)</f>
        <v>-28429923500</v>
      </c>
      <c r="N8" s="577"/>
      <c r="O8" s="575"/>
    </row>
    <row r="9" spans="3:15" ht="18" customHeight="1">
      <c r="D9" s="571">
        <v>320100</v>
      </c>
      <c r="E9" s="572" t="s">
        <v>191</v>
      </c>
      <c r="F9" s="578">
        <v>-61057688244</v>
      </c>
      <c r="G9" s="578">
        <f t="shared" si="1"/>
        <v>-59065212344</v>
      </c>
      <c r="H9" s="578">
        <f t="shared" si="0"/>
        <v>1992475900</v>
      </c>
      <c r="I9" s="578"/>
      <c r="J9" s="579">
        <f>-T_BS!H233</f>
        <v>-59065212344</v>
      </c>
      <c r="K9" s="574"/>
      <c r="L9" s="575"/>
      <c r="M9" s="576">
        <f>-SUMIF(T_BS!$D:$D,'8.0'!D9,T_BS!X:X)</f>
        <v>-59065212344</v>
      </c>
      <c r="N9" s="577"/>
      <c r="O9" s="575"/>
    </row>
    <row r="10" spans="3:15" ht="18" customHeight="1">
      <c r="D10" s="571">
        <v>320500</v>
      </c>
      <c r="E10" s="572" t="s">
        <v>192</v>
      </c>
      <c r="F10" s="578">
        <v>0</v>
      </c>
      <c r="G10" s="578">
        <f t="shared" si="1"/>
        <v>0</v>
      </c>
      <c r="H10" s="578">
        <f t="shared" si="0"/>
        <v>0</v>
      </c>
      <c r="I10" s="578"/>
      <c r="J10" s="579">
        <f>-T_BS!H234</f>
        <v>0</v>
      </c>
      <c r="K10" s="574"/>
      <c r="L10" s="575"/>
      <c r="M10" s="576">
        <f>-SUMIF(T_BS!$D:$D,'8.0'!D10,T_BS!X:X)</f>
        <v>0</v>
      </c>
      <c r="N10" s="577"/>
      <c r="O10" s="575"/>
    </row>
    <row r="11" spans="3:15" ht="18" customHeight="1">
      <c r="D11" s="571">
        <v>320300</v>
      </c>
      <c r="E11" s="572" t="s">
        <v>193</v>
      </c>
      <c r="F11" s="579">
        <v>-1076616039</v>
      </c>
      <c r="G11" s="579">
        <v>-1076616039</v>
      </c>
      <c r="H11" s="579">
        <f t="shared" si="0"/>
        <v>0</v>
      </c>
      <c r="I11" s="578"/>
      <c r="J11" s="579">
        <v>-620378640</v>
      </c>
      <c r="K11" s="574"/>
      <c r="L11" s="575"/>
      <c r="M11" s="576">
        <f>-SUMIF(T_BS!$D:$D,'8.0'!D11,T_BS!X:X)</f>
        <v>-1076616039</v>
      </c>
      <c r="N11" s="577"/>
      <c r="O11" s="575"/>
    </row>
    <row r="12" spans="3:15" ht="18" customHeight="1">
      <c r="D12" s="571">
        <v>350300</v>
      </c>
      <c r="E12" s="572" t="s">
        <v>195</v>
      </c>
      <c r="F12" s="579">
        <v>0</v>
      </c>
      <c r="G12" s="579">
        <f t="shared" si="1"/>
        <v>0</v>
      </c>
      <c r="H12" s="579">
        <f t="shared" si="0"/>
        <v>0</v>
      </c>
      <c r="I12" s="578"/>
      <c r="J12" s="579">
        <f>-T_BS!H237</f>
        <v>0</v>
      </c>
      <c r="K12" s="574"/>
      <c r="L12" s="575"/>
      <c r="M12" s="576">
        <f>-SUMIF(T_BS!$D:$D,'8.0'!D12,T_BS!X:X)</f>
        <v>0</v>
      </c>
      <c r="N12" s="577"/>
      <c r="O12" s="575"/>
    </row>
    <row r="13" spans="3:15" ht="18" customHeight="1">
      <c r="D13" s="571">
        <v>350350</v>
      </c>
      <c r="E13" s="572" t="s">
        <v>196</v>
      </c>
      <c r="F13" s="579">
        <v>1293810742</v>
      </c>
      <c r="G13" s="579">
        <f t="shared" si="1"/>
        <v>1293810742</v>
      </c>
      <c r="H13" s="579">
        <f t="shared" si="0"/>
        <v>0</v>
      </c>
      <c r="I13" s="578"/>
      <c r="J13" s="579">
        <f>-T_BS!H238</f>
        <v>1293810742</v>
      </c>
      <c r="K13" s="574"/>
      <c r="L13" s="575"/>
      <c r="M13" s="576">
        <f>-SUMIF(T_BS!$D:$D,'8.0'!D13,T_BS!X:X)</f>
        <v>1293810742</v>
      </c>
      <c r="N13" s="577"/>
    </row>
    <row r="14" spans="3:15" ht="18" customHeight="1">
      <c r="D14" s="571" t="s">
        <v>1347</v>
      </c>
      <c r="E14" s="572" t="s">
        <v>225</v>
      </c>
      <c r="F14" s="579">
        <v>0</v>
      </c>
      <c r="G14" s="579">
        <f t="shared" si="1"/>
        <v>0</v>
      </c>
      <c r="H14" s="579">
        <f t="shared" si="0"/>
        <v>0</v>
      </c>
      <c r="I14" s="578"/>
      <c r="J14" s="579">
        <f>-T_BS!H239</f>
        <v>0</v>
      </c>
      <c r="K14" s="574"/>
      <c r="L14" s="575"/>
      <c r="M14" s="576">
        <f>-SUMIF(T_BS!$D:$D,'8.0'!D14,T_BS!X:X)</f>
        <v>0</v>
      </c>
      <c r="N14" s="577"/>
      <c r="O14" s="575"/>
    </row>
    <row r="15" spans="3:15" ht="18" customHeight="1">
      <c r="D15" s="571">
        <v>350400</v>
      </c>
      <c r="E15" s="572" t="s">
        <v>197</v>
      </c>
      <c r="F15" s="579">
        <v>-1066837445</v>
      </c>
      <c r="G15" s="579">
        <f t="shared" si="1"/>
        <v>-1066837445</v>
      </c>
      <c r="H15" s="579">
        <f t="shared" si="0"/>
        <v>0</v>
      </c>
      <c r="I15" s="578"/>
      <c r="J15" s="579">
        <f>-T_BS!H240</f>
        <v>-1066837445</v>
      </c>
      <c r="K15" s="574"/>
      <c r="L15" s="575"/>
      <c r="M15" s="576">
        <f>-SUMIF(T_BS!$D:$D,'8.0'!D15,T_BS!X:X)</f>
        <v>-1066837445</v>
      </c>
      <c r="N15" s="577"/>
      <c r="O15" s="575"/>
    </row>
    <row r="16" spans="3:15" ht="18" customHeight="1">
      <c r="C16" s="494" t="s">
        <v>556</v>
      </c>
      <c r="D16" s="571">
        <v>350210</v>
      </c>
      <c r="E16" s="572" t="s">
        <v>198</v>
      </c>
      <c r="F16" s="579">
        <v>8498363093</v>
      </c>
      <c r="G16" s="579">
        <f t="shared" si="1"/>
        <v>2731869088</v>
      </c>
      <c r="H16" s="579">
        <f t="shared" si="0"/>
        <v>-5766494005</v>
      </c>
      <c r="I16" s="578"/>
      <c r="J16" s="579">
        <f>-E30</f>
        <v>2731869088</v>
      </c>
      <c r="K16" s="574"/>
      <c r="L16" s="575"/>
      <c r="M16" s="576">
        <f>-SUMIF(T_BS!$D:$D,'8.0'!D16,T_BS!X:X)</f>
        <v>2731869088</v>
      </c>
      <c r="N16" s="577"/>
      <c r="O16" s="575"/>
    </row>
    <row r="17" spans="3:15" ht="18" customHeight="1">
      <c r="D17" s="571" t="s">
        <v>1350</v>
      </c>
      <c r="E17" s="572" t="s">
        <v>200</v>
      </c>
      <c r="F17" s="579">
        <v>-7009247</v>
      </c>
      <c r="G17" s="579">
        <v>-7009247</v>
      </c>
      <c r="H17" s="579">
        <f t="shared" si="0"/>
        <v>0</v>
      </c>
      <c r="I17" s="578"/>
      <c r="J17" s="579">
        <v>2158234</v>
      </c>
      <c r="K17" s="574"/>
      <c r="L17" s="575"/>
      <c r="M17" s="576">
        <f>-SUMIF(T_BS!$D:$D,'8.0'!D17,T_BS!X:X)</f>
        <v>-7009247</v>
      </c>
      <c r="N17" s="577"/>
      <c r="O17" s="575"/>
    </row>
    <row r="18" spans="3:15" ht="18" customHeight="1">
      <c r="D18" s="571" t="s">
        <v>1351</v>
      </c>
      <c r="E18" s="572" t="s">
        <v>202</v>
      </c>
      <c r="F18" s="579">
        <v>0</v>
      </c>
      <c r="G18" s="579">
        <f t="shared" si="1"/>
        <v>0</v>
      </c>
      <c r="H18" s="579">
        <f t="shared" si="0"/>
        <v>0</v>
      </c>
      <c r="I18" s="578"/>
      <c r="J18" s="579">
        <v>0</v>
      </c>
      <c r="K18" s="574"/>
      <c r="L18" s="575"/>
      <c r="M18" s="576">
        <f>-SUMIF(T_BS!$D:$D,'8.0'!D18,T_BS!X:X)</f>
        <v>0</v>
      </c>
      <c r="N18" s="577"/>
      <c r="O18" s="575"/>
    </row>
    <row r="19" spans="3:15" ht="18" customHeight="1">
      <c r="D19" s="571" t="s">
        <v>1352</v>
      </c>
      <c r="E19" s="572" t="s">
        <v>1348</v>
      </c>
      <c r="F19" s="579">
        <v>-1569942847</v>
      </c>
      <c r="G19" s="579">
        <f t="shared" si="1"/>
        <v>-1840243400</v>
      </c>
      <c r="H19" s="579">
        <f t="shared" si="0"/>
        <v>-270300553</v>
      </c>
      <c r="I19" s="578"/>
      <c r="J19" s="579">
        <v>-2268616162</v>
      </c>
      <c r="K19" s="574">
        <f>-OCI!X12</f>
        <v>428372762</v>
      </c>
      <c r="L19" s="575"/>
      <c r="M19" s="576">
        <f>-SUMIF(T_BS!$D:$D,'8.0'!D19,T_BS!X:X)</f>
        <v>-1840243400</v>
      </c>
      <c r="N19" s="577" t="s">
        <v>1820</v>
      </c>
      <c r="O19" s="575" t="s">
        <v>1821</v>
      </c>
    </row>
    <row r="20" spans="3:15" ht="18" customHeight="1">
      <c r="D20" s="571" t="s">
        <v>1353</v>
      </c>
      <c r="E20" s="572" t="s">
        <v>1349</v>
      </c>
      <c r="F20" s="579">
        <v>0</v>
      </c>
      <c r="G20" s="579">
        <v>0</v>
      </c>
      <c r="H20" s="579">
        <f t="shared" si="0"/>
        <v>0</v>
      </c>
      <c r="I20" s="578"/>
      <c r="J20" s="579"/>
      <c r="K20" s="574"/>
      <c r="L20" s="575"/>
      <c r="M20" s="576">
        <f>-SUMIF(T_BS!$D:$D,'8.0'!D20,T_BS!X:X)</f>
        <v>0</v>
      </c>
      <c r="N20" s="577"/>
      <c r="O20" s="575"/>
    </row>
    <row r="21" spans="3:15" ht="18" customHeight="1">
      <c r="D21" s="571">
        <v>350951</v>
      </c>
      <c r="E21" s="572" t="s">
        <v>205</v>
      </c>
      <c r="F21" s="579">
        <v>-1835024545</v>
      </c>
      <c r="G21" s="579">
        <v>-1835024545</v>
      </c>
      <c r="H21" s="579">
        <f t="shared" si="0"/>
        <v>0</v>
      </c>
      <c r="I21" s="578"/>
      <c r="J21" s="579">
        <v>518054341</v>
      </c>
      <c r="K21" s="574">
        <f>-OCI!AE12</f>
        <v>-1212634443</v>
      </c>
      <c r="L21" s="575"/>
      <c r="M21" s="576">
        <f>-SUMIF(T_BS!$D:$D,'8.0'!D21,T_BS!X:X)</f>
        <v>-1835024545</v>
      </c>
      <c r="N21" s="577" t="s">
        <v>1820</v>
      </c>
      <c r="O21" s="575" t="s">
        <v>1821</v>
      </c>
    </row>
    <row r="22" spans="3:15" ht="18" customHeight="1">
      <c r="D22" s="571">
        <v>340100</v>
      </c>
      <c r="E22" s="572" t="s">
        <v>207</v>
      </c>
      <c r="F22" s="578">
        <v>34437696458</v>
      </c>
      <c r="G22" s="578">
        <f t="shared" si="1"/>
        <v>8910020994</v>
      </c>
      <c r="H22" s="578">
        <f t="shared" si="0"/>
        <v>-25527675464</v>
      </c>
      <c r="I22" s="578"/>
      <c r="J22" s="581">
        <v>8910020994</v>
      </c>
      <c r="K22" s="574"/>
      <c r="L22" s="575"/>
      <c r="M22" s="576">
        <f>-SUMIF(T_BS!$D:$D,'8.0'!D22,T_BS!X:X)</f>
        <v>8910020994</v>
      </c>
      <c r="N22" s="577"/>
      <c r="O22" s="575"/>
    </row>
    <row r="23" spans="3:15" ht="18" customHeight="1">
      <c r="D23" s="571" t="s">
        <v>1355</v>
      </c>
      <c r="E23" s="572" t="s">
        <v>209</v>
      </c>
      <c r="F23" s="578">
        <v>-45696991065</v>
      </c>
      <c r="G23" s="578">
        <f t="shared" si="1"/>
        <v>-45696991065</v>
      </c>
      <c r="H23" s="578">
        <f t="shared" si="0"/>
        <v>0</v>
      </c>
      <c r="I23" s="578"/>
      <c r="J23" s="578">
        <f>-NCI!F34</f>
        <v>-45696991065</v>
      </c>
      <c r="K23" s="582"/>
      <c r="M23" s="583">
        <f>-SUMIF(T_BS!$D:$D,'8.0'!D23,T_BS!X:X)</f>
        <v>-45696991065</v>
      </c>
      <c r="N23" s="566"/>
    </row>
    <row r="24" spans="3:15" ht="18" customHeight="1" thickBot="1">
      <c r="D24" s="584" t="s">
        <v>211</v>
      </c>
      <c r="E24" s="585" t="s">
        <v>210</v>
      </c>
      <c r="F24" s="586">
        <v>0</v>
      </c>
      <c r="G24" s="586">
        <f t="shared" si="1"/>
        <v>0</v>
      </c>
      <c r="H24" s="509">
        <f t="shared" si="0"/>
        <v>0</v>
      </c>
      <c r="I24" s="586"/>
      <c r="J24" s="586"/>
      <c r="K24" s="587"/>
      <c r="M24" s="588">
        <f>-SUMIF(T_BS!$D:$D,'8.0'!D24,T_BS!X:X)</f>
        <v>0</v>
      </c>
      <c r="N24" s="566"/>
    </row>
    <row r="25" spans="3:15" s="494" customFormat="1" ht="18" customHeight="1" thickTop="1" thickBot="1">
      <c r="D25" s="589"/>
      <c r="E25" s="590"/>
      <c r="F25" s="590">
        <f>SUM(F5:F24)</f>
        <v>-124617626644</v>
      </c>
      <c r="G25" s="590">
        <f>SUM(G5:G24)</f>
        <v>-124617626644</v>
      </c>
      <c r="H25" s="590">
        <f>SUM(H5:H24)</f>
        <v>0</v>
      </c>
      <c r="I25" s="590"/>
      <c r="J25" s="590"/>
      <c r="K25" s="591"/>
      <c r="M25" s="592"/>
      <c r="N25" s="564"/>
    </row>
    <row r="26" spans="3:15" ht="18" customHeight="1">
      <c r="G26" s="498">
        <f>+F25-G25</f>
        <v>0</v>
      </c>
    </row>
    <row r="27" spans="3:15" s="494" customFormat="1" ht="18" customHeight="1">
      <c r="C27" s="494" t="s">
        <v>556</v>
      </c>
      <c r="D27" s="518" t="s">
        <v>198</v>
      </c>
    </row>
    <row r="28" spans="3:15" s="494" customFormat="1" ht="18" customHeight="1">
      <c r="D28" s="564" t="s">
        <v>460</v>
      </c>
      <c r="E28" s="494">
        <v>-2731869088</v>
      </c>
    </row>
    <row r="29" spans="3:15" s="494" customFormat="1" ht="18" customHeight="1">
      <c r="D29" s="564" t="s">
        <v>1533</v>
      </c>
      <c r="E29" s="494">
        <v>0</v>
      </c>
      <c r="J29" s="498"/>
    </row>
    <row r="30" spans="3:15" s="494" customFormat="1" ht="18" customHeight="1" thickBot="1">
      <c r="D30" s="593" t="s">
        <v>557</v>
      </c>
      <c r="E30" s="594">
        <f>SUM(E28:E29)</f>
        <v>-2731869088</v>
      </c>
      <c r="H30" s="509"/>
    </row>
    <row r="31" spans="3:15" ht="18" customHeight="1" thickTop="1"/>
  </sheetData>
  <phoneticPr fontId="21" type="noConversion"/>
  <pageMargins left="0.7" right="0.7" top="0.75" bottom="0.75" header="0.3" footer="0.3"/>
  <pageSetup orientation="portrait" r:id="rId1"/>
  <ignoredErrors>
    <ignoredError sqref="G32:H32 H26 I23:K24 I25:K25" evalError="1"/>
    <ignoredError sqref="G23:G25" evalError="1" formula="1"/>
    <ignoredError sqref="E7:E22 E25:F26 G7:G10 E23:E24 G12:G16 G22 E27:E29 G18:G19" formula="1"/>
    <ignoredError sqref="D23:D29 D7:D22" numberStoredAsText="1" formula="1"/>
    <ignoredError sqref="D6 D30:D31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FFFF00"/>
  </sheetPr>
  <dimension ref="D3:AC18"/>
  <sheetViews>
    <sheetView showGridLines="0" zoomScale="80" zoomScaleNormal="80" workbookViewId="0">
      <pane xSplit="6" ySplit="5" topLeftCell="G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ColWidth="8.75" defaultRowHeight="18" customHeight="1"/>
  <cols>
    <col min="1" max="3" width="2.375" style="498" customWidth="1"/>
    <col min="4" max="4" width="7.25" style="565" customWidth="1"/>
    <col min="5" max="5" width="16.125" style="565" customWidth="1"/>
    <col min="6" max="6" width="31.75" style="566" bestFit="1" customWidth="1"/>
    <col min="7" max="11" width="16.375" style="498" customWidth="1"/>
    <col min="12" max="12" width="1.125" style="498" customWidth="1"/>
    <col min="13" max="17" width="16.375" style="498" customWidth="1"/>
    <col min="18" max="18" width="1.125" style="498" customWidth="1"/>
    <col min="19" max="28" width="14" style="498" customWidth="1"/>
    <col min="29" max="29" width="16.5" style="498" bestFit="1" customWidth="1"/>
    <col min="30" max="16384" width="8.75" style="498"/>
  </cols>
  <sheetData>
    <row r="3" spans="4:29" ht="18" customHeight="1" thickBot="1"/>
    <row r="4" spans="4:29" ht="18" customHeight="1">
      <c r="D4" s="2119" t="s">
        <v>414</v>
      </c>
      <c r="E4" s="2120" t="s">
        <v>503</v>
      </c>
      <c r="F4" s="2120" t="s">
        <v>504</v>
      </c>
      <c r="G4" s="2137" t="s">
        <v>1616</v>
      </c>
      <c r="H4" s="2137"/>
      <c r="I4" s="2137"/>
      <c r="J4" s="2137"/>
      <c r="K4" s="2138"/>
      <c r="M4" s="2136" t="s">
        <v>1616</v>
      </c>
      <c r="N4" s="2137"/>
      <c r="O4" s="2137"/>
      <c r="P4" s="2137"/>
      <c r="Q4" s="2138"/>
      <c r="S4" s="2136" t="s">
        <v>523</v>
      </c>
      <c r="T4" s="2137"/>
      <c r="U4" s="2137"/>
      <c r="V4" s="2137"/>
      <c r="W4" s="2137"/>
      <c r="X4" s="2137"/>
      <c r="Y4" s="2137"/>
      <c r="Z4" s="2137"/>
      <c r="AA4" s="2137"/>
      <c r="AB4" s="2137"/>
      <c r="AC4" s="2138"/>
    </row>
    <row r="5" spans="4:29" s="519" customFormat="1" ht="18" customHeight="1">
      <c r="D5" s="2140"/>
      <c r="E5" s="2139"/>
      <c r="F5" s="2139"/>
      <c r="G5" s="1977" t="s">
        <v>1615</v>
      </c>
      <c r="H5" s="1977" t="s">
        <v>1613</v>
      </c>
      <c r="I5" s="1977" t="s">
        <v>1614</v>
      </c>
      <c r="J5" s="1977" t="s">
        <v>1745</v>
      </c>
      <c r="K5" s="1978" t="s">
        <v>1752</v>
      </c>
      <c r="M5" s="1976" t="s">
        <v>1752</v>
      </c>
      <c r="N5" s="1977" t="s">
        <v>1613</v>
      </c>
      <c r="O5" s="1977" t="s">
        <v>1614</v>
      </c>
      <c r="P5" s="1977" t="s">
        <v>1745</v>
      </c>
      <c r="Q5" s="1978" t="s">
        <v>2878</v>
      </c>
      <c r="S5" s="1976" t="s">
        <v>1617</v>
      </c>
      <c r="T5" s="1977" t="s">
        <v>1618</v>
      </c>
      <c r="U5" s="1977" t="s">
        <v>1619</v>
      </c>
      <c r="V5" s="1977" t="s">
        <v>1620</v>
      </c>
      <c r="W5" s="1977" t="s">
        <v>1621</v>
      </c>
      <c r="X5" s="1977" t="s">
        <v>526</v>
      </c>
      <c r="Y5" s="1977" t="s">
        <v>1622</v>
      </c>
      <c r="Z5" s="1977" t="s">
        <v>1623</v>
      </c>
      <c r="AA5" s="1977" t="s">
        <v>1624</v>
      </c>
      <c r="AB5" s="1977" t="s">
        <v>1625</v>
      </c>
      <c r="AC5" s="1978" t="s">
        <v>1626</v>
      </c>
    </row>
    <row r="6" spans="4:29" ht="18" customHeight="1">
      <c r="D6" s="655" t="s">
        <v>523</v>
      </c>
      <c r="E6" s="709" t="s">
        <v>15</v>
      </c>
      <c r="F6" s="572" t="s">
        <v>217</v>
      </c>
      <c r="G6" s="552">
        <v>3443881577</v>
      </c>
      <c r="H6" s="552">
        <v>0</v>
      </c>
      <c r="I6" s="552">
        <v>0</v>
      </c>
      <c r="J6" s="552">
        <v>-1401597960</v>
      </c>
      <c r="K6" s="553">
        <v>2042283617</v>
      </c>
      <c r="M6" s="551">
        <f t="shared" ref="M6:M11" si="0">+K6</f>
        <v>2042283617</v>
      </c>
      <c r="N6" s="552">
        <v>0</v>
      </c>
      <c r="O6" s="552">
        <v>0</v>
      </c>
      <c r="P6" s="552">
        <v>-2042283617</v>
      </c>
      <c r="Q6" s="553">
        <f t="shared" ref="Q6:Q11" si="1">SUM(M6:P6)</f>
        <v>0</v>
      </c>
      <c r="S6" s="551"/>
      <c r="T6" s="552"/>
      <c r="U6" s="552"/>
      <c r="V6" s="552"/>
      <c r="W6" s="552"/>
      <c r="X6" s="552"/>
      <c r="Y6" s="552"/>
      <c r="Z6" s="552"/>
      <c r="AA6" s="552"/>
      <c r="AB6" s="552"/>
      <c r="AC6" s="553">
        <f t="shared" ref="AC6:AC11" si="2">-Q6</f>
        <v>0</v>
      </c>
    </row>
    <row r="7" spans="4:29" ht="18" customHeight="1">
      <c r="D7" s="655" t="s">
        <v>523</v>
      </c>
      <c r="E7" s="709" t="s">
        <v>15</v>
      </c>
      <c r="F7" s="572" t="s">
        <v>213</v>
      </c>
      <c r="G7" s="552">
        <v>0</v>
      </c>
      <c r="H7" s="552">
        <v>0</v>
      </c>
      <c r="I7" s="552">
        <v>0</v>
      </c>
      <c r="J7" s="552">
        <v>0</v>
      </c>
      <c r="K7" s="553">
        <v>0</v>
      </c>
      <c r="M7" s="551">
        <f t="shared" si="0"/>
        <v>0</v>
      </c>
      <c r="N7" s="552">
        <v>0</v>
      </c>
      <c r="O7" s="552">
        <v>0</v>
      </c>
      <c r="P7" s="552">
        <v>0</v>
      </c>
      <c r="Q7" s="553">
        <f t="shared" si="1"/>
        <v>0</v>
      </c>
      <c r="S7" s="551"/>
      <c r="T7" s="552"/>
      <c r="U7" s="552"/>
      <c r="V7" s="552"/>
      <c r="W7" s="552"/>
      <c r="X7" s="552"/>
      <c r="Y7" s="552"/>
      <c r="Z7" s="552"/>
      <c r="AA7" s="552"/>
      <c r="AB7" s="552"/>
      <c r="AC7" s="553">
        <f t="shared" si="2"/>
        <v>0</v>
      </c>
    </row>
    <row r="8" spans="4:29" ht="18" customHeight="1">
      <c r="D8" s="655" t="s">
        <v>523</v>
      </c>
      <c r="E8" s="709" t="s">
        <v>15</v>
      </c>
      <c r="F8" s="572" t="s">
        <v>214</v>
      </c>
      <c r="G8" s="552">
        <v>0</v>
      </c>
      <c r="H8" s="552">
        <v>0</v>
      </c>
      <c r="I8" s="552">
        <v>0</v>
      </c>
      <c r="J8" s="552">
        <v>0</v>
      </c>
      <c r="K8" s="553">
        <v>0</v>
      </c>
      <c r="M8" s="551">
        <f t="shared" si="0"/>
        <v>0</v>
      </c>
      <c r="N8" s="552">
        <v>0</v>
      </c>
      <c r="O8" s="552">
        <v>0</v>
      </c>
      <c r="P8" s="552">
        <v>0</v>
      </c>
      <c r="Q8" s="553">
        <f t="shared" si="1"/>
        <v>0</v>
      </c>
      <c r="S8" s="551"/>
      <c r="T8" s="552"/>
      <c r="U8" s="552"/>
      <c r="V8" s="552"/>
      <c r="W8" s="552"/>
      <c r="X8" s="552"/>
      <c r="Y8" s="552"/>
      <c r="Z8" s="552"/>
      <c r="AA8" s="552"/>
      <c r="AB8" s="552"/>
      <c r="AC8" s="553">
        <f t="shared" si="2"/>
        <v>0</v>
      </c>
    </row>
    <row r="9" spans="4:29" ht="18" customHeight="1">
      <c r="D9" s="655" t="s">
        <v>523</v>
      </c>
      <c r="E9" s="709" t="s">
        <v>15</v>
      </c>
      <c r="F9" s="572" t="s">
        <v>215</v>
      </c>
      <c r="G9" s="552">
        <v>29999999995</v>
      </c>
      <c r="H9" s="552">
        <v>0</v>
      </c>
      <c r="I9" s="552">
        <v>0</v>
      </c>
      <c r="J9" s="552">
        <v>-24071000000</v>
      </c>
      <c r="K9" s="553">
        <v>5928999995</v>
      </c>
      <c r="M9" s="551">
        <f t="shared" si="0"/>
        <v>5928999995</v>
      </c>
      <c r="N9" s="552">
        <v>0</v>
      </c>
      <c r="O9" s="552">
        <v>0</v>
      </c>
      <c r="P9" s="552">
        <v>0</v>
      </c>
      <c r="Q9" s="553">
        <f>SUM(M9:P9)</f>
        <v>5928999995</v>
      </c>
      <c r="S9" s="551"/>
      <c r="T9" s="552"/>
      <c r="U9" s="552"/>
      <c r="V9" s="552"/>
      <c r="W9" s="552"/>
      <c r="X9" s="552"/>
      <c r="Y9" s="552"/>
      <c r="Z9" s="552"/>
      <c r="AA9" s="552"/>
      <c r="AB9" s="552"/>
      <c r="AC9" s="553">
        <f t="shared" si="2"/>
        <v>-5928999995</v>
      </c>
    </row>
    <row r="10" spans="4:29" ht="18" customHeight="1">
      <c r="D10" s="655" t="s">
        <v>523</v>
      </c>
      <c r="E10" s="709" t="s">
        <v>15</v>
      </c>
      <c r="F10" s="572" t="s">
        <v>530</v>
      </c>
      <c r="G10" s="552"/>
      <c r="H10" s="552">
        <v>0</v>
      </c>
      <c r="I10" s="552">
        <v>0</v>
      </c>
      <c r="J10" s="552">
        <v>0</v>
      </c>
      <c r="K10" s="553">
        <v>0</v>
      </c>
      <c r="M10" s="551">
        <f t="shared" si="0"/>
        <v>0</v>
      </c>
      <c r="N10" s="552">
        <v>0</v>
      </c>
      <c r="O10" s="552">
        <v>0</v>
      </c>
      <c r="P10" s="552">
        <v>0</v>
      </c>
      <c r="Q10" s="553">
        <f t="shared" si="1"/>
        <v>0</v>
      </c>
      <c r="S10" s="551"/>
      <c r="T10" s="552"/>
      <c r="U10" s="552"/>
      <c r="V10" s="552"/>
      <c r="W10" s="552"/>
      <c r="X10" s="552"/>
      <c r="Y10" s="552"/>
      <c r="Z10" s="552"/>
      <c r="AA10" s="552"/>
      <c r="AB10" s="552"/>
      <c r="AC10" s="553">
        <f t="shared" si="2"/>
        <v>0</v>
      </c>
    </row>
    <row r="11" spans="4:29" ht="18" customHeight="1" thickBot="1">
      <c r="D11" s="2000" t="s">
        <v>523</v>
      </c>
      <c r="E11" s="2001" t="s">
        <v>15</v>
      </c>
      <c r="F11" s="2002" t="s">
        <v>216</v>
      </c>
      <c r="G11" s="1998">
        <v>13268496000</v>
      </c>
      <c r="H11" s="1998"/>
      <c r="I11" s="1998">
        <v>-13268496000</v>
      </c>
      <c r="J11" s="1998"/>
      <c r="K11" s="1999">
        <v>0</v>
      </c>
      <c r="M11" s="2003">
        <f t="shared" si="0"/>
        <v>0</v>
      </c>
      <c r="N11" s="1998"/>
      <c r="O11" s="1998">
        <f>-M11</f>
        <v>0</v>
      </c>
      <c r="P11" s="1998">
        <v>0</v>
      </c>
      <c r="Q11" s="1999">
        <f t="shared" si="1"/>
        <v>0</v>
      </c>
      <c r="S11" s="2003"/>
      <c r="T11" s="1998"/>
      <c r="U11" s="1998"/>
      <c r="V11" s="1998"/>
      <c r="W11" s="1998"/>
      <c r="X11" s="1998"/>
      <c r="Y11" s="1998"/>
      <c r="Z11" s="1998"/>
      <c r="AA11" s="1998"/>
      <c r="AB11" s="1998"/>
      <c r="AC11" s="1999">
        <f t="shared" si="2"/>
        <v>0</v>
      </c>
    </row>
    <row r="12" spans="4:29" s="494" customFormat="1" ht="18" customHeight="1" thickTop="1" thickBot="1">
      <c r="D12" s="1994"/>
      <c r="E12" s="1995"/>
      <c r="F12" s="1996"/>
      <c r="G12" s="512">
        <f>SUM(G6:G11)</f>
        <v>46712377572</v>
      </c>
      <c r="H12" s="512">
        <f>SUM(H6:H11)</f>
        <v>0</v>
      </c>
      <c r="I12" s="512">
        <f>SUM(I6:I11)</f>
        <v>-13268496000</v>
      </c>
      <c r="J12" s="512">
        <f>SUM(J6:J11)</f>
        <v>-25472597960</v>
      </c>
      <c r="K12" s="1997">
        <f>SUM(K6:K11)</f>
        <v>7971283612</v>
      </c>
      <c r="M12" s="559">
        <f>SUM(M6:M11)</f>
        <v>7971283612</v>
      </c>
      <c r="N12" s="512">
        <f>SUM(N6:N11)</f>
        <v>0</v>
      </c>
      <c r="O12" s="512">
        <f>SUM(O6:O11)</f>
        <v>0</v>
      </c>
      <c r="P12" s="512">
        <f>SUM(P6:P11)</f>
        <v>-2042283617</v>
      </c>
      <c r="Q12" s="1997">
        <f>SUM(Q6:Q11)</f>
        <v>5928999995</v>
      </c>
      <c r="S12" s="559">
        <f t="shared" ref="S12:AC12" si="3">SUM(S6:S11)</f>
        <v>0</v>
      </c>
      <c r="T12" s="512">
        <f t="shared" si="3"/>
        <v>0</v>
      </c>
      <c r="U12" s="512">
        <f t="shared" si="3"/>
        <v>0</v>
      </c>
      <c r="V12" s="512">
        <f t="shared" si="3"/>
        <v>0</v>
      </c>
      <c r="W12" s="512">
        <f t="shared" si="3"/>
        <v>0</v>
      </c>
      <c r="X12" s="512">
        <f t="shared" si="3"/>
        <v>0</v>
      </c>
      <c r="Y12" s="512">
        <f t="shared" si="3"/>
        <v>0</v>
      </c>
      <c r="Z12" s="512">
        <f t="shared" si="3"/>
        <v>0</v>
      </c>
      <c r="AA12" s="512">
        <f t="shared" si="3"/>
        <v>0</v>
      </c>
      <c r="AB12" s="512">
        <f t="shared" si="3"/>
        <v>0</v>
      </c>
      <c r="AC12" s="1997">
        <f t="shared" si="3"/>
        <v>-5928999995</v>
      </c>
    </row>
    <row r="13" spans="4:29" s="494" customFormat="1" ht="18" customHeight="1">
      <c r="D13" s="519"/>
      <c r="E13" s="519"/>
      <c r="F13" s="564"/>
    </row>
    <row r="15" spans="4:29" s="494" customFormat="1" ht="18" customHeight="1">
      <c r="D15" s="519"/>
      <c r="E15" s="519"/>
      <c r="F15" s="564"/>
    </row>
    <row r="18" spans="6:6" s="565" customFormat="1" ht="18" customHeight="1">
      <c r="F18" s="566"/>
    </row>
  </sheetData>
  <mergeCells count="6">
    <mergeCell ref="M4:Q4"/>
    <mergeCell ref="F4:F5"/>
    <mergeCell ref="E4:E5"/>
    <mergeCell ref="D4:D5"/>
    <mergeCell ref="S4:AC4"/>
    <mergeCell ref="G4:K4"/>
  </mergeCells>
  <phoneticPr fontId="2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FF00"/>
  </sheetPr>
  <dimension ref="D2:AL21"/>
  <sheetViews>
    <sheetView showGridLines="0" zoomScale="80" zoomScaleNormal="80" workbookViewId="0">
      <pane xSplit="5" ySplit="4" topLeftCell="V5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ColWidth="8.75" defaultRowHeight="18" customHeight="1"/>
  <cols>
    <col min="1" max="3" width="2.375" style="498" customWidth="1"/>
    <col min="4" max="4" width="10.5" style="498" bestFit="1" customWidth="1"/>
    <col min="5" max="5" width="31.375" style="498" bestFit="1" customWidth="1"/>
    <col min="6" max="6" width="3.375" style="543" customWidth="1"/>
    <col min="7" max="11" width="20.375" style="498" hidden="1" customWidth="1"/>
    <col min="12" max="12" width="3.375" style="543" hidden="1" customWidth="1"/>
    <col min="13" max="18" width="20.375" style="498" hidden="1" customWidth="1"/>
    <col min="19" max="19" width="3.375" style="543" customWidth="1"/>
    <col min="20" max="25" width="16.625" style="498" customWidth="1"/>
    <col min="26" max="26" width="3.375" style="543" customWidth="1"/>
    <col min="27" max="32" width="16.625" style="498" customWidth="1"/>
    <col min="33" max="33" width="3.375" style="543" customWidth="1"/>
    <col min="34" max="38" width="16.625" style="498" customWidth="1"/>
    <col min="39" max="16384" width="8.75" style="498"/>
  </cols>
  <sheetData>
    <row r="2" spans="4:38" ht="18" customHeight="1" thickBot="1"/>
    <row r="3" spans="4:38" s="519" customFormat="1" ht="18" customHeight="1">
      <c r="D3" s="2141" t="s">
        <v>500</v>
      </c>
      <c r="E3" s="2143" t="s">
        <v>499</v>
      </c>
      <c r="F3" s="544"/>
      <c r="G3" s="2118" t="s">
        <v>525</v>
      </c>
      <c r="H3" s="2118"/>
      <c r="I3" s="2118"/>
      <c r="J3" s="2118"/>
      <c r="K3" s="2118"/>
      <c r="L3" s="544"/>
      <c r="M3" s="2141" t="s">
        <v>1586</v>
      </c>
      <c r="N3" s="2145"/>
      <c r="O3" s="2145"/>
      <c r="P3" s="2145"/>
      <c r="Q3" s="2145"/>
      <c r="R3" s="2143"/>
      <c r="S3" s="544"/>
      <c r="T3" s="2119" t="s">
        <v>1586</v>
      </c>
      <c r="U3" s="2120"/>
      <c r="V3" s="2120"/>
      <c r="W3" s="2120"/>
      <c r="X3" s="2120"/>
      <c r="Y3" s="2121"/>
      <c r="Z3" s="544"/>
      <c r="AA3" s="2119" t="s">
        <v>527</v>
      </c>
      <c r="AB3" s="2120"/>
      <c r="AC3" s="2120"/>
      <c r="AD3" s="2120"/>
      <c r="AE3" s="2120"/>
      <c r="AF3" s="2121"/>
      <c r="AG3" s="544"/>
      <c r="AH3" s="2119" t="s">
        <v>526</v>
      </c>
      <c r="AI3" s="2120"/>
      <c r="AJ3" s="2120"/>
      <c r="AK3" s="2120"/>
      <c r="AL3" s="2121"/>
    </row>
    <row r="4" spans="4:38" s="519" customFormat="1" ht="18" customHeight="1">
      <c r="D4" s="2142"/>
      <c r="E4" s="2144"/>
      <c r="F4" s="544"/>
      <c r="G4" s="545" t="s">
        <v>227</v>
      </c>
      <c r="H4" s="545" t="s">
        <v>463</v>
      </c>
      <c r="I4" s="545" t="s">
        <v>523</v>
      </c>
      <c r="J4" s="545" t="s">
        <v>524</v>
      </c>
      <c r="K4" s="545" t="s">
        <v>492</v>
      </c>
      <c r="L4" s="544"/>
      <c r="M4" s="546" t="s">
        <v>227</v>
      </c>
      <c r="N4" s="547" t="s">
        <v>535</v>
      </c>
      <c r="O4" s="547" t="s">
        <v>536</v>
      </c>
      <c r="P4" s="547" t="s">
        <v>523</v>
      </c>
      <c r="Q4" s="547" t="s">
        <v>524</v>
      </c>
      <c r="R4" s="548" t="s">
        <v>492</v>
      </c>
      <c r="S4" s="544"/>
      <c r="T4" s="1976" t="s">
        <v>227</v>
      </c>
      <c r="U4" s="1977" t="s">
        <v>535</v>
      </c>
      <c r="V4" s="1977" t="s">
        <v>536</v>
      </c>
      <c r="W4" s="1977" t="s">
        <v>523</v>
      </c>
      <c r="X4" s="1977" t="s">
        <v>524</v>
      </c>
      <c r="Y4" s="1978" t="s">
        <v>492</v>
      </c>
      <c r="Z4" s="544"/>
      <c r="AA4" s="1976" t="s">
        <v>227</v>
      </c>
      <c r="AB4" s="1977" t="s">
        <v>2828</v>
      </c>
      <c r="AC4" s="1977" t="s">
        <v>463</v>
      </c>
      <c r="AD4" s="1977" t="s">
        <v>523</v>
      </c>
      <c r="AE4" s="1977" t="s">
        <v>524</v>
      </c>
      <c r="AF4" s="1978" t="s">
        <v>492</v>
      </c>
      <c r="AG4" s="544"/>
      <c r="AH4" s="1976" t="s">
        <v>227</v>
      </c>
      <c r="AI4" s="1977" t="s">
        <v>2843</v>
      </c>
      <c r="AJ4" s="1977" t="s">
        <v>523</v>
      </c>
      <c r="AK4" s="1977" t="s">
        <v>524</v>
      </c>
      <c r="AL4" s="1978" t="s">
        <v>492</v>
      </c>
    </row>
    <row r="5" spans="4:38" ht="18" customHeight="1">
      <c r="D5" s="549">
        <v>1</v>
      </c>
      <c r="E5" s="1981" t="s">
        <v>15</v>
      </c>
      <c r="M5" s="550">
        <v>0</v>
      </c>
      <c r="N5" s="509"/>
      <c r="O5" s="509">
        <v>0</v>
      </c>
      <c r="P5" s="509">
        <v>0</v>
      </c>
      <c r="Q5" s="509">
        <v>0</v>
      </c>
      <c r="R5" s="510">
        <v>0</v>
      </c>
      <c r="T5" s="551">
        <f>자본변동!F74</f>
        <v>0</v>
      </c>
      <c r="U5" s="552"/>
      <c r="V5" s="552">
        <v>0</v>
      </c>
      <c r="W5" s="552">
        <f>SUM(T5:V5)</f>
        <v>0</v>
      </c>
      <c r="X5" s="552">
        <f t="shared" ref="X5:X11" si="0">ROUND(W5*D5,0)</f>
        <v>0</v>
      </c>
      <c r="Y5" s="553">
        <f>W5-X5</f>
        <v>0</v>
      </c>
      <c r="AA5" s="551">
        <f>자본변동!F76</f>
        <v>2353078886</v>
      </c>
      <c r="AB5" s="552">
        <f>자본변동!L111</f>
        <v>-1140444443</v>
      </c>
      <c r="AC5" s="552"/>
      <c r="AD5" s="552">
        <f>SUM(AA5:AC5)</f>
        <v>1212634443</v>
      </c>
      <c r="AE5" s="552">
        <f>ROUND(AD5*D5,0)</f>
        <v>1212634443</v>
      </c>
      <c r="AF5" s="553">
        <f>AD5-AE5</f>
        <v>0</v>
      </c>
      <c r="AH5" s="551"/>
      <c r="AI5" s="552"/>
      <c r="AJ5" s="552"/>
      <c r="AK5" s="552"/>
      <c r="AL5" s="553"/>
    </row>
    <row r="6" spans="4:38" ht="18" customHeight="1">
      <c r="D6" s="549">
        <v>1</v>
      </c>
      <c r="E6" s="1982" t="s">
        <v>509</v>
      </c>
      <c r="M6" s="550">
        <v>-622288388</v>
      </c>
      <c r="N6" s="509"/>
      <c r="O6" s="509"/>
      <c r="P6" s="509">
        <v>-622288388</v>
      </c>
      <c r="Q6" s="509">
        <v>-622288388</v>
      </c>
      <c r="R6" s="510">
        <v>0</v>
      </c>
      <c r="T6" s="551">
        <f>자본변동!H74</f>
        <v>-77970534</v>
      </c>
      <c r="U6" s="552"/>
      <c r="V6" s="552"/>
      <c r="W6" s="552">
        <f t="shared" ref="W6:W11" si="1">SUM(T6:V6)</f>
        <v>-77970534</v>
      </c>
      <c r="X6" s="552">
        <f>ROUND(W6*D6,0)</f>
        <v>-77970534</v>
      </c>
      <c r="Y6" s="553">
        <f t="shared" ref="Y6:Y12" si="2">W6-X6</f>
        <v>0</v>
      </c>
      <c r="AA6" s="551">
        <f>-자본변동!H76</f>
        <v>0</v>
      </c>
      <c r="AB6" s="552"/>
      <c r="AC6" s="552"/>
      <c r="AD6" s="552">
        <f t="shared" ref="AD6:AD11" si="3">SUM(AA6:AC6)</f>
        <v>0</v>
      </c>
      <c r="AE6" s="552">
        <f t="shared" ref="AE6:AE11" si="4">ROUND(AD6*D6,0)</f>
        <v>0</v>
      </c>
      <c r="AF6" s="553">
        <f t="shared" ref="AF6:AF11" si="5">AD6-AE6</f>
        <v>0</v>
      </c>
      <c r="AH6" s="551"/>
      <c r="AI6" s="552"/>
      <c r="AJ6" s="552"/>
      <c r="AK6" s="552"/>
      <c r="AL6" s="553"/>
    </row>
    <row r="7" spans="4:38" ht="18" customHeight="1">
      <c r="D7" s="549">
        <v>1</v>
      </c>
      <c r="E7" s="1982" t="s">
        <v>511</v>
      </c>
      <c r="M7" s="550">
        <v>-78765534</v>
      </c>
      <c r="N7" s="509"/>
      <c r="O7" s="509">
        <v>148309663</v>
      </c>
      <c r="P7" s="509">
        <v>69544129</v>
      </c>
      <c r="Q7" s="509">
        <v>69544129</v>
      </c>
      <c r="R7" s="510">
        <v>0</v>
      </c>
      <c r="T7" s="551"/>
      <c r="U7" s="552"/>
      <c r="V7" s="552"/>
      <c r="W7" s="552">
        <f t="shared" si="1"/>
        <v>0</v>
      </c>
      <c r="X7" s="552">
        <f t="shared" si="0"/>
        <v>0</v>
      </c>
      <c r="Y7" s="553">
        <f t="shared" si="2"/>
        <v>0</v>
      </c>
      <c r="AA7" s="551"/>
      <c r="AB7" s="552"/>
      <c r="AC7" s="552"/>
      <c r="AD7" s="552">
        <f t="shared" si="3"/>
        <v>0</v>
      </c>
      <c r="AE7" s="552">
        <f t="shared" si="4"/>
        <v>0</v>
      </c>
      <c r="AF7" s="553">
        <f t="shared" si="5"/>
        <v>0</v>
      </c>
      <c r="AH7" s="551"/>
      <c r="AI7" s="552"/>
      <c r="AJ7" s="552"/>
      <c r="AK7" s="552"/>
      <c r="AL7" s="553"/>
    </row>
    <row r="8" spans="4:38" ht="18" customHeight="1">
      <c r="D8" s="549">
        <v>1</v>
      </c>
      <c r="E8" s="1982" t="s">
        <v>513</v>
      </c>
      <c r="M8" s="550">
        <v>-238055993</v>
      </c>
      <c r="N8" s="509"/>
      <c r="O8" s="509"/>
      <c r="P8" s="509">
        <v>-238055993</v>
      </c>
      <c r="Q8" s="509">
        <v>-238055993</v>
      </c>
      <c r="R8" s="510">
        <v>0</v>
      </c>
      <c r="T8" s="551"/>
      <c r="U8" s="552"/>
      <c r="V8" s="552"/>
      <c r="W8" s="552">
        <f t="shared" si="1"/>
        <v>0</v>
      </c>
      <c r="X8" s="552">
        <f t="shared" si="0"/>
        <v>0</v>
      </c>
      <c r="Y8" s="553">
        <f t="shared" si="2"/>
        <v>0</v>
      </c>
      <c r="AA8" s="551"/>
      <c r="AB8" s="552"/>
      <c r="AC8" s="552"/>
      <c r="AD8" s="552">
        <f t="shared" si="3"/>
        <v>0</v>
      </c>
      <c r="AE8" s="552">
        <f t="shared" si="4"/>
        <v>0</v>
      </c>
      <c r="AF8" s="553">
        <f t="shared" si="5"/>
        <v>0</v>
      </c>
      <c r="AH8" s="551"/>
      <c r="AI8" s="552"/>
      <c r="AJ8" s="552"/>
      <c r="AK8" s="552"/>
      <c r="AL8" s="553"/>
    </row>
    <row r="9" spans="4:38" ht="18" customHeight="1">
      <c r="D9" s="549">
        <v>1</v>
      </c>
      <c r="E9" s="1982" t="s">
        <v>515</v>
      </c>
      <c r="M9" s="550">
        <v>213954410</v>
      </c>
      <c r="N9" s="509">
        <v>1069187616</v>
      </c>
      <c r="O9" s="509">
        <v>175053979</v>
      </c>
      <c r="P9" s="509">
        <v>1458196005</v>
      </c>
      <c r="Q9" s="509">
        <v>1458196005</v>
      </c>
      <c r="R9" s="510">
        <v>0</v>
      </c>
      <c r="T9" s="551">
        <f>자본변동!I74</f>
        <v>-219495400</v>
      </c>
      <c r="U9" s="552">
        <f>-'5.0'!X28</f>
        <v>-130906828</v>
      </c>
      <c r="V9" s="552">
        <f>-'5.0'!X12</f>
        <v>0</v>
      </c>
      <c r="W9" s="552">
        <f t="shared" si="1"/>
        <v>-350402228</v>
      </c>
      <c r="X9" s="552">
        <f t="shared" si="0"/>
        <v>-350402228</v>
      </c>
      <c r="Y9" s="553">
        <f t="shared" si="2"/>
        <v>0</v>
      </c>
      <c r="AA9" s="551">
        <f>-자본변동!I76</f>
        <v>0</v>
      </c>
      <c r="AB9" s="552"/>
      <c r="AC9" s="552"/>
      <c r="AD9" s="552">
        <f t="shared" si="3"/>
        <v>0</v>
      </c>
      <c r="AE9" s="552">
        <f t="shared" si="4"/>
        <v>0</v>
      </c>
      <c r="AF9" s="553">
        <f t="shared" si="5"/>
        <v>0</v>
      </c>
      <c r="AH9" s="551"/>
      <c r="AI9" s="552"/>
      <c r="AJ9" s="552"/>
      <c r="AK9" s="552"/>
      <c r="AL9" s="553"/>
    </row>
    <row r="10" spans="4:38" ht="18" customHeight="1">
      <c r="D10" s="549">
        <v>1</v>
      </c>
      <c r="E10" s="1982" t="s">
        <v>516</v>
      </c>
      <c r="M10" s="550">
        <v>0</v>
      </c>
      <c r="N10" s="509">
        <v>0</v>
      </c>
      <c r="O10" s="509"/>
      <c r="P10" s="509">
        <v>0</v>
      </c>
      <c r="Q10" s="509">
        <v>0</v>
      </c>
      <c r="R10" s="510">
        <v>0</v>
      </c>
      <c r="T10" s="551"/>
      <c r="U10" s="552">
        <v>0</v>
      </c>
      <c r="V10" s="552"/>
      <c r="W10" s="552">
        <f t="shared" si="1"/>
        <v>0</v>
      </c>
      <c r="X10" s="552">
        <f t="shared" si="0"/>
        <v>0</v>
      </c>
      <c r="Y10" s="553">
        <f t="shared" si="2"/>
        <v>0</v>
      </c>
      <c r="AA10" s="551"/>
      <c r="AB10" s="552"/>
      <c r="AC10" s="552"/>
      <c r="AD10" s="552">
        <f t="shared" si="3"/>
        <v>0</v>
      </c>
      <c r="AE10" s="552">
        <f t="shared" si="4"/>
        <v>0</v>
      </c>
      <c r="AF10" s="553">
        <f t="shared" si="5"/>
        <v>0</v>
      </c>
      <c r="AH10" s="551"/>
      <c r="AI10" s="552"/>
      <c r="AJ10" s="552"/>
      <c r="AK10" s="552"/>
      <c r="AL10" s="553"/>
    </row>
    <row r="11" spans="4:38" ht="18" customHeight="1" thickBot="1">
      <c r="D11" s="554">
        <v>1</v>
      </c>
      <c r="E11" s="1983" t="s">
        <v>518</v>
      </c>
      <c r="M11" s="550">
        <v>0</v>
      </c>
      <c r="N11" s="509"/>
      <c r="O11" s="509"/>
      <c r="P11" s="509">
        <v>0</v>
      </c>
      <c r="Q11" s="509">
        <v>0</v>
      </c>
      <c r="R11" s="510">
        <v>0</v>
      </c>
      <c r="T11" s="555"/>
      <c r="U11" s="556"/>
      <c r="V11" s="556"/>
      <c r="W11" s="556">
        <f t="shared" si="1"/>
        <v>0</v>
      </c>
      <c r="X11" s="556">
        <f t="shared" si="0"/>
        <v>0</v>
      </c>
      <c r="Y11" s="557">
        <f t="shared" si="2"/>
        <v>0</v>
      </c>
      <c r="AA11" s="555">
        <v>0</v>
      </c>
      <c r="AB11" s="556"/>
      <c r="AC11" s="556"/>
      <c r="AD11" s="556">
        <f t="shared" si="3"/>
        <v>0</v>
      </c>
      <c r="AE11" s="556">
        <f t="shared" si="4"/>
        <v>0</v>
      </c>
      <c r="AF11" s="557">
        <f t="shared" si="5"/>
        <v>0</v>
      </c>
      <c r="AH11" s="555"/>
      <c r="AI11" s="556"/>
      <c r="AJ11" s="556"/>
      <c r="AK11" s="556"/>
      <c r="AL11" s="557"/>
    </row>
    <row r="12" spans="4:38" s="494" customFormat="1" ht="18" customHeight="1" thickTop="1" thickBot="1">
      <c r="D12" s="1974"/>
      <c r="E12" s="1984"/>
      <c r="F12" s="558"/>
      <c r="L12" s="558"/>
      <c r="M12" s="559">
        <v>-725155505</v>
      </c>
      <c r="N12" s="512">
        <v>1069187616</v>
      </c>
      <c r="O12" s="512">
        <v>323363642</v>
      </c>
      <c r="P12" s="512">
        <v>667395753</v>
      </c>
      <c r="Q12" s="512">
        <v>667395753</v>
      </c>
      <c r="R12" s="514">
        <v>0</v>
      </c>
      <c r="S12" s="558"/>
      <c r="T12" s="1974">
        <f>SUM(T5:T11)</f>
        <v>-297465934</v>
      </c>
      <c r="U12" s="1975">
        <f>SUM(U5:U11)</f>
        <v>-130906828</v>
      </c>
      <c r="V12" s="1975">
        <f>SUM(V5:V11)</f>
        <v>0</v>
      </c>
      <c r="W12" s="1975">
        <f>SUM(W5:W11)</f>
        <v>-428372762</v>
      </c>
      <c r="X12" s="1975">
        <f>SUM(X5:X11)</f>
        <v>-428372762</v>
      </c>
      <c r="Y12" s="1979">
        <f t="shared" si="2"/>
        <v>0</v>
      </c>
      <c r="Z12" s="558"/>
      <c r="AA12" s="1974">
        <f t="shared" ref="AA12:AF12" si="6">SUM(AA5:AA11)</f>
        <v>2353078886</v>
      </c>
      <c r="AB12" s="1975">
        <f t="shared" si="6"/>
        <v>-1140444443</v>
      </c>
      <c r="AC12" s="1975">
        <f t="shared" si="6"/>
        <v>0</v>
      </c>
      <c r="AD12" s="1975">
        <f t="shared" si="6"/>
        <v>1212634443</v>
      </c>
      <c r="AE12" s="1975">
        <f t="shared" si="6"/>
        <v>1212634443</v>
      </c>
      <c r="AF12" s="1979">
        <f t="shared" si="6"/>
        <v>0</v>
      </c>
      <c r="AG12" s="558"/>
      <c r="AH12" s="1974"/>
      <c r="AI12" s="1975"/>
      <c r="AJ12" s="1975"/>
      <c r="AK12" s="1975"/>
      <c r="AL12" s="1980"/>
    </row>
    <row r="13" spans="4:38" s="494" customFormat="1" ht="18" customHeight="1">
      <c r="F13" s="558"/>
      <c r="L13" s="558"/>
      <c r="S13" s="558"/>
      <c r="Z13" s="558"/>
      <c r="AG13" s="558"/>
    </row>
    <row r="14" spans="4:38" s="952" customFormat="1" ht="18" customHeight="1">
      <c r="F14" s="720"/>
      <c r="L14" s="720"/>
      <c r="P14" s="952" t="s">
        <v>524</v>
      </c>
      <c r="Q14" s="952">
        <f>T_CE!E22</f>
        <v>0</v>
      </c>
      <c r="R14" s="935"/>
      <c r="S14" s="720"/>
      <c r="W14" s="1883" t="s">
        <v>524</v>
      </c>
      <c r="X14" s="952">
        <f>T_CE!AB22</f>
        <v>-428372762</v>
      </c>
      <c r="Y14" s="935"/>
      <c r="Z14" s="720"/>
      <c r="AD14" s="952" t="s">
        <v>524</v>
      </c>
      <c r="AE14" s="952">
        <f>T_CE!AB25</f>
        <v>1212634443</v>
      </c>
      <c r="AG14" s="720"/>
    </row>
    <row r="15" spans="4:38" s="952" customFormat="1" ht="18" customHeight="1">
      <c r="F15" s="720"/>
      <c r="L15" s="720"/>
      <c r="P15" s="952" t="s">
        <v>1760</v>
      </c>
      <c r="Q15" s="952">
        <f>Q14-Q12</f>
        <v>-667395753</v>
      </c>
      <c r="S15" s="720"/>
      <c r="W15" s="1883" t="s">
        <v>1760</v>
      </c>
      <c r="X15" s="952">
        <f>X14-X12</f>
        <v>0</v>
      </c>
      <c r="Z15" s="720"/>
      <c r="AD15" s="952" t="s">
        <v>1760</v>
      </c>
      <c r="AE15" s="952">
        <f>AE14-AE12</f>
        <v>0</v>
      </c>
      <c r="AG15" s="720"/>
    </row>
    <row r="16" spans="4:38" s="494" customFormat="1" ht="18" customHeight="1">
      <c r="F16" s="558"/>
      <c r="L16" s="558"/>
      <c r="S16" s="558"/>
      <c r="Z16" s="558"/>
      <c r="AG16" s="558"/>
    </row>
    <row r="17" spans="26:34" ht="18" customHeight="1">
      <c r="Z17" s="498"/>
      <c r="AA17" s="543"/>
      <c r="AB17" s="543"/>
      <c r="AG17" s="498"/>
      <c r="AH17" s="543"/>
    </row>
    <row r="18" spans="26:34" ht="18" customHeight="1">
      <c r="Z18" s="498"/>
      <c r="AA18" s="543"/>
      <c r="AB18" s="543"/>
      <c r="AG18" s="498"/>
      <c r="AH18" s="543"/>
    </row>
    <row r="19" spans="26:34" ht="18" customHeight="1">
      <c r="Z19" s="498"/>
      <c r="AA19" s="543"/>
      <c r="AB19" s="543"/>
      <c r="AG19" s="498"/>
      <c r="AH19" s="543"/>
    </row>
    <row r="20" spans="26:34" ht="18" customHeight="1">
      <c r="Z20" s="498"/>
      <c r="AA20" s="543"/>
      <c r="AB20" s="543"/>
      <c r="AG20" s="498"/>
      <c r="AH20" s="543"/>
    </row>
    <row r="21" spans="26:34" ht="18" customHeight="1">
      <c r="Z21" s="498"/>
      <c r="AA21" s="543"/>
      <c r="AB21" s="543"/>
      <c r="AG21" s="498"/>
      <c r="AH21" s="543"/>
    </row>
  </sheetData>
  <mergeCells count="7">
    <mergeCell ref="D3:D4"/>
    <mergeCell ref="G3:K3"/>
    <mergeCell ref="T3:Y3"/>
    <mergeCell ref="AA3:AF3"/>
    <mergeCell ref="AH3:AL3"/>
    <mergeCell ref="E3:E4"/>
    <mergeCell ref="M3:R3"/>
  </mergeCells>
  <phoneticPr fontId="21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D3:U24"/>
  <sheetViews>
    <sheetView showGridLines="0" zoomScale="80" zoomScaleNormal="80" workbookViewId="0">
      <pane xSplit="6" ySplit="4" topLeftCell="G5" activePane="bottomRight" state="frozen"/>
      <selection activeCell="J13" sqref="J13"/>
      <selection pane="topRight" activeCell="J13" sqref="J13"/>
      <selection pane="bottomLeft" activeCell="J13" sqref="J13"/>
      <selection pane="bottomRight" activeCell="P12" sqref="P12"/>
    </sheetView>
  </sheetViews>
  <sheetFormatPr defaultColWidth="8.75" defaultRowHeight="18" customHeight="1"/>
  <cols>
    <col min="1" max="3" width="2.375" style="212" customWidth="1"/>
    <col min="4" max="21" width="16" style="212" customWidth="1"/>
    <col min="22" max="16384" width="8.75" style="212"/>
  </cols>
  <sheetData>
    <row r="3" spans="4:21" ht="18" customHeight="1" thickBot="1"/>
    <row r="4" spans="4:21" ht="30.95" customHeight="1">
      <c r="D4" s="213" t="s">
        <v>558</v>
      </c>
      <c r="E4" s="214" t="s">
        <v>559</v>
      </c>
      <c r="F4" s="214" t="s">
        <v>560</v>
      </c>
      <c r="G4" s="214" t="s">
        <v>561</v>
      </c>
      <c r="H4" s="214" t="s">
        <v>562</v>
      </c>
      <c r="I4" s="214" t="s">
        <v>563</v>
      </c>
      <c r="J4" s="214" t="s">
        <v>564</v>
      </c>
      <c r="K4" s="214" t="s">
        <v>565</v>
      </c>
      <c r="L4" s="214" t="s">
        <v>566</v>
      </c>
      <c r="M4" s="214" t="s">
        <v>567</v>
      </c>
      <c r="N4" s="214" t="s">
        <v>568</v>
      </c>
      <c r="O4" s="214" t="s">
        <v>569</v>
      </c>
      <c r="P4" s="214" t="s">
        <v>570</v>
      </c>
      <c r="Q4" s="214" t="s">
        <v>571</v>
      </c>
      <c r="R4" s="214" t="s">
        <v>572</v>
      </c>
      <c r="S4" s="214" t="s">
        <v>573</v>
      </c>
      <c r="T4" s="214" t="s">
        <v>574</v>
      </c>
      <c r="U4" s="215" t="s">
        <v>575</v>
      </c>
    </row>
    <row r="5" spans="4:21" ht="18" customHeight="1">
      <c r="D5" s="216" t="s">
        <v>576</v>
      </c>
      <c r="E5" s="7" t="s">
        <v>577</v>
      </c>
      <c r="F5" s="7">
        <f>T_BS!H229</f>
        <v>127569385233</v>
      </c>
      <c r="G5" s="7">
        <v>0</v>
      </c>
      <c r="H5" s="7">
        <v>0</v>
      </c>
      <c r="I5" s="7">
        <v>0</v>
      </c>
      <c r="J5" s="7">
        <v>0</v>
      </c>
      <c r="K5" s="7">
        <f>SUM(F5:J5)</f>
        <v>127569385233</v>
      </c>
      <c r="L5" s="217">
        <v>0</v>
      </c>
      <c r="M5" s="7">
        <f t="shared" ref="M5:M10" si="0">K5*L5</f>
        <v>0</v>
      </c>
      <c r="N5" s="7"/>
      <c r="O5" s="7"/>
      <c r="P5" s="7">
        <f t="shared" ref="P5:P11" si="1">N5-O5</f>
        <v>0</v>
      </c>
      <c r="Q5" s="7"/>
      <c r="R5" s="7">
        <f>P5*Q5</f>
        <v>0</v>
      </c>
      <c r="S5" s="7">
        <f>M5-R5</f>
        <v>0</v>
      </c>
      <c r="T5" s="7">
        <f>T_BS!H250</f>
        <v>0</v>
      </c>
      <c r="U5" s="218">
        <f>S5+T5</f>
        <v>0</v>
      </c>
    </row>
    <row r="6" spans="4:21" ht="18" customHeight="1">
      <c r="D6" s="216" t="s">
        <v>15</v>
      </c>
      <c r="E6" s="7" t="s">
        <v>217</v>
      </c>
      <c r="F6" s="7">
        <f>T_BS!J229</f>
        <v>-440243972</v>
      </c>
      <c r="G6" s="7">
        <v>0</v>
      </c>
      <c r="H6" s="7">
        <v>0</v>
      </c>
      <c r="I6" s="7">
        <v>0</v>
      </c>
      <c r="J6" s="7">
        <v>0</v>
      </c>
      <c r="K6" s="7">
        <f t="shared" ref="K6:K11" si="2">SUM(F6:J6)</f>
        <v>-440243972</v>
      </c>
      <c r="L6" s="217">
        <f>1-SCOPE!K5</f>
        <v>0</v>
      </c>
      <c r="M6" s="7">
        <f t="shared" si="0"/>
        <v>0</v>
      </c>
      <c r="N6" s="7">
        <v>3443881577</v>
      </c>
      <c r="O6" s="7"/>
      <c r="P6" s="7">
        <f t="shared" si="1"/>
        <v>3443881577</v>
      </c>
      <c r="Q6" s="7">
        <f t="shared" ref="Q6:Q11" si="3">$L$5</f>
        <v>0</v>
      </c>
      <c r="R6" s="7">
        <f t="shared" ref="R6:R11" si="4">P6*Q6</f>
        <v>0</v>
      </c>
      <c r="S6" s="7">
        <f t="shared" ref="S6:S11" si="5">M6-R6</f>
        <v>0</v>
      </c>
      <c r="T6" s="7">
        <f>T_BS!J250</f>
        <v>0</v>
      </c>
      <c r="U6" s="218">
        <f t="shared" ref="U6:U11" si="6">S6+T6</f>
        <v>0</v>
      </c>
    </row>
    <row r="7" spans="4:21" ht="18" customHeight="1">
      <c r="D7" s="216" t="s">
        <v>15</v>
      </c>
      <c r="E7" s="7" t="s">
        <v>213</v>
      </c>
      <c r="F7" s="7"/>
      <c r="G7" s="7">
        <v>0</v>
      </c>
      <c r="H7" s="7">
        <v>0</v>
      </c>
      <c r="I7" s="7">
        <v>0</v>
      </c>
      <c r="J7" s="7">
        <v>0</v>
      </c>
      <c r="K7" s="7">
        <f t="shared" si="2"/>
        <v>0</v>
      </c>
      <c r="L7" s="217">
        <f>1-SCOPE!K6</f>
        <v>0</v>
      </c>
      <c r="M7" s="7">
        <f t="shared" si="0"/>
        <v>0</v>
      </c>
      <c r="N7" s="7">
        <v>0</v>
      </c>
      <c r="O7" s="7"/>
      <c r="P7" s="7">
        <f t="shared" si="1"/>
        <v>0</v>
      </c>
      <c r="Q7" s="7">
        <f t="shared" si="3"/>
        <v>0</v>
      </c>
      <c r="R7" s="7">
        <f t="shared" si="4"/>
        <v>0</v>
      </c>
      <c r="S7" s="7">
        <f t="shared" si="5"/>
        <v>0</v>
      </c>
      <c r="T7" s="7"/>
      <c r="U7" s="218">
        <f t="shared" si="6"/>
        <v>0</v>
      </c>
    </row>
    <row r="8" spans="4:21" ht="18" customHeight="1">
      <c r="D8" s="216" t="s">
        <v>15</v>
      </c>
      <c r="E8" s="7" t="s">
        <v>214</v>
      </c>
      <c r="F8" s="7"/>
      <c r="G8" s="7">
        <v>0</v>
      </c>
      <c r="H8" s="7">
        <v>0</v>
      </c>
      <c r="I8" s="7">
        <v>0</v>
      </c>
      <c r="J8" s="7">
        <v>0</v>
      </c>
      <c r="K8" s="7">
        <f t="shared" si="2"/>
        <v>0</v>
      </c>
      <c r="L8" s="217">
        <f>1-SCOPE!K7</f>
        <v>0</v>
      </c>
      <c r="M8" s="7">
        <f t="shared" si="0"/>
        <v>0</v>
      </c>
      <c r="N8" s="7"/>
      <c r="O8" s="7"/>
      <c r="P8" s="7">
        <f t="shared" si="1"/>
        <v>0</v>
      </c>
      <c r="Q8" s="7">
        <f t="shared" si="3"/>
        <v>0</v>
      </c>
      <c r="R8" s="7">
        <f t="shared" si="4"/>
        <v>0</v>
      </c>
      <c r="S8" s="7">
        <f t="shared" si="5"/>
        <v>0</v>
      </c>
      <c r="T8" s="7"/>
      <c r="U8" s="218">
        <f t="shared" si="6"/>
        <v>0</v>
      </c>
    </row>
    <row r="9" spans="4:21" ht="18" customHeight="1">
      <c r="D9" s="216" t="s">
        <v>15</v>
      </c>
      <c r="E9" s="7" t="s">
        <v>215</v>
      </c>
      <c r="F9" s="7">
        <f>T_BS!K229</f>
        <v>3776655186</v>
      </c>
      <c r="G9" s="7">
        <v>0</v>
      </c>
      <c r="H9" s="7">
        <v>0</v>
      </c>
      <c r="I9" s="7">
        <v>0</v>
      </c>
      <c r="J9" s="7">
        <v>0</v>
      </c>
      <c r="K9" s="7">
        <f t="shared" si="2"/>
        <v>3776655186</v>
      </c>
      <c r="L9" s="217">
        <f>1-SCOPE!K8</f>
        <v>0</v>
      </c>
      <c r="M9" s="7">
        <f t="shared" si="0"/>
        <v>0</v>
      </c>
      <c r="N9" s="7">
        <v>29999999995</v>
      </c>
      <c r="O9" s="7">
        <f>'5.2'!AT19</f>
        <v>0</v>
      </c>
      <c r="P9" s="7">
        <f t="shared" si="1"/>
        <v>29999999995</v>
      </c>
      <c r="Q9" s="7">
        <f t="shared" si="3"/>
        <v>0</v>
      </c>
      <c r="R9" s="7">
        <f t="shared" si="4"/>
        <v>0</v>
      </c>
      <c r="S9" s="7">
        <f t="shared" si="5"/>
        <v>0</v>
      </c>
      <c r="T9" s="7">
        <f>T_BS!K250</f>
        <v>0</v>
      </c>
      <c r="U9" s="218">
        <f t="shared" si="6"/>
        <v>0</v>
      </c>
    </row>
    <row r="10" spans="4:21" ht="18" customHeight="1">
      <c r="D10" s="216" t="s">
        <v>15</v>
      </c>
      <c r="E10" s="7" t="s">
        <v>530</v>
      </c>
      <c r="F10" s="7"/>
      <c r="G10" s="7">
        <v>0</v>
      </c>
      <c r="H10" s="7">
        <v>0</v>
      </c>
      <c r="I10" s="7">
        <v>0</v>
      </c>
      <c r="J10" s="7">
        <v>0</v>
      </c>
      <c r="K10" s="7">
        <f t="shared" si="2"/>
        <v>0</v>
      </c>
      <c r="L10" s="217">
        <f>1-SCOPE!K9</f>
        <v>1</v>
      </c>
      <c r="M10" s="7">
        <f t="shared" si="0"/>
        <v>0</v>
      </c>
      <c r="N10" s="7"/>
      <c r="O10" s="7"/>
      <c r="P10" s="7">
        <f t="shared" si="1"/>
        <v>0</v>
      </c>
      <c r="Q10" s="7">
        <f t="shared" si="3"/>
        <v>0</v>
      </c>
      <c r="R10" s="7">
        <f t="shared" si="4"/>
        <v>0</v>
      </c>
      <c r="S10" s="7">
        <f t="shared" si="5"/>
        <v>0</v>
      </c>
      <c r="T10" s="7"/>
      <c r="U10" s="218">
        <f t="shared" si="6"/>
        <v>0</v>
      </c>
    </row>
    <row r="11" spans="4:21" ht="18" customHeight="1" thickBot="1">
      <c r="D11" s="216" t="s">
        <v>15</v>
      </c>
      <c r="E11" s="7" t="s">
        <v>216</v>
      </c>
      <c r="F11" s="7"/>
      <c r="G11" s="7">
        <v>0</v>
      </c>
      <c r="H11" s="7">
        <v>0</v>
      </c>
      <c r="I11" s="7">
        <v>0</v>
      </c>
      <c r="J11" s="7">
        <v>0</v>
      </c>
      <c r="K11" s="7">
        <f t="shared" si="2"/>
        <v>0</v>
      </c>
      <c r="L11" s="217">
        <f>1-SCOPE!K10</f>
        <v>0</v>
      </c>
      <c r="M11" s="7"/>
      <c r="N11" s="7"/>
      <c r="O11" s="7"/>
      <c r="P11" s="7">
        <f t="shared" si="1"/>
        <v>0</v>
      </c>
      <c r="Q11" s="7">
        <f t="shared" si="3"/>
        <v>0</v>
      </c>
      <c r="R11" s="7">
        <f t="shared" si="4"/>
        <v>0</v>
      </c>
      <c r="S11" s="7">
        <f t="shared" si="5"/>
        <v>0</v>
      </c>
      <c r="T11" s="7"/>
      <c r="U11" s="218">
        <f t="shared" si="6"/>
        <v>0</v>
      </c>
    </row>
    <row r="12" spans="4:21" ht="18" customHeight="1" thickBot="1">
      <c r="D12" s="219"/>
      <c r="E12" s="220"/>
      <c r="F12" s="220">
        <f>SUM(F5:F11)</f>
        <v>130905796447</v>
      </c>
      <c r="G12" s="220">
        <f t="shared" ref="G12:U12" si="7">SUM(G5:G11)</f>
        <v>0</v>
      </c>
      <c r="H12" s="220">
        <f t="shared" si="7"/>
        <v>0</v>
      </c>
      <c r="I12" s="220">
        <f t="shared" si="7"/>
        <v>0</v>
      </c>
      <c r="J12" s="220">
        <f t="shared" si="7"/>
        <v>0</v>
      </c>
      <c r="K12" s="220">
        <f t="shared" si="7"/>
        <v>130905796447</v>
      </c>
      <c r="L12" s="220">
        <f t="shared" si="7"/>
        <v>1</v>
      </c>
      <c r="M12" s="220">
        <f t="shared" si="7"/>
        <v>0</v>
      </c>
      <c r="N12" s="220">
        <f t="shared" si="7"/>
        <v>33443881572</v>
      </c>
      <c r="O12" s="220">
        <f t="shared" si="7"/>
        <v>0</v>
      </c>
      <c r="P12" s="220">
        <f t="shared" si="7"/>
        <v>33443881572</v>
      </c>
      <c r="Q12" s="220">
        <f t="shared" si="7"/>
        <v>0</v>
      </c>
      <c r="R12" s="220">
        <f t="shared" si="7"/>
        <v>0</v>
      </c>
      <c r="S12" s="220">
        <f t="shared" si="7"/>
        <v>0</v>
      </c>
      <c r="T12" s="220">
        <f t="shared" si="7"/>
        <v>0</v>
      </c>
      <c r="U12" s="221">
        <f t="shared" si="7"/>
        <v>0</v>
      </c>
    </row>
    <row r="14" spans="4:21" ht="18" customHeight="1">
      <c r="N14" s="222"/>
    </row>
    <row r="15" spans="4:21" ht="18" customHeight="1">
      <c r="N15" s="222"/>
    </row>
    <row r="23" spans="13:13" ht="18" customHeight="1">
      <c r="M23" s="222"/>
    </row>
    <row r="24" spans="13:13" ht="18" customHeight="1">
      <c r="M24" s="222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FF00"/>
  </sheetPr>
  <dimension ref="C4:Q34"/>
  <sheetViews>
    <sheetView showGridLines="0" zoomScale="80" zoomScaleNormal="80" workbookViewId="0">
      <selection activeCell="L18" sqref="L18"/>
    </sheetView>
  </sheetViews>
  <sheetFormatPr defaultColWidth="9" defaultRowHeight="18" customHeight="1"/>
  <cols>
    <col min="1" max="3" width="2.375" style="524" customWidth="1"/>
    <col min="4" max="4" width="4" style="524" customWidth="1"/>
    <col min="5" max="5" width="31.875" style="524" bestFit="1" customWidth="1"/>
    <col min="6" max="17" width="16.375" style="524" customWidth="1"/>
    <col min="18" max="18" width="15.375" style="524" customWidth="1"/>
    <col min="19" max="19" width="15.125" style="524" customWidth="1"/>
    <col min="20" max="20" width="15.375" style="524" bestFit="1" customWidth="1"/>
    <col min="21" max="21" width="16.375" style="524" bestFit="1" customWidth="1"/>
    <col min="22" max="22" width="17.375" style="524" customWidth="1"/>
    <col min="23" max="16384" width="9" style="524"/>
  </cols>
  <sheetData>
    <row r="4" spans="3:14" ht="18" customHeight="1" thickBot="1">
      <c r="C4" s="524">
        <v>1</v>
      </c>
      <c r="D4" s="524" t="s">
        <v>579</v>
      </c>
    </row>
    <row r="5" spans="3:14" s="525" customFormat="1" ht="18" customHeight="1">
      <c r="E5" s="2146" t="s">
        <v>580</v>
      </c>
      <c r="F5" s="2148" t="s">
        <v>581</v>
      </c>
      <c r="G5" s="2148" t="s">
        <v>582</v>
      </c>
      <c r="H5" s="2148"/>
      <c r="I5" s="2148"/>
      <c r="J5" s="526"/>
      <c r="K5" s="526"/>
      <c r="L5" s="2148" t="s">
        <v>583</v>
      </c>
      <c r="M5" s="2148"/>
      <c r="N5" s="527"/>
    </row>
    <row r="6" spans="3:14" s="525" customFormat="1" ht="18" customHeight="1">
      <c r="E6" s="2147"/>
      <c r="F6" s="2149"/>
      <c r="G6" s="528" t="s">
        <v>584</v>
      </c>
      <c r="H6" s="528" t="s">
        <v>585</v>
      </c>
      <c r="I6" s="528" t="s">
        <v>586</v>
      </c>
      <c r="J6" s="528" t="s">
        <v>587</v>
      </c>
      <c r="K6" s="528" t="s">
        <v>588</v>
      </c>
      <c r="L6" s="528" t="s">
        <v>589</v>
      </c>
      <c r="M6" s="528" t="s">
        <v>578</v>
      </c>
      <c r="N6" s="529" t="s">
        <v>590</v>
      </c>
    </row>
    <row r="7" spans="3:14" ht="18" customHeight="1">
      <c r="D7" s="530"/>
      <c r="E7" s="531" t="s">
        <v>1858</v>
      </c>
      <c r="F7" s="532">
        <f>T_IS!H128</f>
        <v>45613459643</v>
      </c>
      <c r="G7" s="532">
        <v>0</v>
      </c>
      <c r="H7" s="532">
        <v>0</v>
      </c>
      <c r="I7" s="532">
        <v>0</v>
      </c>
      <c r="J7" s="532">
        <f t="shared" ref="J7:J12" si="0">SUM(F7:I7)</f>
        <v>45613459643</v>
      </c>
      <c r="K7" s="533">
        <f>NCE!L5</f>
        <v>0</v>
      </c>
      <c r="L7" s="532">
        <v>0</v>
      </c>
      <c r="M7" s="532"/>
      <c r="N7" s="534">
        <f t="shared" ref="N7:N14" si="1">ROUND(J7*(K7),)+ROUND(L7+M7,)</f>
        <v>0</v>
      </c>
    </row>
    <row r="8" spans="3:14" ht="18" customHeight="1">
      <c r="D8" s="530"/>
      <c r="E8" s="531" t="s">
        <v>2412</v>
      </c>
      <c r="F8" s="532">
        <f>T_IS!I128</f>
        <v>-15001515</v>
      </c>
      <c r="G8" s="532">
        <v>0</v>
      </c>
      <c r="H8" s="532">
        <v>0</v>
      </c>
      <c r="I8" s="532">
        <v>0</v>
      </c>
      <c r="J8" s="532">
        <f t="shared" si="0"/>
        <v>-15001515</v>
      </c>
      <c r="K8" s="533">
        <f>NCE!L6</f>
        <v>0</v>
      </c>
      <c r="L8" s="532"/>
      <c r="M8" s="532"/>
      <c r="N8" s="534"/>
    </row>
    <row r="9" spans="3:14" ht="18" customHeight="1">
      <c r="D9" s="530"/>
      <c r="E9" s="531" t="s">
        <v>217</v>
      </c>
      <c r="F9" s="532">
        <f>T_IS!J128</f>
        <v>234277127</v>
      </c>
      <c r="G9" s="532">
        <v>0</v>
      </c>
      <c r="H9" s="532">
        <v>0</v>
      </c>
      <c r="I9" s="532">
        <v>0</v>
      </c>
      <c r="J9" s="532">
        <f t="shared" si="0"/>
        <v>234277127</v>
      </c>
      <c r="K9" s="533">
        <f>NCE!L6</f>
        <v>0</v>
      </c>
      <c r="L9" s="532">
        <v>0</v>
      </c>
      <c r="M9" s="532"/>
      <c r="N9" s="534">
        <f t="shared" si="1"/>
        <v>0</v>
      </c>
    </row>
    <row r="10" spans="3:14" ht="18" customHeight="1">
      <c r="D10" s="530"/>
      <c r="E10" s="531" t="s">
        <v>213</v>
      </c>
      <c r="F10" s="532"/>
      <c r="G10" s="532">
        <v>0</v>
      </c>
      <c r="H10" s="532">
        <v>0</v>
      </c>
      <c r="I10" s="532">
        <v>0</v>
      </c>
      <c r="J10" s="532">
        <f t="shared" si="0"/>
        <v>0</v>
      </c>
      <c r="K10" s="533">
        <f>NCE!L7</f>
        <v>0</v>
      </c>
      <c r="L10" s="532">
        <v>0</v>
      </c>
      <c r="M10" s="532"/>
      <c r="N10" s="534">
        <f t="shared" si="1"/>
        <v>0</v>
      </c>
    </row>
    <row r="11" spans="3:14" ht="18" customHeight="1">
      <c r="D11" s="530"/>
      <c r="E11" s="531" t="s">
        <v>214</v>
      </c>
      <c r="F11" s="532"/>
      <c r="G11" s="532">
        <v>0</v>
      </c>
      <c r="H11" s="532">
        <v>0</v>
      </c>
      <c r="I11" s="532">
        <v>0</v>
      </c>
      <c r="J11" s="532">
        <f t="shared" si="0"/>
        <v>0</v>
      </c>
      <c r="K11" s="533">
        <f>NCE!L8</f>
        <v>0</v>
      </c>
      <c r="L11" s="532">
        <v>0</v>
      </c>
      <c r="M11" s="532"/>
      <c r="N11" s="534">
        <f t="shared" si="1"/>
        <v>0</v>
      </c>
    </row>
    <row r="12" spans="3:14" ht="18" customHeight="1">
      <c r="D12" s="530"/>
      <c r="E12" s="531" t="s">
        <v>215</v>
      </c>
      <c r="F12" s="532">
        <f>T_IS!K128</f>
        <v>1242221533</v>
      </c>
      <c r="G12" s="532">
        <v>0</v>
      </c>
      <c r="H12" s="532">
        <v>0</v>
      </c>
      <c r="I12" s="532">
        <v>0</v>
      </c>
      <c r="J12" s="532">
        <f t="shared" si="0"/>
        <v>1242221533</v>
      </c>
      <c r="K12" s="533">
        <f>NCE!L9</f>
        <v>0</v>
      </c>
      <c r="L12" s="532">
        <v>0</v>
      </c>
      <c r="M12" s="532"/>
      <c r="N12" s="534">
        <f t="shared" si="1"/>
        <v>0</v>
      </c>
    </row>
    <row r="13" spans="3:14" ht="18" customHeight="1">
      <c r="D13" s="530"/>
      <c r="E13" s="531" t="s">
        <v>530</v>
      </c>
      <c r="F13" s="532">
        <v>0</v>
      </c>
      <c r="G13" s="532">
        <v>0</v>
      </c>
      <c r="H13" s="532">
        <v>0</v>
      </c>
      <c r="I13" s="532">
        <v>0</v>
      </c>
      <c r="J13" s="532">
        <f>SUM(G13:I13)</f>
        <v>0</v>
      </c>
      <c r="K13" s="533">
        <v>0</v>
      </c>
      <c r="L13" s="532">
        <v>0</v>
      </c>
      <c r="M13" s="532"/>
      <c r="N13" s="534">
        <f t="shared" si="1"/>
        <v>0</v>
      </c>
    </row>
    <row r="14" spans="3:14" ht="18" customHeight="1" thickBot="1">
      <c r="D14" s="530"/>
      <c r="E14" s="1985" t="s">
        <v>216</v>
      </c>
      <c r="F14" s="1986"/>
      <c r="G14" s="1986">
        <v>0</v>
      </c>
      <c r="H14" s="1986">
        <v>0</v>
      </c>
      <c r="I14" s="1986">
        <v>0</v>
      </c>
      <c r="J14" s="1986">
        <f>SUM(F14:I14)</f>
        <v>0</v>
      </c>
      <c r="K14" s="1987">
        <f>NCE!L11</f>
        <v>0</v>
      </c>
      <c r="L14" s="1986">
        <v>0</v>
      </c>
      <c r="M14" s="1986"/>
      <c r="N14" s="1988">
        <f t="shared" si="1"/>
        <v>0</v>
      </c>
    </row>
    <row r="15" spans="3:14" ht="18" customHeight="1" thickTop="1" thickBot="1">
      <c r="E15" s="1989" t="s">
        <v>591</v>
      </c>
      <c r="F15" s="1990">
        <f>SUM(F7:F14)</f>
        <v>47074956788</v>
      </c>
      <c r="G15" s="1990">
        <f>SUM(G7:G14)</f>
        <v>0</v>
      </c>
      <c r="H15" s="1990">
        <f>SUM(H7:H14)</f>
        <v>0</v>
      </c>
      <c r="I15" s="1990">
        <f>SUM(I7:I14)</f>
        <v>0</v>
      </c>
      <c r="J15" s="1990">
        <f>SUM(J7:J14)</f>
        <v>47074956788</v>
      </c>
      <c r="K15" s="1990"/>
      <c r="L15" s="1990"/>
      <c r="M15" s="1990"/>
      <c r="N15" s="1991">
        <f>SUM(N7:N14)</f>
        <v>0</v>
      </c>
    </row>
    <row r="16" spans="3:14" ht="18" customHeight="1">
      <c r="L16" s="524">
        <v>0</v>
      </c>
    </row>
    <row r="17" spans="3:17" ht="18" customHeight="1">
      <c r="E17" s="535" t="s">
        <v>592</v>
      </c>
      <c r="F17" s="524">
        <f>T_IS!L128</f>
        <v>47074956788</v>
      </c>
      <c r="L17" s="524">
        <f>L15-L16</f>
        <v>0</v>
      </c>
    </row>
    <row r="18" spans="3:17" ht="18" customHeight="1">
      <c r="E18" s="535" t="s">
        <v>593</v>
      </c>
      <c r="F18" s="524">
        <f>F15-F17</f>
        <v>0</v>
      </c>
    </row>
    <row r="19" spans="3:17" ht="18" customHeight="1">
      <c r="E19" s="535"/>
    </row>
    <row r="20" spans="3:17" ht="18" customHeight="1" thickBot="1">
      <c r="C20" s="524">
        <v>2</v>
      </c>
      <c r="D20" s="524" t="s">
        <v>594</v>
      </c>
    </row>
    <row r="21" spans="3:17" ht="18" customHeight="1">
      <c r="E21" s="536" t="s">
        <v>580</v>
      </c>
      <c r="F21" s="537" t="s">
        <v>595</v>
      </c>
      <c r="G21" s="537" t="s">
        <v>596</v>
      </c>
      <c r="H21" s="537" t="s">
        <v>597</v>
      </c>
      <c r="I21" s="537" t="s">
        <v>598</v>
      </c>
      <c r="J21" s="537" t="s">
        <v>599</v>
      </c>
      <c r="K21" s="537" t="s">
        <v>600</v>
      </c>
      <c r="L21" s="537" t="s">
        <v>601</v>
      </c>
      <c r="M21" s="537" t="s">
        <v>602</v>
      </c>
      <c r="N21" s="537" t="s">
        <v>603</v>
      </c>
      <c r="O21" s="537" t="s">
        <v>604</v>
      </c>
      <c r="P21" s="537" t="s">
        <v>605</v>
      </c>
      <c r="Q21" s="538" t="s">
        <v>606</v>
      </c>
    </row>
    <row r="22" spans="3:17" ht="18" customHeight="1">
      <c r="E22" s="531" t="s">
        <v>1858</v>
      </c>
      <c r="F22" s="532">
        <v>0</v>
      </c>
      <c r="G22" s="532">
        <f>N7</f>
        <v>0</v>
      </c>
      <c r="H22" s="532">
        <v>0</v>
      </c>
      <c r="I22" s="532">
        <v>0</v>
      </c>
      <c r="J22" s="532">
        <v>0</v>
      </c>
      <c r="K22" s="532">
        <v>0</v>
      </c>
      <c r="L22" s="532">
        <v>0</v>
      </c>
      <c r="M22" s="532">
        <v>0</v>
      </c>
      <c r="N22" s="532">
        <v>0</v>
      </c>
      <c r="O22" s="532">
        <v>0</v>
      </c>
      <c r="P22" s="532">
        <f t="shared" ref="P22:P28" si="2">SUM(F22:O22)</f>
        <v>0</v>
      </c>
      <c r="Q22" s="534">
        <f>NCE!U5</f>
        <v>0</v>
      </c>
    </row>
    <row r="23" spans="3:17" ht="18" customHeight="1">
      <c r="E23" s="531" t="s">
        <v>217</v>
      </c>
      <c r="F23" s="532">
        <v>0</v>
      </c>
      <c r="G23" s="532">
        <f t="shared" ref="G23:G28" si="3">N9</f>
        <v>0</v>
      </c>
      <c r="H23" s="532">
        <v>0</v>
      </c>
      <c r="I23" s="532">
        <v>0</v>
      </c>
      <c r="J23" s="532">
        <v>0</v>
      </c>
      <c r="K23" s="532">
        <v>0</v>
      </c>
      <c r="L23" s="532">
        <v>0</v>
      </c>
      <c r="M23" s="532">
        <v>0</v>
      </c>
      <c r="N23" s="532">
        <v>0</v>
      </c>
      <c r="O23" s="532">
        <v>0</v>
      </c>
      <c r="P23" s="532">
        <f t="shared" si="2"/>
        <v>0</v>
      </c>
      <c r="Q23" s="534">
        <f>NCE!U6</f>
        <v>0</v>
      </c>
    </row>
    <row r="24" spans="3:17" ht="18" customHeight="1">
      <c r="E24" s="531" t="s">
        <v>213</v>
      </c>
      <c r="F24" s="532">
        <v>0</v>
      </c>
      <c r="G24" s="532">
        <f t="shared" si="3"/>
        <v>0</v>
      </c>
      <c r="H24" s="532">
        <v>0</v>
      </c>
      <c r="I24" s="532">
        <v>0</v>
      </c>
      <c r="J24" s="532">
        <v>0</v>
      </c>
      <c r="K24" s="532">
        <v>0</v>
      </c>
      <c r="L24" s="532">
        <v>0</v>
      </c>
      <c r="M24" s="532">
        <v>0</v>
      </c>
      <c r="N24" s="532">
        <v>0</v>
      </c>
      <c r="O24" s="532">
        <v>0</v>
      </c>
      <c r="P24" s="532">
        <f t="shared" si="2"/>
        <v>0</v>
      </c>
      <c r="Q24" s="534">
        <f>NCE!U7</f>
        <v>0</v>
      </c>
    </row>
    <row r="25" spans="3:17" ht="18" customHeight="1">
      <c r="E25" s="531" t="s">
        <v>214</v>
      </c>
      <c r="F25" s="532">
        <v>0</v>
      </c>
      <c r="G25" s="532">
        <f t="shared" si="3"/>
        <v>0</v>
      </c>
      <c r="H25" s="532">
        <v>0</v>
      </c>
      <c r="I25" s="532">
        <v>0</v>
      </c>
      <c r="J25" s="532">
        <v>0</v>
      </c>
      <c r="K25" s="532">
        <v>0</v>
      </c>
      <c r="L25" s="532">
        <v>0</v>
      </c>
      <c r="M25" s="532">
        <v>0</v>
      </c>
      <c r="N25" s="532">
        <v>0</v>
      </c>
      <c r="O25" s="532">
        <v>0</v>
      </c>
      <c r="P25" s="532">
        <f t="shared" si="2"/>
        <v>0</v>
      </c>
      <c r="Q25" s="534">
        <f>NCE!U8</f>
        <v>0</v>
      </c>
    </row>
    <row r="26" spans="3:17" ht="18" customHeight="1">
      <c r="E26" s="531" t="s">
        <v>215</v>
      </c>
      <c r="F26" s="532">
        <v>0</v>
      </c>
      <c r="G26" s="532">
        <f t="shared" si="3"/>
        <v>0</v>
      </c>
      <c r="H26" s="532">
        <v>0</v>
      </c>
      <c r="I26" s="532">
        <v>0</v>
      </c>
      <c r="J26" s="532">
        <v>0</v>
      </c>
      <c r="K26" s="532">
        <v>0</v>
      </c>
      <c r="L26" s="532">
        <v>0</v>
      </c>
      <c r="M26" s="532">
        <v>0</v>
      </c>
      <c r="N26" s="532">
        <v>0</v>
      </c>
      <c r="O26" s="532">
        <v>0</v>
      </c>
      <c r="P26" s="532">
        <f t="shared" si="2"/>
        <v>0</v>
      </c>
      <c r="Q26" s="534">
        <f>NCE!U9</f>
        <v>0</v>
      </c>
    </row>
    <row r="27" spans="3:17" ht="18" customHeight="1">
      <c r="E27" s="531" t="s">
        <v>530</v>
      </c>
      <c r="F27" s="532">
        <v>0</v>
      </c>
      <c r="G27" s="532">
        <f t="shared" si="3"/>
        <v>0</v>
      </c>
      <c r="H27" s="532">
        <v>0</v>
      </c>
      <c r="I27" s="532">
        <v>0</v>
      </c>
      <c r="J27" s="532">
        <v>0</v>
      </c>
      <c r="K27" s="532">
        <v>0</v>
      </c>
      <c r="L27" s="532">
        <v>0</v>
      </c>
      <c r="M27" s="532">
        <v>0</v>
      </c>
      <c r="N27" s="532">
        <v>0</v>
      </c>
      <c r="O27" s="532">
        <v>0</v>
      </c>
      <c r="P27" s="532">
        <f t="shared" si="2"/>
        <v>0</v>
      </c>
      <c r="Q27" s="534">
        <f>NCE!U10</f>
        <v>0</v>
      </c>
    </row>
    <row r="28" spans="3:17" ht="18" customHeight="1" thickBot="1">
      <c r="E28" s="1985" t="s">
        <v>216</v>
      </c>
      <c r="F28" s="1986">
        <v>0</v>
      </c>
      <c r="G28" s="1986">
        <f t="shared" si="3"/>
        <v>0</v>
      </c>
      <c r="H28" s="1986">
        <v>0</v>
      </c>
      <c r="I28" s="1986">
        <v>0</v>
      </c>
      <c r="J28" s="1986">
        <v>0</v>
      </c>
      <c r="K28" s="1986">
        <v>0</v>
      </c>
      <c r="L28" s="1986">
        <v>0</v>
      </c>
      <c r="M28" s="1986">
        <v>0</v>
      </c>
      <c r="N28" s="1986">
        <v>0</v>
      </c>
      <c r="O28" s="1986">
        <v>0</v>
      </c>
      <c r="P28" s="1986">
        <f t="shared" si="2"/>
        <v>0</v>
      </c>
      <c r="Q28" s="1988">
        <f>NCE!U11</f>
        <v>0</v>
      </c>
    </row>
    <row r="29" spans="3:17" ht="18" customHeight="1" thickTop="1" thickBot="1">
      <c r="E29" s="1992"/>
      <c r="F29" s="1990">
        <f t="shared" ref="F29:Q29" si="4">SUM(F22:F28)</f>
        <v>0</v>
      </c>
      <c r="G29" s="1990">
        <f t="shared" si="4"/>
        <v>0</v>
      </c>
      <c r="H29" s="1990">
        <f t="shared" si="4"/>
        <v>0</v>
      </c>
      <c r="I29" s="1990">
        <f t="shared" si="4"/>
        <v>0</v>
      </c>
      <c r="J29" s="1990">
        <f>SUM(J22:J28)</f>
        <v>0</v>
      </c>
      <c r="K29" s="1990">
        <f>SUM(K22:K28)</f>
        <v>0</v>
      </c>
      <c r="L29" s="1990">
        <f t="shared" si="4"/>
        <v>0</v>
      </c>
      <c r="M29" s="1990">
        <f t="shared" si="4"/>
        <v>0</v>
      </c>
      <c r="N29" s="1990">
        <f t="shared" si="4"/>
        <v>0</v>
      </c>
      <c r="O29" s="1990">
        <f t="shared" si="4"/>
        <v>0</v>
      </c>
      <c r="P29" s="1990">
        <f t="shared" si="4"/>
        <v>0</v>
      </c>
      <c r="Q29" s="1993">
        <f t="shared" si="4"/>
        <v>0</v>
      </c>
    </row>
    <row r="30" spans="3:17" ht="18" customHeight="1">
      <c r="H30" s="539"/>
      <c r="J30" s="539"/>
      <c r="K30" s="539"/>
      <c r="M30" s="535"/>
    </row>
    <row r="31" spans="3:17" ht="18" customHeight="1">
      <c r="E31" s="524" t="s">
        <v>607</v>
      </c>
      <c r="F31" s="524">
        <v>45696991065</v>
      </c>
      <c r="G31" s="540" t="b">
        <f>F31=T_IS!X127</f>
        <v>1</v>
      </c>
    </row>
    <row r="32" spans="3:17" ht="18" customHeight="1">
      <c r="E32" s="524" t="s">
        <v>608</v>
      </c>
      <c r="F32" s="524">
        <f>F31</f>
        <v>45696991065</v>
      </c>
    </row>
    <row r="33" spans="5:6" ht="18" customHeight="1" thickBot="1">
      <c r="E33" s="524" t="s">
        <v>609</v>
      </c>
    </row>
    <row r="34" spans="5:6" ht="18" customHeight="1" thickBot="1">
      <c r="E34" s="541"/>
      <c r="F34" s="542">
        <f>SUM(F32:F33)</f>
        <v>45696991065</v>
      </c>
    </row>
  </sheetData>
  <mergeCells count="4">
    <mergeCell ref="E5:E6"/>
    <mergeCell ref="F5:F6"/>
    <mergeCell ref="G5:I5"/>
    <mergeCell ref="L5:M5"/>
  </mergeCells>
  <phoneticPr fontId="21" type="noConversion"/>
  <pageMargins left="0.7" right="0.7" top="0.75" bottom="0.75" header="0.3" footer="0.3"/>
  <pageSetup paperSize="9" orientation="portrait" r:id="rId1"/>
  <ignoredErrors>
    <ignoredError sqref="G23:O30 K13:O13 K14:O18 K20:O22" evalError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6.5"/>
  <sheetData>
    <row r="1" spans="1:5">
      <c r="A1" t="s">
        <v>2688</v>
      </c>
      <c r="B1" t="s">
        <v>2689</v>
      </c>
      <c r="C1" t="s">
        <v>2690</v>
      </c>
      <c r="D1" t="s">
        <v>2691</v>
      </c>
      <c r="E1" t="s">
        <v>2692</v>
      </c>
    </row>
  </sheetData>
  <phoneticPr fontId="21" type="noConversion"/>
  <pageMargins left="0.7" right="0.7" top="0.7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6.5"/>
  <sheetData>
    <row r="1" spans="1:10">
      <c r="A1" t="s">
        <v>2693</v>
      </c>
      <c r="B1" t="s">
        <v>2694</v>
      </c>
      <c r="C1" t="s">
        <v>2695</v>
      </c>
      <c r="D1" t="s">
        <v>2696</v>
      </c>
      <c r="E1" t="s">
        <v>2697</v>
      </c>
      <c r="F1" t="s">
        <v>2698</v>
      </c>
      <c r="G1" t="s">
        <v>2699</v>
      </c>
      <c r="H1" t="s">
        <v>2700</v>
      </c>
      <c r="I1" t="s">
        <v>2701</v>
      </c>
      <c r="J1" t="s">
        <v>2702</v>
      </c>
    </row>
  </sheetData>
  <phoneticPr fontId="21" type="noConversion"/>
  <pageMargins left="0.7" right="0.7" top="0.7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/>
  <sheetData>
    <row r="1" spans="1:4">
      <c r="A1" t="s">
        <v>2703</v>
      </c>
      <c r="B1" t="s">
        <v>2704</v>
      </c>
      <c r="C1" t="s">
        <v>2705</v>
      </c>
      <c r="D1" t="s">
        <v>2706</v>
      </c>
    </row>
  </sheetData>
  <phoneticPr fontId="21" type="noConversion"/>
  <pageMargins left="0.7" right="0.7" top="0.7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/>
  <sheetData>
    <row r="1" spans="1:4">
      <c r="A1" t="s">
        <v>2707</v>
      </c>
      <c r="B1" t="s">
        <v>2708</v>
      </c>
      <c r="C1" t="s">
        <v>2709</v>
      </c>
      <c r="D1" t="s">
        <v>2710</v>
      </c>
    </row>
  </sheetData>
  <phoneticPr fontId="21" type="noConversion"/>
  <pageMargins left="0.7" right="0.7" top="0.7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/>
  </sheetViews>
  <sheetFormatPr defaultRowHeight="16.5"/>
  <sheetData>
    <row r="1" spans="1:5">
      <c r="A1" t="s">
        <v>2688</v>
      </c>
      <c r="B1" t="s">
        <v>2689</v>
      </c>
      <c r="C1" t="s">
        <v>2690</v>
      </c>
      <c r="D1" t="s">
        <v>2691</v>
      </c>
      <c r="E1" t="s">
        <v>2692</v>
      </c>
    </row>
  </sheetData>
  <phoneticPr fontId="21" type="noConversion"/>
  <pageMargins left="0.7" right="0.7" top="0.7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Normal="100" workbookViewId="0"/>
  </sheetViews>
  <sheetFormatPr defaultRowHeight="16.5"/>
  <sheetData>
    <row r="1" spans="1:10">
      <c r="A1" t="s">
        <v>2693</v>
      </c>
      <c r="B1" t="s">
        <v>2694</v>
      </c>
      <c r="C1" t="s">
        <v>2695</v>
      </c>
      <c r="D1" t="s">
        <v>2696</v>
      </c>
      <c r="E1" t="s">
        <v>2697</v>
      </c>
      <c r="F1" t="s">
        <v>2698</v>
      </c>
      <c r="G1" t="s">
        <v>2699</v>
      </c>
      <c r="H1" t="s">
        <v>2700</v>
      </c>
      <c r="I1" t="s">
        <v>2701</v>
      </c>
      <c r="J1" t="s">
        <v>2702</v>
      </c>
    </row>
  </sheetData>
  <phoneticPr fontId="21" type="noConversion"/>
  <pageMargins left="0.7" right="0.7" top="0.7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defaultRowHeight="16.5"/>
  <sheetData>
    <row r="1" spans="1:4">
      <c r="A1" t="s">
        <v>2703</v>
      </c>
      <c r="B1" t="s">
        <v>2704</v>
      </c>
      <c r="C1" t="s">
        <v>2705</v>
      </c>
      <c r="D1" t="s">
        <v>2706</v>
      </c>
    </row>
  </sheetData>
  <phoneticPr fontId="21" type="noConversion"/>
  <pageMargins left="0.7" right="0.7" top="0.7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defaultRowHeight="16.5"/>
  <sheetData>
    <row r="1" spans="1:4">
      <c r="A1" t="s">
        <v>2707</v>
      </c>
      <c r="B1" t="s">
        <v>2708</v>
      </c>
      <c r="C1" t="s">
        <v>2709</v>
      </c>
      <c r="D1" t="s">
        <v>2710</v>
      </c>
    </row>
  </sheetData>
  <phoneticPr fontId="21" type="noConversion"/>
  <pageMargins left="0.7" right="0.7" top="0.7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6.5"/>
  <sheetData>
    <row r="1" spans="1:5">
      <c r="A1" t="s">
        <v>2688</v>
      </c>
      <c r="B1" t="s">
        <v>2689</v>
      </c>
      <c r="C1" t="s">
        <v>2690</v>
      </c>
      <c r="D1" t="s">
        <v>2691</v>
      </c>
      <c r="E1" t="s">
        <v>2692</v>
      </c>
    </row>
  </sheetData>
  <phoneticPr fontId="21" type="noConversion"/>
  <pageMargins left="0.7" right="0.7" top="0.7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6.5"/>
  <sheetData>
    <row r="1" spans="1:10">
      <c r="A1" t="s">
        <v>2693</v>
      </c>
      <c r="B1" t="s">
        <v>2694</v>
      </c>
      <c r="C1" t="s">
        <v>2695</v>
      </c>
      <c r="D1" t="s">
        <v>2696</v>
      </c>
      <c r="E1" t="s">
        <v>2697</v>
      </c>
      <c r="F1" t="s">
        <v>2698</v>
      </c>
      <c r="G1" t="s">
        <v>2699</v>
      </c>
      <c r="H1" t="s">
        <v>2700</v>
      </c>
      <c r="I1" t="s">
        <v>2701</v>
      </c>
      <c r="J1" t="s">
        <v>2702</v>
      </c>
    </row>
  </sheetData>
  <phoneticPr fontId="21" type="noConversion"/>
  <pageMargins left="0.7" right="0.7" top="0.7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/>
  <sheetData>
    <row r="1" spans="1:4">
      <c r="A1" t="s">
        <v>2703</v>
      </c>
      <c r="B1" t="s">
        <v>2704</v>
      </c>
      <c r="C1" t="s">
        <v>2705</v>
      </c>
      <c r="D1" t="s">
        <v>2706</v>
      </c>
    </row>
  </sheetData>
  <phoneticPr fontId="21" type="noConversion"/>
  <pageMargins left="0.7" right="0.7" top="0.7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/>
  <sheetData>
    <row r="1" spans="1:4">
      <c r="A1" t="s">
        <v>2707</v>
      </c>
      <c r="B1" t="s">
        <v>2708</v>
      </c>
      <c r="C1" t="s">
        <v>2709</v>
      </c>
      <c r="D1" t="s">
        <v>2710</v>
      </c>
    </row>
  </sheetData>
  <phoneticPr fontId="21" type="noConversion"/>
  <pageMargins left="0.7" right="0.7" top="0.7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DAEMSEngagementItemInfo xmlns="http://schemas.microsoft.com/DAEMSEngagementItemInfoXML">
  <EngagementID>5000108464</EngagementID>
  <LogicalEMSServerID>4616908268048594663</LogicalEMSServerID>
  <WorkingPaperID>3926469894200000113</WorkingPaperID>
</DAEMSEngagementItemInfo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034C15A9056594FA95091338A27108C" ma:contentTypeVersion="0" ma:contentTypeDescription="새 문서를 만듭니다." ma:contentTypeScope="" ma:versionID="341cca1eb3685c90aba35c931049f2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53df8cedb0a69f5bea2107cee84c5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93454F-6FA1-41B1-8127-10E28708B6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AFC881-C05A-4F14-8308-C783944EAC1A}">
  <ds:schemaRefs>
    <ds:schemaRef ds:uri="http://schemas.microsoft.com/DAEMSEngagementItemInfoXML"/>
  </ds:schemaRefs>
</ds:datastoreItem>
</file>

<file path=customXml/itemProps3.xml><?xml version="1.0" encoding="utf-8"?>
<ds:datastoreItem xmlns:ds="http://schemas.openxmlformats.org/officeDocument/2006/customXml" ds:itemID="{034C2B27-B3D4-400F-9F17-F97271578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48EC82A-EC21-4D36-84A5-73AD5C33670C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54</vt:i4>
      </vt:variant>
    </vt:vector>
  </HeadingPairs>
  <TitlesOfParts>
    <vt:vector size="54" baseType="lpstr">
      <vt:lpstr>INDEX</vt:lpstr>
      <vt:lpstr>SCOPE</vt:lpstr>
      <vt:lpstr>CF.1_2개월(단순차감)</vt:lpstr>
      <vt:lpstr>자본변동</vt:lpstr>
      <vt:lpstr>재무상태요약</vt:lpstr>
      <vt:lpstr>T_BS</vt:lpstr>
      <vt:lpstr>T_IS _10월</vt:lpstr>
      <vt:lpstr>T_IS</vt:lpstr>
      <vt:lpstr>T_CE</vt:lpstr>
      <vt:lpstr>CF.1</vt:lpstr>
      <vt:lpstr>CF.2</vt:lpstr>
      <vt:lpstr>BS(공)</vt:lpstr>
      <vt:lpstr>IS(공)</vt:lpstr>
      <vt:lpstr>CE(공)</vt:lpstr>
      <vt:lpstr>CF(공)_1.0</vt:lpstr>
      <vt:lpstr>CF(공)_2.0</vt:lpstr>
      <vt:lpstr>TB</vt:lpstr>
      <vt:lpstr>연결조정 분개</vt:lpstr>
      <vt:lpstr>CFS(2개월)</vt:lpstr>
      <vt:lpstr>스튜디오돌핀(취득일BS)</vt:lpstr>
      <vt:lpstr>CFS(연간)</vt:lpstr>
      <vt:lpstr>T198_TB</vt:lpstr>
      <vt:lpstr>1.0</vt:lpstr>
      <vt:lpstr>2.1</vt:lpstr>
      <vt:lpstr>2.0</vt:lpstr>
      <vt:lpstr>3.1</vt:lpstr>
      <vt:lpstr>3.0</vt:lpstr>
      <vt:lpstr>4.0</vt:lpstr>
      <vt:lpstr>5.0</vt:lpstr>
      <vt:lpstr>5.1_V2</vt:lpstr>
      <vt:lpstr>5.1</vt:lpstr>
      <vt:lpstr>5.2</vt:lpstr>
      <vt:lpstr>5.2_V2</vt:lpstr>
      <vt:lpstr>5.3</vt:lpstr>
      <vt:lpstr>7.1</vt:lpstr>
      <vt:lpstr>6.0</vt:lpstr>
      <vt:lpstr>7.0</vt:lpstr>
      <vt:lpstr>8.0</vt:lpstr>
      <vt:lpstr>8.1</vt:lpstr>
      <vt:lpstr>OCI</vt:lpstr>
      <vt:lpstr>NCE</vt:lpstr>
      <vt:lpstr>NCI</vt:lpstr>
      <vt:lpstr>Tickmarks2022-07-13 오후 4.28.39</vt:lpstr>
      <vt:lpstr>RNotes2022-07-13 오후 4.28.39</vt:lpstr>
      <vt:lpstr>TextXRef2022-07-13 오후 4.28.39</vt:lpstr>
      <vt:lpstr>NumXRef2022-07-13 오후 4.28.39</vt:lpstr>
      <vt:lpstr>Tickmarks2022-10-13 오후 3.20.15</vt:lpstr>
      <vt:lpstr>RNotes2022-10-13 오후 3.20.15</vt:lpstr>
      <vt:lpstr>TextXRef2022-10-13 오후 3.20.15</vt:lpstr>
      <vt:lpstr>NumXRef2022-10-13 오후 3.20.15</vt:lpstr>
      <vt:lpstr>Tickmarks2022-10-13 오후 6.54.54</vt:lpstr>
      <vt:lpstr>RNotes2022-10-13 오후 6.54.54</vt:lpstr>
      <vt:lpstr>TextXRef2022-10-13 오후 6.54.54</vt:lpstr>
      <vt:lpstr>NumXRef2022-10-13 오후 6.54.54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dreamus</dc:creator>
  <cp:lastModifiedBy>DreamUs</cp:lastModifiedBy>
  <dcterms:created xsi:type="dcterms:W3CDTF">2015-06-05T18:17:20Z</dcterms:created>
  <dcterms:modified xsi:type="dcterms:W3CDTF">2022-11-04T08:16:04Z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0x010100E034C15A9056594FA95091338A27108C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2021-07-08T09:15:16Z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39fbc109-ed3a-4a5d-9fb7-7754f1b77351</vt:lpwstr>
  </property>
  <property fmtid="{D5CDD505-2E9C-101B-9397-08002B2CF9AE}" pid="9" name="MSIP_Label_ea60d57e-af5b-4752-ac57-3e4f28ca11dc_ContentBits">
    <vt:lpwstr>0</vt:lpwstr>
  </property>
</Properties>
</file>